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730" windowHeight="10860" tabRatio="801" activeTab="0"/>
  </bookViews>
  <sheets>
    <sheet name="Instructions" sheetId="13" r:id="rId1"/>
    <sheet name="Summary of area" sheetId="4" r:id="rId2"/>
    <sheet name="Describe and quantify assets" sheetId="2" r:id="rId3"/>
    <sheet name="Describe baseline" sheetId="6" r:id="rId4"/>
    <sheet name="OUTPUT-all" sheetId="9" r:id="rId5"/>
    <sheet name="OUTPUT-core" sheetId="15" r:id="rId6"/>
    <sheet name="OUTPUT-optional" sheetId="16" r:id="rId7"/>
    <sheet name="Summary by significance" sheetId="30" r:id="rId8"/>
    <sheet name="Map of magnitude-significance" sheetId="31" r:id="rId9"/>
    <sheet name="Summary by beneficiary" sheetId="11" r:id="rId10"/>
    <sheet name="Chart-total beneficiary impacts" sheetId="32" r:id="rId11"/>
    <sheet name="Chart-IDB benefits-beneficiary" sheetId="33" r:id="rId12"/>
    <sheet name="Chart-damages by beneficiary" sheetId="34" r:id="rId13"/>
    <sheet name="Summary by category" sheetId="38" r:id="rId14"/>
    <sheet name="Chart-total by category" sheetId="39" r:id="rId15"/>
    <sheet name="Chart-pie by category" sheetId="40" r:id="rId16"/>
    <sheet name="Calculation Worksheets" sheetId="35" r:id="rId17"/>
    <sheet name="Water levels-Residential" sheetId="17" r:id="rId18"/>
    <sheet name="Water levels-Business" sheetId="18" r:id="rId19"/>
    <sheet name="Water levels-Social Infra" sheetId="19" r:id="rId20"/>
    <sheet name="Water levels-Emergency" sheetId="20" r:id="rId21"/>
    <sheet name="Water levels-Utilities" sheetId="21" r:id="rId22"/>
    <sheet name="Water levels-Transport (road)" sheetId="22" r:id="rId23"/>
    <sheet name="Water levels-Transport (rail)" sheetId="36" r:id="rId24"/>
    <sheet name="Food production" sheetId="23" r:id="rId25"/>
    <sheet name="Energy (direct)" sheetId="37" r:id="rId26"/>
    <sheet name="Energy (indirect)" sheetId="24" r:id="rId27"/>
    <sheet name="Designated biodiversity sites" sheetId="25" r:id="rId28"/>
    <sheet name="Biodiversity - non-designated" sheetId="41" r:id="rId29"/>
    <sheet name="Carbon" sheetId="14" r:id="rId30"/>
    <sheet name="Water supply" sheetId="26" r:id="rId31"/>
    <sheet name="Recreation and tourism" sheetId="28" r:id="rId32"/>
    <sheet name="Heritage" sheetId="27" r:id="rId33"/>
    <sheet name="Jobs" sheetId="29" r:id="rId34"/>
    <sheet name="Identify beneficiaries" sheetId="8" state="hidden" r:id="rId35"/>
    <sheet name="Sheet1" sheetId="12" state="hidden" r:id="rId36"/>
  </sheets>
  <definedNames/>
  <calcPr calcId="152511"/>
</workbook>
</file>

<file path=xl/comments29.xml><?xml version="1.0" encoding="utf-8"?>
<comments xmlns="http://schemas.openxmlformats.org/spreadsheetml/2006/main">
  <authors>
    <author>teresa.fenn</author>
  </authors>
  <commentList>
    <comment ref="R4" authorId="0">
      <text>
        <r>
          <rPr>
            <sz val="9"/>
            <rFont val="Tahoma"/>
            <family val="2"/>
          </rPr>
          <t>Where watercourses are managed to maximise biodiversity potential</t>
        </r>
      </text>
    </comment>
    <comment ref="S4" authorId="0">
      <text>
        <r>
          <rPr>
            <sz val="9"/>
            <rFont val="Tahoma"/>
            <family val="2"/>
          </rPr>
          <t>Defined as where consideration is given to sensitive timing and rotations of cutting beyond that required by compliance with protected species legislation</t>
        </r>
      </text>
    </comment>
    <comment ref="T4" authorId="0">
      <text>
        <r>
          <rPr>
            <sz val="9"/>
            <rFont val="Tahoma"/>
            <family val="2"/>
          </rPr>
          <t>Where actions do not go beyond those required for compliance with protected species legislation</t>
        </r>
      </text>
    </comment>
    <comment ref="C19" authorId="0">
      <text>
        <r>
          <rPr>
            <sz val="9"/>
            <rFont val="Tahoma"/>
            <family val="2"/>
          </rPr>
          <t>Where watercourses are managed to maximise biodiversity potential</t>
        </r>
      </text>
    </comment>
    <comment ref="C20" authorId="0">
      <text>
        <r>
          <rPr>
            <sz val="9"/>
            <rFont val="Tahoma"/>
            <family val="2"/>
          </rPr>
          <t>Defined as where consideration is given to sensitive timing and rotations of cutting beyond that required by compliance with protected species legislation</t>
        </r>
      </text>
    </comment>
    <comment ref="C21" authorId="0">
      <text>
        <r>
          <rPr>
            <sz val="9"/>
            <rFont val="Tahoma"/>
            <family val="2"/>
          </rPr>
          <t>Where actions do not go beyond those required for compliance with protected species legislation</t>
        </r>
      </text>
    </comment>
    <comment ref="R31" authorId="0">
      <text>
        <r>
          <rPr>
            <sz val="9"/>
            <rFont val="Tahoma"/>
            <family val="2"/>
          </rPr>
          <t>Where watercourses are managed to maximise biodiversity potential</t>
        </r>
      </text>
    </comment>
    <comment ref="S31" authorId="0">
      <text>
        <r>
          <rPr>
            <sz val="9"/>
            <rFont val="Tahoma"/>
            <family val="2"/>
          </rPr>
          <t>Defined as where consideration is given to sensitive timing and rotations of cutting beyond that required by compliance with protected species legislation</t>
        </r>
      </text>
    </comment>
    <comment ref="T31" authorId="0">
      <text>
        <r>
          <rPr>
            <sz val="9"/>
            <rFont val="Tahoma"/>
            <family val="2"/>
          </rPr>
          <t>Where actions do not go beyond those required for compliance with protected species legislation</t>
        </r>
      </text>
    </comment>
    <comment ref="C47" authorId="0">
      <text>
        <r>
          <rPr>
            <sz val="9"/>
            <rFont val="Tahoma"/>
            <family val="2"/>
          </rPr>
          <t>Where watercourses are managed to maximise biodiversity potential</t>
        </r>
      </text>
    </comment>
    <comment ref="C48" authorId="0">
      <text>
        <r>
          <rPr>
            <sz val="9"/>
            <rFont val="Tahoma"/>
            <family val="2"/>
          </rPr>
          <t>Defined as where consideration is given to sensitive timing and rotations of cutting beyond that required by compliance with protected species legislation</t>
        </r>
      </text>
    </comment>
    <comment ref="C49" authorId="0">
      <text>
        <r>
          <rPr>
            <sz val="9"/>
            <rFont val="Tahoma"/>
            <family val="2"/>
          </rPr>
          <t>Where actions do not go beyond those required for compliance with protected species legislation</t>
        </r>
      </text>
    </comment>
    <comment ref="R53" authorId="0">
      <text>
        <r>
          <rPr>
            <sz val="9"/>
            <rFont val="Tahoma"/>
            <family val="2"/>
          </rPr>
          <t>Where watercourses are managed to maximise biodiversity potential</t>
        </r>
      </text>
    </comment>
    <comment ref="S53" authorId="0">
      <text>
        <r>
          <rPr>
            <sz val="9"/>
            <rFont val="Tahoma"/>
            <family val="2"/>
          </rPr>
          <t>Defined as where consideration is given to sensitive timing and rotations of cutting beyond that required by compliance with protected species legislation</t>
        </r>
      </text>
    </comment>
    <comment ref="T53" authorId="0">
      <text>
        <r>
          <rPr>
            <sz val="9"/>
            <rFont val="Tahoma"/>
            <family val="2"/>
          </rPr>
          <t>Where actions do not go beyond those required for compliance with protected species legislation</t>
        </r>
      </text>
    </comment>
    <comment ref="C68" authorId="0">
      <text>
        <r>
          <rPr>
            <sz val="9"/>
            <rFont val="Tahoma"/>
            <family val="2"/>
          </rPr>
          <t>Where watercourses are managed to maximise biodiversity potential</t>
        </r>
      </text>
    </comment>
    <comment ref="C69" authorId="0">
      <text>
        <r>
          <rPr>
            <sz val="9"/>
            <rFont val="Tahoma"/>
            <family val="2"/>
          </rPr>
          <t>Defined as where consideration is given to sensitive timing and rotations of cutting beyond that required by compliance with protected species legislation</t>
        </r>
      </text>
    </comment>
    <comment ref="C70" authorId="0">
      <text>
        <r>
          <rPr>
            <sz val="9"/>
            <rFont val="Tahoma"/>
            <family val="2"/>
          </rPr>
          <t>Where actions do not go beyond those required for compliance with protected species legislation</t>
        </r>
      </text>
    </comment>
  </commentList>
</comments>
</file>

<file path=xl/sharedStrings.xml><?xml version="1.0" encoding="utf-8"?>
<sst xmlns="http://schemas.openxmlformats.org/spreadsheetml/2006/main" count="3789" uniqueCount="999">
  <si>
    <t>Managing nature and resources</t>
  </si>
  <si>
    <t xml:space="preserve">Carbon sequestration and storage </t>
  </si>
  <si>
    <t>Biodiversity</t>
  </si>
  <si>
    <t>Water quality</t>
  </si>
  <si>
    <t>Production of goods and services</t>
  </si>
  <si>
    <t>Production of grown food</t>
  </si>
  <si>
    <t>Collection of natural food</t>
  </si>
  <si>
    <t>Production of timber, fibre, aggregates, peat, etc.</t>
  </si>
  <si>
    <t>Social, cultural and employment benefits</t>
  </si>
  <si>
    <t>Health and wellbeing of people</t>
  </si>
  <si>
    <t>Health and well-being of community(ies)</t>
  </si>
  <si>
    <t>Level of involvement in decision-making</t>
  </si>
  <si>
    <t>Landscape character</t>
  </si>
  <si>
    <t>Heritage values</t>
  </si>
  <si>
    <t>Knowledge and education</t>
  </si>
  <si>
    <t>Aesthetic appreciation and inspiration</t>
  </si>
  <si>
    <t>Recreation and tourism</t>
  </si>
  <si>
    <t>Benefit category</t>
  </si>
  <si>
    <t>Goods Provided by Benefit Category</t>
  </si>
  <si>
    <t>Area and type of habitat sequestering carbon</t>
  </si>
  <si>
    <t>Residential properties at risk</t>
  </si>
  <si>
    <t>Business properties at risk</t>
  </si>
  <si>
    <t>Social infrastructure at risk (hospitals, schools, carehomes, local authority depots, village halls, etc.)</t>
  </si>
  <si>
    <t>Emergency services at risk (police, ambulance, fire stations, etc.)</t>
  </si>
  <si>
    <t>Transport infrastructure at risk (roads, railways, airports, waterways, etc.)</t>
  </si>
  <si>
    <t>Number/area of invasive species controlled</t>
  </si>
  <si>
    <t>Waterbody status (WFD)</t>
  </si>
  <si>
    <t>Area used for crops and livestock</t>
  </si>
  <si>
    <t>Area available for hunting/shooting or collecting wild food</t>
  </si>
  <si>
    <t>Whether abstraction occurs/could occur</t>
  </si>
  <si>
    <t>Physical, mental, social and spiritual wellbeing (includes stress due to e.g. flooding)</t>
  </si>
  <si>
    <t>Level of involvement in decision making in relation to IDB activities</t>
  </si>
  <si>
    <t>Designated/notable landscape</t>
  </si>
  <si>
    <t xml:space="preserve">Number of heritage sites (listed buildings, scheduled ancient monuments, etc.) </t>
  </si>
  <si>
    <t>Education</t>
  </si>
  <si>
    <t>Jobs supported directly</t>
  </si>
  <si>
    <t>Paid employment by IDB</t>
  </si>
  <si>
    <t>Jobs supported indirectly</t>
  </si>
  <si>
    <t>Paid employment supported by IDB (e.g. suppliers, etc.)</t>
  </si>
  <si>
    <t>IDB</t>
  </si>
  <si>
    <t>Control of invasive species</t>
  </si>
  <si>
    <t>Core</t>
  </si>
  <si>
    <t>Optional</t>
  </si>
  <si>
    <t>Energy (where energy is for use outside IDB)</t>
  </si>
  <si>
    <t>KWh produced or transmitted</t>
  </si>
  <si>
    <t>Background knowledge</t>
  </si>
  <si>
    <t>BASELINE</t>
  </si>
  <si>
    <t>CURRENT</t>
  </si>
  <si>
    <t>Additional information from available other sources (including GIS/mapping, reports, plans, etc.)</t>
  </si>
  <si>
    <t>Additional information</t>
  </si>
  <si>
    <t>New information from site visits, investigations, engagement, etc.</t>
  </si>
  <si>
    <t>New information</t>
  </si>
  <si>
    <t>Direct</t>
  </si>
  <si>
    <t>Indirect</t>
  </si>
  <si>
    <t>Induced</t>
  </si>
  <si>
    <t>What would happen if the IDB stopped all activities today?</t>
  </si>
  <si>
    <t>Describe the implications of the baseline</t>
  </si>
  <si>
    <t>How big is the change for each category?</t>
  </si>
  <si>
    <t>Magnitude</t>
  </si>
  <si>
    <t>Significant</t>
  </si>
  <si>
    <t>How significant is the change for each category in terms of the overall IDB?</t>
  </si>
  <si>
    <t>Units</t>
  </si>
  <si>
    <t>Direction of change for each category</t>
  </si>
  <si>
    <t>Is this a negative change (damages) or positive change (benefits) for each category</t>
  </si>
  <si>
    <t>Quantity and type of products obtained, area available for harvesting, quantity of peat obtained</t>
  </si>
  <si>
    <t>Number and quality of different types of habitat, species richness, designated sites/locally important habitats/species</t>
  </si>
  <si>
    <t>Population, number/type of services, perceptions about safety, fears about the future of the community, aspirations for the future</t>
  </si>
  <si>
    <t>Aesthetic enjoyment, inspiration gained from nature</t>
  </si>
  <si>
    <t>Number of recreation visits, access</t>
  </si>
  <si>
    <t>Water supply (where water is for use outside IDB)</t>
  </si>
  <si>
    <t>IDB staff discussions, published documents, etc.</t>
  </si>
  <si>
    <t>Utilities infrastructure at risk (STWs, WTWs, electricity generating stations, electricity substations, telephone exchanges, gas works, cables, pipelines, oil refineries, etc.)</t>
  </si>
  <si>
    <t>Ouse and Humber DB</t>
  </si>
  <si>
    <t>IDB Name</t>
  </si>
  <si>
    <t>Version</t>
  </si>
  <si>
    <t>Date</t>
  </si>
  <si>
    <t>People involved</t>
  </si>
  <si>
    <t>Pumping stations</t>
  </si>
  <si>
    <t>Other water control structures</t>
  </si>
  <si>
    <t>Length of watercourses</t>
  </si>
  <si>
    <t>EA assets</t>
  </si>
  <si>
    <t>Main river (km)</t>
  </si>
  <si>
    <t>River flood defences (km)</t>
  </si>
  <si>
    <t>Sea and tidal defences (km)</t>
  </si>
  <si>
    <t>No.</t>
  </si>
  <si>
    <t>km</t>
  </si>
  <si>
    <t xml:space="preserve">km </t>
  </si>
  <si>
    <t>Board maintained infrastructure</t>
  </si>
  <si>
    <t>£</t>
  </si>
  <si>
    <t>ha</t>
  </si>
  <si>
    <t>Catchment area draining to and within the district</t>
  </si>
  <si>
    <t>Total area of the district</t>
  </si>
  <si>
    <t>Other</t>
  </si>
  <si>
    <t>No. long distance footpaths</t>
  </si>
  <si>
    <t>No. car parks</t>
  </si>
  <si>
    <t>No. camp sites</t>
  </si>
  <si>
    <t>No. picnic areas</t>
  </si>
  <si>
    <t>No. golf courses</t>
  </si>
  <si>
    <t>No. museums</t>
  </si>
  <si>
    <t>No. pubs</t>
  </si>
  <si>
    <t>No. racecourses</t>
  </si>
  <si>
    <t>No. horse riding centres</t>
  </si>
  <si>
    <t>No. leisure centres</t>
  </si>
  <si>
    <t>Initial assessment of direction of change</t>
  </si>
  <si>
    <t>Initial assessment of magnitude of change</t>
  </si>
  <si>
    <t>Initial assessment of significance of change to IDB</t>
  </si>
  <si>
    <t>Number</t>
  </si>
  <si>
    <t>Business properties (all)</t>
  </si>
  <si>
    <t>Factory bulk</t>
  </si>
  <si>
    <t>Retail bulk</t>
  </si>
  <si>
    <t>Warehouse bulk</t>
  </si>
  <si>
    <t>Office/other bulk</t>
  </si>
  <si>
    <t>Non-bulk</t>
  </si>
  <si>
    <t>£ per property</t>
  </si>
  <si>
    <t>£ per m2</t>
  </si>
  <si>
    <t>from CLG live tables on commercial and industrial floorspace and rateable value statistics</t>
  </si>
  <si>
    <t>calculated as weighted average (England and Wales) using WAAD from MCH (without basement); Table 5.1b</t>
  </si>
  <si>
    <t>like hypermarket</t>
  </si>
  <si>
    <t>Table 5.2 in MCH</t>
  </si>
  <si>
    <t>Like ambulance station</t>
  </si>
  <si>
    <t>based on 60-bed care home and national care home standards</t>
  </si>
  <si>
    <t>guess</t>
  </si>
  <si>
    <t>LGV</t>
  </si>
  <si>
    <t>OGV1</t>
  </si>
  <si>
    <t>OGV2</t>
  </si>
  <si>
    <t>PSV</t>
  </si>
  <si>
    <t>vehicle</t>
  </si>
  <si>
    <t>car</t>
  </si>
  <si>
    <t>Schools</t>
  </si>
  <si>
    <t>Local authority depots</t>
  </si>
  <si>
    <t>Post offices</t>
  </si>
  <si>
    <t>Police stations</t>
  </si>
  <si>
    <t>Ambulance stations</t>
  </si>
  <si>
    <t>Fire stations</t>
  </si>
  <si>
    <t>Sewage treatment works</t>
  </si>
  <si>
    <t>Water treatment works</t>
  </si>
  <si>
    <t>Phone masts</t>
  </si>
  <si>
    <t>Oil refineries</t>
  </si>
  <si>
    <t>Motorway</t>
  </si>
  <si>
    <t>A road</t>
  </si>
  <si>
    <t>Direction of impacts:</t>
  </si>
  <si>
    <t>Magnitude of impacts</t>
  </si>
  <si>
    <t>Significance of impacts</t>
  </si>
  <si>
    <t>Monetary benefits 
(£ per year)</t>
  </si>
  <si>
    <t>Beneficiaries</t>
  </si>
  <si>
    <t>All people</t>
  </si>
  <si>
    <t>Property owners</t>
  </si>
  <si>
    <t>Property renters</t>
  </si>
  <si>
    <t>Business owners</t>
  </si>
  <si>
    <t>Businesses trading with direct beneficiaries</t>
  </si>
  <si>
    <t>Business benefitting from activity of direct and indirect businesses</t>
  </si>
  <si>
    <t>Owners of social infrastructure</t>
  </si>
  <si>
    <t>Users of social infrastructure</t>
  </si>
  <si>
    <t>Users of other social infrastructure</t>
  </si>
  <si>
    <t>Owners of utilities infrastructure</t>
  </si>
  <si>
    <t>Users of utilities infrastructure</t>
  </si>
  <si>
    <t>Users of other utilities infrastructure</t>
  </si>
  <si>
    <t>Maintainers of emergency services</t>
  </si>
  <si>
    <t>Users of emergency services</t>
  </si>
  <si>
    <t>Users of emergency services in other areas</t>
  </si>
  <si>
    <t>Owners/maintainers of transport network</t>
  </si>
  <si>
    <t>Users of transport network outside area</t>
  </si>
  <si>
    <t>Native species</t>
  </si>
  <si>
    <t>Farmers</t>
  </si>
  <si>
    <t>Those responsible for controlling invasive species outside the area</t>
  </si>
  <si>
    <t>Farmers (livestock, crops)
Biodiversity</t>
  </si>
  <si>
    <t>Consumers</t>
  </si>
  <si>
    <t>Hunters, shooters, collectors of food</t>
  </si>
  <si>
    <t>Energy producers</t>
  </si>
  <si>
    <t>Energy users</t>
  </si>
  <si>
    <t>Owners of woodland, plantations, etc.</t>
  </si>
  <si>
    <t>Populations of species</t>
  </si>
  <si>
    <t>Wider society</t>
  </si>
  <si>
    <t>Abstractors</t>
  </si>
  <si>
    <t>Consumers (PWS)</t>
  </si>
  <si>
    <t>Individuals in area</t>
  </si>
  <si>
    <t>Individuals using health services outside area</t>
  </si>
  <si>
    <t>Communities in area</t>
  </si>
  <si>
    <t>Community in area from better decisions</t>
  </si>
  <si>
    <t>People living and working in area, visitors</t>
  </si>
  <si>
    <t>People using educational sites/resources</t>
  </si>
  <si>
    <t>Recreational users</t>
  </si>
  <si>
    <t>Recreational users in other areas</t>
  </si>
  <si>
    <t>Employees</t>
  </si>
  <si>
    <t>Businesses supplying IDB with goods and services</t>
  </si>
  <si>
    <t>Businesses receiving income from spend of IDB employees</t>
  </si>
  <si>
    <t>Local residents</t>
  </si>
  <si>
    <t>Local businesses</t>
  </si>
  <si>
    <t>Local authority</t>
  </si>
  <si>
    <t>Service providers</t>
  </si>
  <si>
    <t>Y</t>
  </si>
  <si>
    <t>Wider businesses</t>
  </si>
  <si>
    <t>Farmers/ Landowners</t>
  </si>
  <si>
    <t>Village halls</t>
  </si>
  <si>
    <t>Gross margin</t>
  </si>
  <si>
    <t>Permanent loss</t>
  </si>
  <si>
    <t>Client/Authority</t>
  </si>
  <si>
    <t>Project name</t>
  </si>
  <si>
    <t>Project reference</t>
  </si>
  <si>
    <t>Base date for estimates (year 0)</t>
  </si>
  <si>
    <t>Scaling factor (e.g. £m, £k, £)</t>
  </si>
  <si>
    <t>Initial discount rate</t>
  </si>
  <si>
    <t>Capital</t>
  </si>
  <si>
    <t>Maint.</t>
  </si>
  <si>
    <t>cash sum</t>
  </si>
  <si>
    <t>Discount</t>
  </si>
  <si>
    <t>year</t>
  </si>
  <si>
    <t>Factor</t>
  </si>
  <si>
    <t>per head</t>
  </si>
  <si>
    <t>heads per ha</t>
  </si>
  <si>
    <t>Cropland</t>
  </si>
  <si>
    <t>Grassland</t>
  </si>
  <si>
    <t>Marsh</t>
  </si>
  <si>
    <t>Peatland</t>
  </si>
  <si>
    <t>Woodland</t>
  </si>
  <si>
    <t>Multiplier</t>
  </si>
  <si>
    <t>Waterlogging, drought, flooding, erosion</t>
  </si>
  <si>
    <t>Key:</t>
  </si>
  <si>
    <t>Not very significant</t>
  </si>
  <si>
    <r>
      <rPr>
        <b/>
        <sz val="10"/>
        <color theme="1"/>
        <rFont val="Arial"/>
        <family val="2"/>
      </rPr>
      <t>Large</t>
    </r>
    <r>
      <rPr>
        <sz val="10"/>
        <color theme="1"/>
        <rFont val="Arial"/>
        <family val="2"/>
      </rPr>
      <t>:  there is a big impact on those assets that are affected</t>
    </r>
  </si>
  <si>
    <r>
      <rPr>
        <b/>
        <sz val="10"/>
        <color theme="1"/>
        <rFont val="Arial"/>
        <family val="2"/>
      </rPr>
      <t xml:space="preserve"> Moderate</t>
    </r>
    <r>
      <rPr>
        <sz val="10"/>
        <color theme="1"/>
        <rFont val="Arial"/>
        <family val="2"/>
      </rPr>
      <t>:  there is a medium-sized impact on those assets that are affected</t>
    </r>
  </si>
  <si>
    <r>
      <rPr>
        <b/>
        <sz val="10"/>
        <color theme="1"/>
        <rFont val="Arial"/>
        <family val="2"/>
      </rPr>
      <t>Small</t>
    </r>
    <r>
      <rPr>
        <sz val="10"/>
        <color theme="1"/>
        <rFont val="Arial"/>
        <family val="2"/>
      </rPr>
      <t>:  the impact on assets affected only likely to be minor</t>
    </r>
  </si>
  <si>
    <r>
      <t xml:space="preserve"> </t>
    </r>
    <r>
      <rPr>
        <b/>
        <sz val="10"/>
        <color theme="1"/>
        <rFont val="Arial"/>
        <family val="2"/>
      </rPr>
      <t>Significant</t>
    </r>
    <r>
      <rPr>
        <sz val="10"/>
        <color theme="1"/>
        <rFont val="Arial"/>
        <family val="2"/>
      </rPr>
      <t>:  the great majority of assets affected in this category are affected</t>
    </r>
  </si>
  <si>
    <r>
      <rPr>
        <b/>
        <sz val="10"/>
        <color theme="1"/>
        <rFont val="Arial"/>
        <family val="2"/>
      </rPr>
      <t>-</t>
    </r>
    <r>
      <rPr>
        <sz val="10"/>
        <color theme="1"/>
        <rFont val="Arial"/>
        <family val="2"/>
      </rPr>
      <t xml:space="preserve"> negative impact (damages)</t>
    </r>
  </si>
  <si>
    <r>
      <rPr>
        <b/>
        <sz val="10"/>
        <color theme="1"/>
        <rFont val="Arial"/>
        <family val="2"/>
      </rPr>
      <t>+</t>
    </r>
    <r>
      <rPr>
        <sz val="10"/>
        <color theme="1"/>
        <rFont val="Arial"/>
        <family val="2"/>
      </rPr>
      <t xml:space="preserve"> positive impact (benefits)</t>
    </r>
  </si>
  <si>
    <r>
      <rPr>
        <b/>
        <sz val="10"/>
        <color theme="1"/>
        <rFont val="Arial"/>
        <family val="2"/>
      </rPr>
      <t>Neutral</t>
    </r>
    <r>
      <rPr>
        <sz val="10"/>
        <color theme="1"/>
        <rFont val="Arial"/>
        <family val="2"/>
      </rPr>
      <t xml:space="preserve"> (no impact or balances out)</t>
    </r>
  </si>
  <si>
    <r>
      <rPr>
        <b/>
        <sz val="10"/>
        <color theme="1"/>
        <rFont val="Arial"/>
        <family val="2"/>
      </rPr>
      <t>+ and -</t>
    </r>
    <r>
      <rPr>
        <sz val="10"/>
        <color theme="1"/>
        <rFont val="Arial"/>
        <family val="2"/>
      </rPr>
      <t xml:space="preserve"> both negative and positive impact (balance not known)</t>
    </r>
  </si>
  <si>
    <t>Farmers/ landowners</t>
  </si>
  <si>
    <t>Power lines</t>
  </si>
  <si>
    <t>International designations</t>
  </si>
  <si>
    <t>National designations</t>
  </si>
  <si>
    <t>Local designations</t>
  </si>
  <si>
    <t>Level of access/facilities</t>
  </si>
  <si>
    <t>Site Type</t>
  </si>
  <si>
    <t>Good</t>
  </si>
  <si>
    <t>Moderate</t>
  </si>
  <si>
    <t>Poor</t>
  </si>
  <si>
    <t>Local</t>
  </si>
  <si>
    <t>Medium</t>
  </si>
  <si>
    <t>Regional/National</t>
  </si>
  <si>
    <t>Weight</t>
  </si>
  <si>
    <t>Score</t>
  </si>
  <si>
    <t>Total</t>
  </si>
  <si>
    <t>Value</t>
  </si>
  <si>
    <t>per visit</t>
  </si>
  <si>
    <t>£ per year Damages</t>
  </si>
  <si>
    <t>£ per year Benefits</t>
  </si>
  <si>
    <r>
      <rPr>
        <b/>
        <sz val="10"/>
        <color theme="1"/>
        <rFont val="Arial"/>
        <family val="2"/>
      </rPr>
      <t>Slightly significant</t>
    </r>
    <r>
      <rPr>
        <sz val="10"/>
        <color theme="1"/>
        <rFont val="Arial"/>
        <family val="2"/>
      </rPr>
      <t>:  assets are affected in specific areas only</t>
    </r>
  </si>
  <si>
    <t>Indirect benefits of IDB expenditure</t>
  </si>
  <si>
    <t>Leakage</t>
  </si>
  <si>
    <t>Expenditure</t>
  </si>
  <si>
    <t>based on OECD statistics for UK, Construction (STAN I-O Inverse Matrix Total)</t>
  </si>
  <si>
    <t>http://stats.oecd.org/Index.aspx?DataSetCode=STAN_IO_TOT_DOM_IMP</t>
  </si>
  <si>
    <t>Expenditure per 1 staff</t>
  </si>
  <si>
    <t>based on ADA stats (£49 million annual expenditure supporting 576 staff)</t>
  </si>
  <si>
    <t>http://www.ada.org.uk/downloads/other/downloads_page/pittresponse.pdf</t>
  </si>
  <si>
    <t>Power stations</t>
  </si>
  <si>
    <t>Water supply</t>
  </si>
  <si>
    <t>INSTRUCTIONS</t>
  </si>
  <si>
    <t>Carbon sequestration</t>
  </si>
  <si>
    <t>CALCULATION WORKSHEET</t>
  </si>
  <si>
    <t>FROM:</t>
  </si>
  <si>
    <t>TO:</t>
  </si>
  <si>
    <t>For example, if 5 ha changes from cropland to grassland put 5 into cell E4</t>
  </si>
  <si>
    <t>To update this value, go to:</t>
  </si>
  <si>
    <t>http://www.decc.gov.uk/assets/decc/11/cutting-emissions/carbon-valuation/3136-guide-carbon-valuation-methodology.pdf</t>
  </si>
  <si>
    <t>Very significant</t>
  </si>
  <si>
    <t>Slightly significant</t>
  </si>
  <si>
    <t>Small</t>
  </si>
  <si>
    <t>Large</t>
  </si>
  <si>
    <t>Water logging, drought, flooding, erosion</t>
  </si>
  <si>
    <t>Residential properties</t>
  </si>
  <si>
    <t>Change in ha by land use</t>
  </si>
  <si>
    <t>Change in carbon sequestered by soils</t>
  </si>
  <si>
    <t>Monetary value of change in carbon</t>
  </si>
  <si>
    <t>Monetary estimate of impacts</t>
  </si>
  <si>
    <t>Number of properties whose flood risk changes</t>
  </si>
  <si>
    <t>You can also record properties where there is no change in risk</t>
  </si>
  <si>
    <t xml:space="preserve">You can also record ha where there is no change. </t>
  </si>
  <si>
    <t xml:space="preserve"> For example, if 120 ha are currently cropland and will continue to be cropland, put 120 into cell D4</t>
  </si>
  <si>
    <t>(Benefits of reduction in risk)</t>
  </si>
  <si>
    <t>(Damages from increase in risk)</t>
  </si>
  <si>
    <t>Weighted Average
Annual Damages</t>
  </si>
  <si>
    <t>Total number of businesses</t>
  </si>
  <si>
    <t>Business properties</t>
  </si>
  <si>
    <t>Percent</t>
  </si>
  <si>
    <t>Update if required</t>
  </si>
  <si>
    <t xml:space="preserve">Number </t>
  </si>
  <si>
    <r>
      <t>Mean floor area (m</t>
    </r>
    <r>
      <rPr>
        <b/>
        <vertAlign val="superscript"/>
        <sz val="11"/>
        <color theme="1"/>
        <rFont val="Calibri"/>
        <family val="2"/>
        <scheme val="minor"/>
      </rPr>
      <t>2</t>
    </r>
    <r>
      <rPr>
        <b/>
        <sz val="11"/>
        <color theme="1"/>
        <rFont val="Calibri"/>
        <family val="2"/>
        <scheme val="minor"/>
      </rPr>
      <t>)</t>
    </r>
  </si>
  <si>
    <r>
      <t>Total floor area (m</t>
    </r>
    <r>
      <rPr>
        <b/>
        <vertAlign val="superscript"/>
        <sz val="11"/>
        <color theme="1"/>
        <rFont val="Calibri"/>
        <family val="2"/>
        <scheme val="minor"/>
      </rPr>
      <t>2</t>
    </r>
    <r>
      <rPr>
        <b/>
        <sz val="11"/>
        <color theme="1"/>
        <rFont val="Calibri"/>
        <family val="2"/>
        <scheme val="minor"/>
      </rPr>
      <t>)</t>
    </r>
  </si>
  <si>
    <t>Total floor area of businesses</t>
  </si>
  <si>
    <t>You can input directly into here if you have data on floor area</t>
  </si>
  <si>
    <t>If you enter number of businesses, average floor areas will be used to estimate the impacts</t>
  </si>
  <si>
    <t>If you estimate floor area, actual floor area will be used to estimate the impacts</t>
  </si>
  <si>
    <t>FROM (baseline):</t>
  </si>
  <si>
    <t>FROM (baseline)</t>
  </si>
  <si>
    <t>baseline</t>
  </si>
  <si>
    <t>You can also record where there is no change in risk</t>
  </si>
  <si>
    <r>
      <t>2012 CO</t>
    </r>
    <r>
      <rPr>
        <vertAlign val="subscript"/>
        <sz val="11"/>
        <color theme="1"/>
        <rFont val="Calibri"/>
        <family val="2"/>
        <scheme val="minor"/>
      </rPr>
      <t>2</t>
    </r>
    <r>
      <rPr>
        <sz val="11"/>
        <color theme="1"/>
        <rFont val="Calibri"/>
        <family val="2"/>
        <scheme val="minor"/>
      </rPr>
      <t xml:space="preserve"> value - untraded</t>
    </r>
  </si>
  <si>
    <t>Social Infrastructure</t>
  </si>
  <si>
    <t xml:space="preserve">Hospitals </t>
  </si>
  <si>
    <t>Care homes</t>
  </si>
  <si>
    <t>like hypermarket (Table 5.2 in MCH)</t>
  </si>
  <si>
    <t>like works (Table 5.2 in MCH)</t>
  </si>
  <si>
    <t>like social club (Table 5.2 in MCH)</t>
  </si>
  <si>
    <t>Social infrastructure (all)</t>
  </si>
  <si>
    <t>Day centres, nurseries, care homes</t>
  </si>
  <si>
    <t>Schools, Universities</t>
  </si>
  <si>
    <t>Hospitals, Surgeries</t>
  </si>
  <si>
    <r>
      <t>like hypermarket (Table 5.2 in MCH) for hospital, 151 m</t>
    </r>
    <r>
      <rPr>
        <vertAlign val="superscript"/>
        <sz val="11"/>
        <color theme="1"/>
        <rFont val="Calibri"/>
        <family val="2"/>
        <scheme val="minor"/>
      </rPr>
      <t>2</t>
    </r>
    <r>
      <rPr>
        <sz val="11"/>
        <color theme="1"/>
        <rFont val="Calibri"/>
        <family val="2"/>
        <scheme val="minor"/>
      </rPr>
      <t xml:space="preserve"> for surgery (with 24,160 surgeries and 1,790 hospitals)</t>
    </r>
  </si>
  <si>
    <t>Update if required (currently based on average damages to business properties)</t>
  </si>
  <si>
    <t>Social infrastructure affected</t>
  </si>
  <si>
    <t>SCHOOLS, UNIVERSITIES</t>
  </si>
  <si>
    <t>HOSPITALS, SURGERIES</t>
  </si>
  <si>
    <t>DAY CENTRES , NURSERIES, CARE HOMES</t>
  </si>
  <si>
    <t>LOCAL AUTHORITY DEPOTS</t>
  </si>
  <si>
    <t>VILLAGE HALLS</t>
  </si>
  <si>
    <t>POST OFFICE, SORTING OFFICES</t>
  </si>
  <si>
    <t>Total floor area of social infrastructure</t>
  </si>
  <si>
    <t>Average floor areas will be used to estimate the impacts</t>
  </si>
  <si>
    <r>
      <t>Table 5.2 in MCH, 146 m</t>
    </r>
    <r>
      <rPr>
        <vertAlign val="superscript"/>
        <sz val="11"/>
        <color theme="1"/>
        <rFont val="Calibri"/>
        <family val="2"/>
        <scheme val="minor"/>
      </rPr>
      <t>2</t>
    </r>
    <r>
      <rPr>
        <sz val="11"/>
        <color theme="1"/>
        <rFont val="Calibri"/>
        <family val="2"/>
        <scheme val="minor"/>
      </rPr>
      <t xml:space="preserve"> for post office, 1,017 m</t>
    </r>
    <r>
      <rPr>
        <vertAlign val="superscript"/>
        <sz val="11"/>
        <color theme="1"/>
        <rFont val="Calibri"/>
        <family val="2"/>
        <scheme val="minor"/>
      </rPr>
      <t>2</t>
    </r>
    <r>
      <rPr>
        <sz val="11"/>
        <color theme="1"/>
        <rFont val="Calibri"/>
        <family val="2"/>
        <scheme val="minor"/>
      </rPr>
      <t xml:space="preserve"> for sorting office (with 2,690 post offices and 490 sorting offices)</t>
    </r>
  </si>
  <si>
    <r>
      <t>£ per m</t>
    </r>
    <r>
      <rPr>
        <vertAlign val="superscript"/>
        <sz val="11"/>
        <color theme="1"/>
        <rFont val="Calibri"/>
        <family val="2"/>
        <scheme val="minor"/>
      </rPr>
      <t>2</t>
    </r>
  </si>
  <si>
    <t>Emergency Services</t>
  </si>
  <si>
    <t>POLICE STATIONS</t>
  </si>
  <si>
    <t>Emergency services affected</t>
  </si>
  <si>
    <t>Emergency services (all)</t>
  </si>
  <si>
    <t>Total floor area of Emergency services</t>
  </si>
  <si>
    <t>AMBULANCE STATIONS</t>
  </si>
  <si>
    <t>FIRE STATIONS</t>
  </si>
  <si>
    <t>COASTGUARD STATIONS</t>
  </si>
  <si>
    <t>LIFEBOAT STATIONS</t>
  </si>
  <si>
    <t>OTHER</t>
  </si>
  <si>
    <t>Coastguard stations</t>
  </si>
  <si>
    <t>Lifeboat stations</t>
  </si>
  <si>
    <t>£ per m3</t>
  </si>
  <si>
    <t>Utility services</t>
  </si>
  <si>
    <t>SEWAGE TREATMENT WORKS</t>
  </si>
  <si>
    <t>WATER TREATMENT WORKS</t>
  </si>
  <si>
    <t>PHONE MASTS</t>
  </si>
  <si>
    <t>ELECTRICITY SUB-STATIONS</t>
  </si>
  <si>
    <t>TELEPHONE EXCHANGES</t>
  </si>
  <si>
    <t>OIL REFINERIES</t>
  </si>
  <si>
    <t>Electricity sub-station</t>
  </si>
  <si>
    <t>Telephone exchange</t>
  </si>
  <si>
    <t>£ per m4</t>
  </si>
  <si>
    <t>Utilities (all)</t>
  </si>
  <si>
    <t>like hypermarket (Table 5.2 MCH)</t>
  </si>
  <si>
    <t>Transport (road)</t>
  </si>
  <si>
    <t>MOTORWAY</t>
  </si>
  <si>
    <t>Other road</t>
  </si>
  <si>
    <t>from Table 6.4 in MCH (2010)</t>
  </si>
  <si>
    <t>Traffic impacted</t>
  </si>
  <si>
    <t>Cars</t>
  </si>
  <si>
    <t xml:space="preserve">Vehicles per hour </t>
  </si>
  <si>
    <t>average for England; update with specific data if available</t>
  </si>
  <si>
    <t>Total vehicles affected per hour</t>
  </si>
  <si>
    <t>Delay (hours)</t>
  </si>
  <si>
    <t>Enter estimated delay in hours (12 hours is default)</t>
  </si>
  <si>
    <t>Change in speed due to delay</t>
  </si>
  <si>
    <t>Free-flow</t>
  </si>
  <si>
    <t>With delay</t>
  </si>
  <si>
    <t>Table 6.5, MCH</t>
  </si>
  <si>
    <t>calculated based on additional time needed (1 hour + delay)</t>
  </si>
  <si>
    <t>£ per km road affected</t>
  </si>
  <si>
    <t>speed (kph)</t>
  </si>
  <si>
    <t>Damages</t>
  </si>
  <si>
    <t>£ per km</t>
  </si>
  <si>
    <t>% of Average Annual Damages</t>
  </si>
  <si>
    <t>(based on % WAAD for residential properties)</t>
  </si>
  <si>
    <t>Impacts (all roads)</t>
  </si>
  <si>
    <t>Food Production</t>
  </si>
  <si>
    <t>Energy supply</t>
  </si>
  <si>
    <t>Heritage</t>
  </si>
  <si>
    <t>Jobs (direct and indirect)</t>
  </si>
  <si>
    <t>You can also record land where there is no change in risk</t>
  </si>
  <si>
    <t>LIVESTOCK LAND</t>
  </si>
  <si>
    <t>If you do not have data on different land uses, record all land as arable land</t>
  </si>
  <si>
    <t>Impacts</t>
  </si>
  <si>
    <t>One-off loss</t>
  </si>
  <si>
    <t>GRASSLAND</t>
  </si>
  <si>
    <t>DEFRA scenario used to estimate damages (not does not take account of the potential to convert to grassland)
Based on Table 9.1 in MCH (2010)</t>
  </si>
  <si>
    <t>DEFRA scenario used to estimate damages
Based on Table 9.1 in MCH (2010)</t>
  </si>
  <si>
    <t>Land value</t>
  </si>
  <si>
    <t>Single payment adjustment</t>
  </si>
  <si>
    <t>from Defra (2008) guidance</t>
  </si>
  <si>
    <t>Nix (2012)</t>
  </si>
  <si>
    <t>Needs to be converted to annual value</t>
  </si>
  <si>
    <t>So it can be added to other values</t>
  </si>
  <si>
    <t>Years over which land value is annualised</t>
  </si>
  <si>
    <t>Annualised value</t>
  </si>
  <si>
    <t>Annualisation factor</t>
  </si>
  <si>
    <t>Note a value less than 100 means this cannot be discounted over 100 years to give Present Value damages</t>
  </si>
  <si>
    <t>per ha per year</t>
  </si>
  <si>
    <t>Winter wheat</t>
  </si>
  <si>
    <t>Average of winter and summer finishing suckler bred cattle</t>
  </si>
  <si>
    <t>(Nix (2012)</t>
  </si>
  <si>
    <t>£ per ha</t>
  </si>
  <si>
    <t>Impacts (all land)</t>
  </si>
  <si>
    <t>POWER STATIONS</t>
  </si>
  <si>
    <t>POWER LINES</t>
  </si>
  <si>
    <t>Source:</t>
  </si>
  <si>
    <t>INTERNATIONAL DESIGNATIONS (Ha)</t>
  </si>
  <si>
    <t>NATIONAL DESIGNATIONS (Ha)</t>
  </si>
  <si>
    <t>OTHER/LOCAL DESIGNATIONS (Ha)</t>
  </si>
  <si>
    <t xml:space="preserve">Source:  </t>
  </si>
  <si>
    <t>{enter source}</t>
  </si>
  <si>
    <t>Identify number and importance of recreation and tourism assets</t>
  </si>
  <si>
    <t>No. cycle ways, bridleways</t>
  </si>
  <si>
    <t>Based on BAG River and Groundwater, Part II, Tables 2.3 and 2.7; also Table 8.2 in MCH (2010)</t>
  </si>
  <si>
    <t>Site type:</t>
  </si>
  <si>
    <t>Access/facilities:</t>
  </si>
  <si>
    <t>No. visitors per year:</t>
  </si>
  <si>
    <t>Value based on Rosenberger, Randall S.; Loomis, John B. 2001. Benefit transfer of outdoor recreation use values: A technical document supporting the Forest Service Strategic Plan (2000 revision).</t>
  </si>
  <si>
    <t>(converted to £ and updated to 2011 values)</t>
  </si>
  <si>
    <t>All recreational assets</t>
  </si>
  <si>
    <t>RECREATIONAL ASSETS</t>
  </si>
  <si>
    <t>Average no. visitors per recreational asset</t>
  </si>
  <si>
    <t>Enter actual number of visitors if known</t>
  </si>
  <si>
    <t>No. other waymarked walks</t>
  </si>
  <si>
    <t>1 = likely to be mainly used by locals and visitors (but where visitors are unlikely to have established their existence before their visit)</t>
  </si>
  <si>
    <t>3 = likely to be assets that encourage visitors to come to the area</t>
  </si>
  <si>
    <t>2 = likely to be assets that  visitors may have identified as being of interest once they have decided to visit the area</t>
  </si>
  <si>
    <t>You can use it at a number of different levels:</t>
  </si>
  <si>
    <t>You can identify the direction of change, the magnitude of change and significance of change by selecting from the drop-down boxes.  That will complete the qualitative assessment.</t>
  </si>
  <si>
    <t>If you want to estimate the monetary impacts, you can complete the calculation sheets for the categories where you have data/knowledge.</t>
  </si>
  <si>
    <t>At this level, you just need to fill in information that you have to hand or using knowledge within the Drainage Board.  This could involve completing the worksheets as part of a round table discussion.</t>
  </si>
  <si>
    <t>1.  The lowest level of application is based on knowledge and information that you already have</t>
  </si>
  <si>
    <t>2.  The medium level of application is based on use of readily available tools to provide additional information</t>
  </si>
  <si>
    <t>You would add to the information collected from existing knowledge through the use of tools such as GIS, mapping, etc.  This may provide you with more quantitative information.</t>
  </si>
  <si>
    <t>This may enable you to add more detail to your descriptions of the current situation.</t>
  </si>
  <si>
    <t>You may then want to add to the number of categories for which you have estimated monetary impacts (using the calculation sheets).</t>
  </si>
  <si>
    <t>3.  The high level of application is based on generating new information specifically to inform the assessment</t>
  </si>
  <si>
    <t>The new information might come from site visits, engagement with stakeholders and/or investigations.</t>
  </si>
  <si>
    <t>Again, this will enable you to add more detail to your descriptions and to reduce uncertainty (especially with numbers).</t>
  </si>
  <si>
    <t>You can then add to or revise the monetary impacts using the cost calculation worksheets.  You might also want to add specific numbers to replace the default numbers included in the cost calculation sheets.</t>
  </si>
  <si>
    <t>What is this spreadsheet for?</t>
  </si>
  <si>
    <t>What does each worksheet do?</t>
  </si>
  <si>
    <t>Summary of area</t>
  </si>
  <si>
    <t>Describe and quantify assets</t>
  </si>
  <si>
    <t>This worksheet is used to record information on the current situation (the IDB continuing to undertake its activities as at present).</t>
  </si>
  <si>
    <t>Describe baseline</t>
  </si>
  <si>
    <t>This worksheet is used to record information on the baseline situation (assumed to be where the IDB stops all activities).</t>
  </si>
  <si>
    <t>OUTPUT</t>
  </si>
  <si>
    <t>Calculation worksheets</t>
  </si>
  <si>
    <t>These worksheets provide the results of your assessment.</t>
  </si>
  <si>
    <t>These are only provided where monetary values can be calculated using readily available valuations and default or average numbers.</t>
  </si>
  <si>
    <t>You can update the numbers or add new values of your own, if you have them.  This may reduce the level of uncertainty associated with using default numbers.</t>
  </si>
  <si>
    <t>What are direct, indirect and induced beneficiaries?</t>
  </si>
  <si>
    <t>Guidance on how to assess the benefits is provided separately.  This describes what each category covers as well as who is considered to be direct, indirect and induced beneficiaries for each category.</t>
  </si>
  <si>
    <t>The guidance will also help you to understand what sort of information you'll need to complete the assessment and what the uncertainties are.</t>
  </si>
  <si>
    <t>Estimate of percentage of expenditure that is spent outside IDB area</t>
  </si>
  <si>
    <t>Value of local jobs supported</t>
  </si>
  <si>
    <t>Number of staff employed by IDB</t>
  </si>
  <si>
    <t>Region</t>
  </si>
  <si>
    <t>Public water supply</t>
  </si>
  <si>
    <t>Spray irrigation</t>
  </si>
  <si>
    <t>Agriculture (excl. spray irrigation)</t>
  </si>
  <si>
    <t>Electricity supply industry</t>
  </si>
  <si>
    <t>Other industry</t>
  </si>
  <si>
    <t>Fish farming, cress growing, amenity ponds</t>
  </si>
  <si>
    <t>Private water supply</t>
  </si>
  <si>
    <t>North West</t>
  </si>
  <si>
    <t>North East</t>
  </si>
  <si>
    <t>Midlands</t>
  </si>
  <si>
    <t>Anglian</t>
  </si>
  <si>
    <t>Thames</t>
  </si>
  <si>
    <t>Southern</t>
  </si>
  <si>
    <t>South West</t>
  </si>
  <si>
    <t>EA Region</t>
  </si>
  <si>
    <t>Average Ml/day per licence</t>
  </si>
  <si>
    <t>Number of licences where water is being abstracted from within the DB but used outside the DB (to avoid double counting with other benefits)</t>
  </si>
  <si>
    <t>No. of licences</t>
  </si>
  <si>
    <t>Total volume abstracted</t>
  </si>
  <si>
    <t>or enter total if breakdown is not known</t>
  </si>
  <si>
    <t>Value of water (£/Ml/day)</t>
  </si>
  <si>
    <t>Based on long-run marginal cost</t>
  </si>
  <si>
    <t>Value (per Ml/d)</t>
  </si>
  <si>
    <t>Based on irrigation of cereals</t>
  </si>
  <si>
    <t>Replacement of water from other available sources</t>
  </si>
  <si>
    <t>Average</t>
  </si>
  <si>
    <t>You can also record where there is no change in availability</t>
  </si>
  <si>
    <t>Number of properties whose risk changes due to changes in water levels</t>
  </si>
  <si>
    <t>From Table 4.4 in the Multi-Coloured Manual (2010 version); update if required especially if looking at increased risk of drought</t>
  </si>
  <si>
    <t>Number of properties whose  risk changes due to changes in water levels</t>
  </si>
  <si>
    <t>Number of SCHOOLS, UNIVERSITIES whose  risk changes due to changes in water levels</t>
  </si>
  <si>
    <t>Number of HOSPITALS, SURGERIES whose  risk changes due to changes in water levels</t>
  </si>
  <si>
    <t>Number of DAY CENTRES, NURSERIES, CARE HOMES whose  risk changes due to changes in water levels</t>
  </si>
  <si>
    <t>Number of LOCAL AUTHORITY DEPOTS whose  risk changes due to changes in water levels</t>
  </si>
  <si>
    <t>Number of VILLAGE HALLS whose  risk changes due to changes in water levels</t>
  </si>
  <si>
    <t>Number of POST OFFICES, SORTING OFFICES whose  risk changes due to changes in water levels</t>
  </si>
  <si>
    <t>Number of POLICE STATIONS whose  risk changes due to changes in water levels</t>
  </si>
  <si>
    <t>Number of AMBULANCE STATIONS whose risk changes due to changes in water levels</t>
  </si>
  <si>
    <t>Number of FIRE STATIONS whose risk changes due to changes in water levels</t>
  </si>
  <si>
    <t>Number of COASTGUARD STATIONS whose risk changes due to changes in water levels</t>
  </si>
  <si>
    <t>Number of LIFEBOAT STATIONS whose risk changes due to changes in water levels</t>
  </si>
  <si>
    <t>Enter number of abstraction licences against the risk that abstraction could not be undertaken</t>
  </si>
  <si>
    <t>Enter area of arable land in hectares against risk that land would not be suitable for production</t>
  </si>
  <si>
    <t>Enter area of land used to graze livestock in hectares against risk that land would not be suitable for production</t>
  </si>
  <si>
    <t>Enter number of power stations against risk that land would not be suitable for production of energy</t>
  </si>
  <si>
    <t>Enter length of power lines in km against risk that land would not be suitable for transmission of electricity</t>
  </si>
  <si>
    <t>Enter area of land with international designations in hectares against risk that land would not be suitable for designated habitats/species</t>
  </si>
  <si>
    <t>Enter area of land with national designations in hectares against risk that land would not be suitable for designated habitats/species</t>
  </si>
  <si>
    <t>Enter area of land with local or other designations in hectares against risk that land would not be suitable for designated habitats/species</t>
  </si>
  <si>
    <t>Enter number of assets against risk that land would not be suitable for recreational activities</t>
  </si>
  <si>
    <t>Enter number of properties against risk that properties would not be suitable for their current purpose</t>
  </si>
  <si>
    <t>Enter number of businesses against risk that businesses would not be suitable for their current purpose</t>
  </si>
  <si>
    <t>Enter number of stations against risk that stations would not be suitable for their current purpose</t>
  </si>
  <si>
    <t>Enter number of works against risk that the works would not be suitable for their current purpose</t>
  </si>
  <si>
    <t>Enter number of sub-stations against risk that sub-stations would not be suitable for their current purpose</t>
  </si>
  <si>
    <t>Enter number of phone masts against risk that the land would not be suitable for phone masts</t>
  </si>
  <si>
    <t>Enter number of telephone exchanges here against risk that the exchanges would not be suitable for current purpose</t>
  </si>
  <si>
    <t>Enter number of refineries against risk that the refineries would not be suitable for their current purpose</t>
  </si>
  <si>
    <t>Enter length of motorway against risk that land would not be suitable for transport</t>
  </si>
  <si>
    <t>Enter other road against risk that land would not be suitable for transport</t>
  </si>
  <si>
    <t>PUBLIC WATER SUPPLY ABSTRACTIONS</t>
  </si>
  <si>
    <t>SPRAY IRRIGATION</t>
  </si>
  <si>
    <t>ALL OTHER LICENCES</t>
  </si>
  <si>
    <t>All other licences</t>
  </si>
  <si>
    <t>Impacts (PWS licences)</t>
  </si>
  <si>
    <t>Impacts (spray irrigation and all other licences)</t>
  </si>
  <si>
    <t>Number and importance of heritage assets</t>
  </si>
  <si>
    <t>World Heritage Sites</t>
  </si>
  <si>
    <t>International designations:</t>
  </si>
  <si>
    <t>National designations:</t>
  </si>
  <si>
    <t>Listed buildings</t>
  </si>
  <si>
    <t>Scheduled monuments</t>
  </si>
  <si>
    <t>Registered parks and gardens</t>
  </si>
  <si>
    <t>Registered battlefields</t>
  </si>
  <si>
    <t>Local designations:</t>
  </si>
  <si>
    <t>Conservation areas</t>
  </si>
  <si>
    <t>Local listing/local heritage assets</t>
  </si>
  <si>
    <t>Source:  bdrc (2009):  Survey of visits to visitor attractions 2009, Report for heritage counts - August 2009, prepared for English Heritage by bdrc, August 2009, available at http://www.english-heritage.org.uk/content/imported-docs/u-z/Visitors_to_heritage_sites_2008.pdf</t>
  </si>
  <si>
    <t>Typical number of visits to heritage assets</t>
  </si>
  <si>
    <t>No. visits</t>
  </si>
  <si>
    <t>Or enter actual visitor numbers if known</t>
  </si>
  <si>
    <t>based on historic houses (above)</t>
  </si>
  <si>
    <t>based on historic monuments (above)</t>
  </si>
  <si>
    <t>based on gardens (above)</t>
  </si>
  <si>
    <t>Difficult to extract visitor numbers for heritage alone</t>
  </si>
  <si>
    <t>Typical £ per visitor value of heritage assets</t>
  </si>
  <si>
    <t>£ per visit</t>
  </si>
  <si>
    <t>Available willingness to pay values are limited</t>
  </si>
  <si>
    <t>Or enter specific values if these are available</t>
  </si>
  <si>
    <t>based on total number of visitors to WHS that collect tourism information divided by number of sites to give average (likely to be highly uncertain)</t>
  </si>
  <si>
    <t>LISTED BUILDINGS</t>
  </si>
  <si>
    <t>Enter number of heritage assets against risk that water levels would not be suitable for internationally designated heritage sites</t>
  </si>
  <si>
    <t>SCHEDULED MONUMENTS</t>
  </si>
  <si>
    <t>REGISTERED PARKS AND GARDENS</t>
  </si>
  <si>
    <t>REGISTERED BATTLEFIELDS</t>
  </si>
  <si>
    <t>LOCAL DESIGNATIONS</t>
  </si>
  <si>
    <t>Impacts (all heritage assets)</t>
  </si>
  <si>
    <t>% of total Damages</t>
  </si>
  <si>
    <t>% of total Benefits</t>
  </si>
  <si>
    <t>Table showing who benefits and by how much (all values given to two significant figures)</t>
  </si>
  <si>
    <t xml:space="preserve">TOTAL </t>
  </si>
  <si>
    <t>Table showing magnitude and significance of impacts across all relevant categories</t>
  </si>
  <si>
    <t>Significance</t>
  </si>
  <si>
    <t>Table showing percentage by significance of impacts across all relevant categories</t>
  </si>
  <si>
    <t>Table showing percentage by magnitude of impacts across all relevant categories</t>
  </si>
  <si>
    <t>Summary Charts and Tables</t>
  </si>
  <si>
    <t xml:space="preserve">Water levels: </t>
  </si>
  <si>
    <t>Social infrastructure</t>
  </si>
  <si>
    <t>Emergency services</t>
  </si>
  <si>
    <t>Utilities</t>
  </si>
  <si>
    <t>Sequestration by soils</t>
  </si>
  <si>
    <t>Carbon:</t>
  </si>
  <si>
    <t>Water supply:</t>
  </si>
  <si>
    <t>Abstraction licences</t>
  </si>
  <si>
    <t>Recreation and tourism:</t>
  </si>
  <si>
    <t>Range of recreational assets</t>
  </si>
  <si>
    <t>International, national and local designations</t>
  </si>
  <si>
    <t>Jobs</t>
  </si>
  <si>
    <t>Employees and knock-on benefits of IDB spend</t>
  </si>
  <si>
    <t>Food production:</t>
  </si>
  <si>
    <t>SUMMARY OF AREA:  KEY STATISTICS and BACKGROUND INFORMATION</t>
  </si>
  <si>
    <t>This worksheet is used to record key statistics and background details on the IDB, drawn mainly from your policy statement.</t>
  </si>
  <si>
    <r>
      <t xml:space="preserve">You can start with the core categories (these should be relevant to all IDBs and are coloured </t>
    </r>
    <r>
      <rPr>
        <sz val="11"/>
        <color rgb="FF00B050"/>
        <rFont val="Calibri"/>
        <family val="2"/>
        <scheme val="minor"/>
      </rPr>
      <t>green</t>
    </r>
    <r>
      <rPr>
        <sz val="11"/>
        <color theme="1"/>
        <rFont val="Calibri"/>
        <family val="2"/>
        <scheme val="minor"/>
      </rPr>
      <t xml:space="preserve">) and then add the optional categories (coloured </t>
    </r>
    <r>
      <rPr>
        <sz val="11"/>
        <color theme="3" tint="0.39998000860214233"/>
        <rFont val="Calibri"/>
        <family val="2"/>
        <scheme val="minor"/>
      </rPr>
      <t>blue</t>
    </r>
    <r>
      <rPr>
        <sz val="11"/>
        <color theme="1"/>
        <rFont val="Calibri"/>
        <family val="2"/>
        <scheme val="minor"/>
      </rPr>
      <t>) that are important to your IDB.</t>
    </r>
  </si>
  <si>
    <t>There are 3 output worksheets:  one for all categories, one for the core categories only and one for the optional categories only.</t>
  </si>
  <si>
    <t>You need to describe the assets in the current situation (the  IDB continuing to undertake its activities as at present) and what the impacts would be on these assets under the baseline (IDB stops all activities).</t>
  </si>
  <si>
    <t>Social infrastructure at risk (hospitals, schools, care homes, local authority depots, village halls, etc.)</t>
  </si>
  <si>
    <r>
      <rPr>
        <b/>
        <sz val="10"/>
        <color theme="1"/>
        <rFont val="Arial"/>
        <family val="2"/>
      </rPr>
      <t>Very significant</t>
    </r>
    <r>
      <rPr>
        <sz val="10"/>
        <color theme="1"/>
        <rFont val="Arial"/>
        <family val="2"/>
      </rPr>
      <t>: all or almost all assets in this category are affected</t>
    </r>
  </si>
  <si>
    <t>Approach used follows TAG method from the Department for Transport (2009).  Given as Equation 6.2 in MCH (Chapter 6)</t>
  </si>
  <si>
    <t>based on other historic properties (above; highly uncertain)</t>
  </si>
  <si>
    <t xml:space="preserve">These values are based on low and high estimates for entry to Warkworth Castle (Garrod &amp; Willis, 1996; 1997) updated to 2011 values </t>
  </si>
  <si>
    <t>Calculation Worksheets</t>
  </si>
  <si>
    <t>Calculation worksheets have been prepared for the following categories:</t>
  </si>
  <si>
    <t>(based on % WAAD for business properties)</t>
  </si>
  <si>
    <t>based on Table 4.5 in MCH</t>
  </si>
  <si>
    <t>Total no. properties at risk</t>
  </si>
  <si>
    <t>Estimated default number of properties</t>
  </si>
  <si>
    <t>Total no. services at risk</t>
  </si>
  <si>
    <t>Estimated default number of services</t>
  </si>
  <si>
    <t>Total length of road at risk</t>
  </si>
  <si>
    <t>Estimated default length of road at risk</t>
  </si>
  <si>
    <t>Total no. businesses at risk</t>
  </si>
  <si>
    <t>Estimated default no. businesses at risk</t>
  </si>
  <si>
    <t>Total floor area of utilities</t>
  </si>
  <si>
    <t>Utilities affected</t>
  </si>
  <si>
    <t>Total no. utilities at risk</t>
  </si>
  <si>
    <t>Estimated default no. utilities at risk</t>
  </si>
  <si>
    <t>or enter known licensed volumes if you have these data</t>
  </si>
  <si>
    <t>Impacts (all assets)</t>
  </si>
  <si>
    <t>For example, if the risk to 100 properties changes from 50% to 20% put 100 into cell E6</t>
  </si>
  <si>
    <t>For example, if 75 properties have probability of impacts of 10% now and will continue to do so, put 75 into cell G7</t>
  </si>
  <si>
    <t>Properties at each probability level</t>
  </si>
  <si>
    <t>average proportion of area at risk at each probability level</t>
  </si>
  <si>
    <t>For example, if 75 properties have a probability of impacts of 10% now and will continue to do so, put 75 into cell G7</t>
  </si>
  <si>
    <t>No. businesses at each probability level</t>
  </si>
  <si>
    <t>average proportion of area at each probability level</t>
  </si>
  <si>
    <t>For example, if the risk to 3 schools and universities changes from 50% to 20% put 3 into cell F5</t>
  </si>
  <si>
    <t>For example, if 2 schools and universities are at 10% now and will continue to be, put 2 into cell G7</t>
  </si>
  <si>
    <t>Services at each probability level</t>
  </si>
  <si>
    <t>For example, if the risk to 3 police stations changes from 50% to 20% put 3 into cell F5</t>
  </si>
  <si>
    <t>For example, if 2 police stations have a probability level of 10% now and will continue to do so, put 2 into cell G7</t>
  </si>
  <si>
    <t>No. utilities at each probability level</t>
  </si>
  <si>
    <t>For example, if the risk to 3 sewage treatment works changes from 50% to 20% put 3 into cell F5</t>
  </si>
  <si>
    <t>For example, if 2 sewage treatment works have a probability level of 10% now and will continue to do so, put 2 into cell G7</t>
  </si>
  <si>
    <t>Length of road at each probability level</t>
  </si>
  <si>
    <t>For example, if 1,200 ha of arable land has a probability level of 10% now and will continue to do so, put 1,200 into cell G8</t>
  </si>
  <si>
    <t>For example, if 200 ha of international designations has a probability level of 10% now and will continue to do so, put 200 into cell G8</t>
  </si>
  <si>
    <t>For example, if availability of 2 licences has a probability level of 10% now and will continue to do so, put 2 into cell G30</t>
  </si>
  <si>
    <t>For example, if the risk to 116 ha arable land changes from 50% to 20% put 116 into cell F6</t>
  </si>
  <si>
    <t>For example, if the risk to 55 ha international designations changes from  50% to  20% put 55 into cell F6</t>
  </si>
  <si>
    <t>For example, if the availability to 5 licences changes from  50% to  20% put 5 into cell F28</t>
  </si>
  <si>
    <t>% of area benefitting from IDB activities only</t>
  </si>
  <si>
    <t>total area avoiding benefits in areas benefitting from EA assets</t>
  </si>
  <si>
    <t>Benefits from EA Assets</t>
  </si>
  <si>
    <t>TOTAL  (excluding benefits from EA assets)</t>
  </si>
  <si>
    <t>WORLD HERITAGE SITES</t>
  </si>
  <si>
    <t>OTHER 1</t>
  </si>
  <si>
    <t>OTHER 2</t>
  </si>
  <si>
    <t>Impacts from EA assets</t>
  </si>
  <si>
    <t>% of area benefitting from EA assets</t>
  </si>
  <si>
    <t>Qualitative impacts (not possible to monetise)</t>
  </si>
  <si>
    <t>TOTAL</t>
  </si>
  <si>
    <t>RESIDENTIAL PROPERTIES</t>
  </si>
  <si>
    <t>Market values</t>
  </si>
  <si>
    <t>regional average property value</t>
  </si>
  <si>
    <t>ONE-OFF LOSS</t>
  </si>
  <si>
    <t>Years over which property value is annualised</t>
  </si>
  <si>
    <t>Taking account of permanent/one-off loss</t>
  </si>
  <si>
    <t>BUSINESS PROPERTIES</t>
  </si>
  <si>
    <t>regional average property value (average rateable value x 10)</t>
  </si>
  <si>
    <t>per property per year</t>
  </si>
  <si>
    <t>per m2 per property per year</t>
  </si>
  <si>
    <t>regional average property value for factory (average rateable value x 10)</t>
  </si>
  <si>
    <t>regional average property value for retail (average rateable value x 10)</t>
  </si>
  <si>
    <t>regional average property value for warehouse (average rateable value x 10)</t>
  </si>
  <si>
    <t>regional average property value for office/other (average rateable value x 10)</t>
  </si>
  <si>
    <t>regional average property value for non-bulk (average rateable value x 10)</t>
  </si>
  <si>
    <t>SOCIAL INFRASTRUCTURE</t>
  </si>
  <si>
    <t>EMERGENCY SERVICES</t>
  </si>
  <si>
    <t>UTILITIES</t>
  </si>
  <si>
    <t>ROAD TRANSPORT</t>
  </si>
  <si>
    <t>relocation (rebuild) or road raising costs per km</t>
  </si>
  <si>
    <t>Transport (rail)</t>
  </si>
  <si>
    <t>Adjusted annualised value</t>
  </si>
  <si>
    <t>Energy (direct)</t>
  </si>
  <si>
    <t>ENERGY (DIRECT)</t>
  </si>
  <si>
    <t>Total no./length at risk</t>
  </si>
  <si>
    <t>Estimated default no./length at risk</t>
  </si>
  <si>
    <t>No./length at each probability level</t>
  </si>
  <si>
    <t>annualised per m2 per property per year</t>
  </si>
  <si>
    <t>Km</t>
  </si>
  <si>
    <t>Total floor area of power stations</t>
  </si>
  <si>
    <t>Number of power stations whose  risk changes due to changes in water levels</t>
  </si>
  <si>
    <t>Total length of power lines</t>
  </si>
  <si>
    <t>Length whose  risk changes due to changes in water levels</t>
  </si>
  <si>
    <t>WATER SUPPLY</t>
  </si>
  <si>
    <t>Spray Irrigation</t>
  </si>
  <si>
    <t>Public Water Supply</t>
  </si>
  <si>
    <t>Other licences</t>
  </si>
  <si>
    <t>relocation of abstraction/development of new abstraction point (per Ml/day)</t>
  </si>
  <si>
    <t>Years over which abstraction value is annualised</t>
  </si>
  <si>
    <t>Energy (direct):</t>
  </si>
  <si>
    <t>Energy (indirect):</t>
  </si>
  <si>
    <t>Consumer energy use</t>
  </si>
  <si>
    <t>Power station and power lines operators</t>
  </si>
  <si>
    <t>HERITAGE</t>
  </si>
  <si>
    <t>relocation of heritage asset (where possible)</t>
  </si>
  <si>
    <t>annualised per heritage asset</t>
  </si>
  <si>
    <t>RECREATION AND TOURISM</t>
  </si>
  <si>
    <t>Long distance footpaths</t>
  </si>
  <si>
    <t>Other waymarked walks</t>
  </si>
  <si>
    <t>Cycle ways, bridleways</t>
  </si>
  <si>
    <t>Car parks</t>
  </si>
  <si>
    <t>Camp sites</t>
  </si>
  <si>
    <t>Picnic areas</t>
  </si>
  <si>
    <t>Golf courses</t>
  </si>
  <si>
    <t>Museums</t>
  </si>
  <si>
    <t>Pubs</t>
  </si>
  <si>
    <t>Racecourses</t>
  </si>
  <si>
    <t>Horse riding centres</t>
  </si>
  <si>
    <t>Leisure centres</t>
  </si>
  <si>
    <t>relocation of asset (where possible)</t>
  </si>
  <si>
    <t>annualised per recreation asset</t>
  </si>
  <si>
    <t>weighted average across all recreational assets</t>
  </si>
  <si>
    <t>Wider consumers</t>
  </si>
  <si>
    <t>GAS WORKS/PIPELINES</t>
  </si>
  <si>
    <t>Gas works/pipelines</t>
  </si>
  <si>
    <t>Mainline</t>
  </si>
  <si>
    <t>Branch</t>
  </si>
  <si>
    <t>RAIL TRANSPORT</t>
  </si>
  <si>
    <t>relocation (rebuild) costs per km</t>
  </si>
  <si>
    <t>Station</t>
  </si>
  <si>
    <t>relocation (rebuild) costs per km station</t>
  </si>
  <si>
    <t>per km per year</t>
  </si>
  <si>
    <t>per station per year</t>
  </si>
  <si>
    <t>m2 per station</t>
  </si>
  <si>
    <t>per m2 (based on average business damages)</t>
  </si>
  <si>
    <t>per station</t>
  </si>
  <si>
    <t>MAINLINE</t>
  </si>
  <si>
    <t>BRANCH LINE</t>
  </si>
  <si>
    <t>STATIONS</t>
  </si>
  <si>
    <t>Enter length of mainline railway against risk that land would not be suitable for transport</t>
  </si>
  <si>
    <t>Enter length of branch line railway against risk that land would not be suitable for transport</t>
  </si>
  <si>
    <t>Enter number of stations against risk that land would not be suitable for transport</t>
  </si>
  <si>
    <t>% of Average Annual Damages (Direct)</t>
  </si>
  <si>
    <t>One-off loss (direct damages)</t>
  </si>
  <si>
    <t>repair costs per km</t>
  </si>
  <si>
    <t>% of Average Annual Damages (Indirect)</t>
  </si>
  <si>
    <t>DIRECT</t>
  </si>
  <si>
    <t>INDIRECT</t>
  </si>
  <si>
    <t>One-off loss (repairs due to occasional damage)</t>
  </si>
  <si>
    <t xml:space="preserve">per km </t>
  </si>
  <si>
    <t>mainline</t>
  </si>
  <si>
    <t>branch line</t>
  </si>
  <si>
    <t>Total length of railway at risk</t>
  </si>
  <si>
    <t>Impacts (all rail passengers affected)</t>
  </si>
  <si>
    <t>Relocation costs</t>
  </si>
  <si>
    <t>Years over which value is annualised</t>
  </si>
  <si>
    <t>per ha (based on cost of creating water dependent habitat)</t>
  </si>
  <si>
    <t>per ha (based on cost of creation of intertidal habitat)</t>
  </si>
  <si>
    <t>per ha (assumed lower cost than national designation)</t>
  </si>
  <si>
    <t>Occasional loss</t>
  </si>
  <si>
    <t>repair costs</t>
  </si>
  <si>
    <t>SMALL/MEDIUM SIZED BUSINESSES</t>
  </si>
  <si>
    <t>HOMES</t>
  </si>
  <si>
    <t>LARGE BUSINESSES</t>
  </si>
  <si>
    <t>Enter number of homes that would be affected by power outages due to flooding of power stations or electricity sub-stations</t>
  </si>
  <si>
    <t>Enter number of small and medium-sized businesses that would be affected by power outages due to flooding of power stations or electricity sub-stations</t>
  </si>
  <si>
    <t>Enter number of large businesses that would be affected by power outages due to flooding of power stations or electricity sub-stations</t>
  </si>
  <si>
    <t>COST of POWER OUTAGE</t>
  </si>
  <si>
    <t>Homes</t>
  </si>
  <si>
    <t>Small and medium-sized businesses</t>
  </si>
  <si>
    <t>Large businesses</t>
  </si>
  <si>
    <t>per hour</t>
  </si>
  <si>
    <t>Lawton L et al (2003):  A Framework and Review of Customer Outage Costs:  Integration and Analysis of Electricity Utility Outage Cost Surveys, Berkeley National Laboratory, November 2003.  Figures for a one hour summer afternoon outage</t>
  </si>
  <si>
    <t>(costs based on US study, converted to £ and uprated to 2012 values)</t>
  </si>
  <si>
    <t>Hours affected</t>
  </si>
  <si>
    <t>hours</t>
  </si>
  <si>
    <t xml:space="preserve">Default is 8 hours </t>
  </si>
  <si>
    <t>relocation rebuild, or resilience costs</t>
  </si>
  <si>
    <t>HORTICULTURE</t>
  </si>
  <si>
    <t>Enter area of land used for horticulture in hectares against risk that land would not be suitable for production</t>
  </si>
  <si>
    <t>Average across strawberries (raised bed and everbearers), raspberries, and three field scale vegetables</t>
  </si>
  <si>
    <t>Horticulture</t>
  </si>
  <si>
    <t>Grid supply points</t>
  </si>
  <si>
    <t>Transformation sub-stations</t>
  </si>
  <si>
    <t>Primary sub-stations</t>
  </si>
  <si>
    <t>Distribution sub-stations</t>
  </si>
  <si>
    <t>Typical number of customers (homes and businesses) supplied by different size sub-stations</t>
  </si>
  <si>
    <t>Typical customer distribution</t>
  </si>
  <si>
    <t>Only include those sub-stations where flooding would cause power outages</t>
  </si>
  <si>
    <t>Duration of closure</t>
  </si>
  <si>
    <t>What is the typical annual capital cost?</t>
  </si>
  <si>
    <t>£ capital cost (average per year)</t>
  </si>
  <si>
    <t>What is the annual cost of maintaining the assets?</t>
  </si>
  <si>
    <t>£ maintenance spend (excluding capital)</t>
  </si>
  <si>
    <t>£ all other costs</t>
  </si>
  <si>
    <t>Carbon</t>
  </si>
  <si>
    <t>Start year</t>
  </si>
  <si>
    <t>Total PV benefits</t>
  </si>
  <si>
    <t>Residential</t>
  </si>
  <si>
    <t>Business</t>
  </si>
  <si>
    <t>Social inf</t>
  </si>
  <si>
    <t>Emergency</t>
  </si>
  <si>
    <t>Road transport</t>
  </si>
  <si>
    <t>Rail transport</t>
  </si>
  <si>
    <t>Food production</t>
  </si>
  <si>
    <t>Energy direct</t>
  </si>
  <si>
    <t>Energy indirect</t>
  </si>
  <si>
    <t>Total PV0</t>
  </si>
  <si>
    <t>Note:  all £ benefit values ignore the timing of benefits.  If benefits were to occur some time into the</t>
  </si>
  <si>
    <t>future they could be significantly smaller (in Present Value terms) than those presented above</t>
  </si>
  <si>
    <t>Depreciation factor</t>
  </si>
  <si>
    <t>Reduction in rebuild costs due to likelihood that assets would be rebuilt over time anyway (regardless of impacts of changing water levels)</t>
  </si>
  <si>
    <t>The benefits shown below do not take account of when they would occur, they are an indicative annual estimate only and should not be compared against the costs without consideration of the timing of benefits</t>
  </si>
  <si>
    <t>What other costs are incurred (admin, running costs, etc.)?</t>
  </si>
  <si>
    <t>Do not include an assets that have been included under recreation</t>
  </si>
  <si>
    <t>These are jobs supported in the local area</t>
  </si>
  <si>
    <t>Designated biodiversity sites</t>
  </si>
  <si>
    <t>International, national, and local designations</t>
  </si>
  <si>
    <t>This spreadsheet is intended to provide a proportionate approach to benefits assessment to determine thebenefits provided by one IDB</t>
  </si>
  <si>
    <t>It is important to note that the cumulative impacts across two or more IDBs should not be assumed to be the sum of the individual IDB benefits,</t>
  </si>
  <si>
    <t>A ROAD and CRITICAL B ROADS</t>
  </si>
  <si>
    <t>OTHER ROADS</t>
  </si>
  <si>
    <t>(where these roads provide access to assets outside the area that is permanently affected)</t>
  </si>
  <si>
    <t>Enter length of A road and critical B Roads against risk that land would not be suitable for transport</t>
  </si>
  <si>
    <t>Critical B roads are thoseproviding access into and out of the IDB district</t>
  </si>
  <si>
    <r>
      <t xml:space="preserve">average of weighted averages for 2011 (Nix, 2012):  </t>
    </r>
    <r>
      <rPr>
        <b/>
        <sz val="11"/>
        <color theme="1"/>
        <rFont val="Calibri"/>
        <family val="2"/>
        <scheme val="minor"/>
      </rPr>
      <t>Replace with actual land values where available</t>
    </r>
  </si>
  <si>
    <t>especially where the IDBs are adjacent to each other as this is likely to significantly under-estimate the cumulative benefits.</t>
  </si>
  <si>
    <t>Data sources used</t>
  </si>
  <si>
    <t>References</t>
  </si>
  <si>
    <t>Uncertainty</t>
  </si>
  <si>
    <t>How much uncertainty is there is terms of the baseline description and the qualitative assessment, and the data and information on which these are based?</t>
  </si>
  <si>
    <r>
      <rPr>
        <b/>
        <sz val="10"/>
        <color theme="1"/>
        <rFont val="Arial"/>
        <family val="2"/>
      </rPr>
      <t>High</t>
    </r>
    <r>
      <rPr>
        <sz val="10"/>
        <color theme="1"/>
        <rFont val="Arial"/>
        <family val="2"/>
      </rPr>
      <t>:  no data or information that are directly relevant, assumptions made and judgements made to fill data gaps</t>
    </r>
  </si>
  <si>
    <r>
      <rPr>
        <b/>
        <sz val="10"/>
        <color theme="1"/>
        <rFont val="Arial"/>
        <family val="2"/>
      </rPr>
      <t>Moderate</t>
    </r>
    <r>
      <rPr>
        <sz val="10"/>
        <color theme="1"/>
        <rFont val="Arial"/>
        <family val="2"/>
      </rPr>
      <t>:  limited data and information available, limited expert opinion and local knowledge on data gaps</t>
    </r>
  </si>
  <si>
    <r>
      <rPr>
        <b/>
        <sz val="10"/>
        <color theme="1"/>
        <rFont val="Arial"/>
        <family val="2"/>
      </rPr>
      <t>Low</t>
    </r>
    <r>
      <rPr>
        <sz val="10"/>
        <color theme="1"/>
        <rFont val="Arial"/>
        <family val="2"/>
      </rPr>
      <t>:  assessment supported by specific data and information, expert opinion and local knowledge</t>
    </r>
  </si>
  <si>
    <t>Uncertainty (qualitative assessment)</t>
  </si>
  <si>
    <t>Uncertainty (monetary estimates)</t>
  </si>
  <si>
    <t>High:  default values used throughout</t>
  </si>
  <si>
    <r>
      <rPr>
        <b/>
        <sz val="10"/>
        <color theme="1"/>
        <rFont val="Arial"/>
        <family val="2"/>
      </rPr>
      <t>High</t>
    </r>
    <r>
      <rPr>
        <sz val="10"/>
        <color theme="1"/>
        <rFont val="Arial"/>
        <family val="2"/>
      </rPr>
      <t>:  default values used throughout</t>
    </r>
  </si>
  <si>
    <r>
      <t>Moderate</t>
    </r>
    <r>
      <rPr>
        <sz val="10"/>
        <color theme="1"/>
        <rFont val="Arial"/>
        <family val="2"/>
      </rPr>
      <t>:  some specific data included</t>
    </r>
  </si>
  <si>
    <r>
      <t>Low</t>
    </r>
    <r>
      <rPr>
        <sz val="10"/>
        <color theme="1"/>
        <rFont val="Arial"/>
        <family val="2"/>
      </rPr>
      <t>:  specific data used throughout</t>
    </r>
  </si>
  <si>
    <t>Transport infrastructure at risk (roads, railways, airports, ports, waterways, etc.)</t>
  </si>
  <si>
    <t>default is percentage of benefits delivered by Environment Agency assets, taking account of the above ground and below ground benefits.  Where EA assets are present, an assumption is made that 5% of below ground benefits are delivered by EA activity and 50% of above ground benefits [NOTE THIS IS SUBJECT TO FURTHER INVESTIGATION]</t>
  </si>
  <si>
    <t>Category</t>
  </si>
  <si>
    <t>Transport (rail) direct</t>
  </si>
  <si>
    <t>Transport (road) direct</t>
  </si>
  <si>
    <t>Transport (road) indirect</t>
  </si>
  <si>
    <t>Transport (rail) indirect</t>
  </si>
  <si>
    <t>Energy (indirect)</t>
  </si>
  <si>
    <t>relocation of abstraction/development of new abstraction point (per average abstraction)</t>
  </si>
  <si>
    <t>annualised per average volume abstracted</t>
  </si>
  <si>
    <t>Owners/maintainers of transport network (road)</t>
  </si>
  <si>
    <t>Owners/maintainers of transport network (rail)</t>
  </si>
  <si>
    <t>Below ground %</t>
  </si>
  <si>
    <t>Above ground %</t>
  </si>
  <si>
    <t>Users of road network</t>
  </si>
  <si>
    <t>Users of rail network</t>
  </si>
  <si>
    <t>With IDB</t>
  </si>
  <si>
    <t>Option 1</t>
  </si>
  <si>
    <t>Select lines at risk</t>
  </si>
  <si>
    <t>Damages per day</t>
  </si>
  <si>
    <t>Damages based on revenue at risk over section of line</t>
  </si>
  <si>
    <t>Damages provided by Network Rail</t>
  </si>
  <si>
    <t>Damages due to risk</t>
  </si>
  <si>
    <t>Sections of line at risk</t>
  </si>
  <si>
    <t>Line closure</t>
  </si>
  <si>
    <t>Not at risk</t>
  </si>
  <si>
    <t>Limited service (e.g. Goole to Saltmarshe, 12 passenger services per day)</t>
  </si>
  <si>
    <t>Main artery (e.g. Peterborough to Huntingdon, 245 passneger services per day)</t>
  </si>
  <si>
    <t>Major artery (e.g. York to Northallerton, 185 passenger services per day)</t>
  </si>
  <si>
    <t>Main rural  (e.g. Ely to Waterbeach, 127 passenger services per day)</t>
  </si>
  <si>
    <t>Major rural (e.g. Peterborough to March, 78 passenger services per day)</t>
  </si>
  <si>
    <t>Other rural (Yatton to Worle, 85 passenger services per day)</t>
  </si>
  <si>
    <t>Other artery (e.g. Doncaster to York, 98 passenger services per day)</t>
  </si>
  <si>
    <t>Other rural (e.g. Ferriby to Hessle, 67 passenger services per day)</t>
  </si>
  <si>
    <t>Limited service (e.g. Burton to Castle Carry, 16 passenger services per day)</t>
  </si>
  <si>
    <t>For wet grassland sites, a value of £30,000 per ha is likely to be more appropriate</t>
  </si>
  <si>
    <t>than the £50,000 per ha value used for intertidal habitats</t>
  </si>
  <si>
    <t>Change in km by management type</t>
  </si>
  <si>
    <t>Intensive arable</t>
  </si>
  <si>
    <t>Intensive arable, managed to enhance biodiversity</t>
  </si>
  <si>
    <t>Extensive arable</t>
  </si>
  <si>
    <t>Extensive arable, managed to enhance biodiversity</t>
  </si>
  <si>
    <t>Intensive grassland</t>
  </si>
  <si>
    <t>Intensive grassland, managed to enhance biodiversity</t>
  </si>
  <si>
    <t>Extensive grassland</t>
  </si>
  <si>
    <t>Extensive grassland, managed to enhance biodiversity</t>
  </si>
  <si>
    <t>Reedbed</t>
  </si>
  <si>
    <t>Lakes, ponds</t>
  </si>
  <si>
    <t>Woodland managed to enhance biodiversity</t>
  </si>
  <si>
    <t>Other woodland</t>
  </si>
  <si>
    <t>Watercourses managed in line with biodiversity potential (km)</t>
  </si>
  <si>
    <t>Watercourses managed to enhance biodiversity where possible</t>
  </si>
  <si>
    <t>Other watercourses</t>
  </si>
  <si>
    <t>For example, if 5 ha changes from intensive arable ELS to marsh put 5 into cell N4</t>
  </si>
  <si>
    <t xml:space="preserve"> For example, if 120 ha are currently extensive arable, HLS and will continue to be, put 120 into cell H8</t>
  </si>
  <si>
    <t xml:space="preserve">Any designated habitats must be subtratced from the total areas to avoid double counting </t>
  </si>
  <si>
    <t>with benefits captured on the  biodiversity-designated habitats worksheet</t>
  </si>
  <si>
    <t>Scoring system</t>
  </si>
  <si>
    <t>+2</t>
  </si>
  <si>
    <t>Signifjcant increase in biodiversity value</t>
  </si>
  <si>
    <t>+1</t>
  </si>
  <si>
    <t>Slight increase in biodiversity value</t>
  </si>
  <si>
    <t>No change in biodiversity value</t>
  </si>
  <si>
    <t>Slight decrease in biodiversity value</t>
  </si>
  <si>
    <t>Significant decrease in biodiversity value</t>
  </si>
  <si>
    <t>Overall score</t>
  </si>
  <si>
    <t>OVERALL SCORE</t>
  </si>
  <si>
    <t>Conversion score to % biodiversity value impacted</t>
  </si>
  <si>
    <t>Willingness to pay to protect biodiversity (habitat)</t>
  </si>
  <si>
    <t>per ha/yr</t>
  </si>
  <si>
    <t xml:space="preserve">source:  Brander et al (2006) value for biodiversity function, from eftec (2010):  Flood and Coastal Erosion Risk Management:  Economic Valuation of Environmental Effects,  Handbook, revised March 2010, Annex 3 (Table A3.1c); uprated to 2011 values
</t>
  </si>
  <si>
    <t>Willingness to pay to protect biodiversity (watercourses)</t>
  </si>
  <si>
    <t>Average width of watercourse</t>
  </si>
  <si>
    <t>m</t>
  </si>
  <si>
    <t>width of watercourse used to convert km value to ha</t>
  </si>
  <si>
    <t>Non-designated biodiversity sites</t>
  </si>
  <si>
    <t>EA benefits</t>
  </si>
  <si>
    <t>IDB Benefits</t>
  </si>
  <si>
    <t>IDB benefits (to two significant figures)</t>
  </si>
  <si>
    <t>IDB damages</t>
  </si>
  <si>
    <t>EA damages</t>
  </si>
  <si>
    <t>OVERALL</t>
  </si>
  <si>
    <t>annual benefits from IDB activities</t>
  </si>
  <si>
    <t>TOTAL IDB benefits (£ per year)</t>
  </si>
  <si>
    <t>TOTAL IDB benefits (£ per year if impacts occurred in year 5)</t>
  </si>
  <si>
    <t>Other biodiversity sites</t>
  </si>
  <si>
    <t>Non-designated biodiversity and watercourses</t>
  </si>
  <si>
    <t>(based on area of agricultural land within Flood Risk Zone 3, and likely drainage implications using very bad, bad and good from MCH)</t>
  </si>
  <si>
    <t>per day closed (mainline)</t>
  </si>
  <si>
    <t>total over days closed</t>
  </si>
  <si>
    <t>Impacts (all rail)</t>
  </si>
  <si>
    <t>Estimated duration over which there are impacts on train travel (default is 4 days)</t>
  </si>
  <si>
    <t>Estimated default length of railway at risk</t>
  </si>
  <si>
    <t>Length of railway at each probability level</t>
  </si>
  <si>
    <t>No. of lines</t>
  </si>
  <si>
    <t xml:space="preserve">These 17 worksheets are used to calculate the monetary value of impacts.  Not all of the categories have a calculation worksheet.  </t>
  </si>
  <si>
    <t>The spreadsheet contains 5 charts and 3 sets of tables that you can use to discuss with stakeholders how they benefit.</t>
  </si>
  <si>
    <t>PIGS/POULTRY</t>
  </si>
  <si>
    <t>Pigs/poultry</t>
  </si>
  <si>
    <t>Enter area of land used for pigs/poultry in hectares against risk that land would not be suitable for production</t>
  </si>
  <si>
    <t>For example, if the risk to 100 properties changes from 50% to 2% put 100 into cell I5</t>
  </si>
  <si>
    <t>For example, if the risk to 3 hospitals and surgeries changes from 50% to 20% put 3 into cell F18</t>
  </si>
  <si>
    <t>For example, if 2 hospitals and surgeries are at a probability level of 10% now and will continue to be, put 2 into cell G20</t>
  </si>
  <si>
    <t>For example, if the risk to 3 day centres, nurseries and care homes changes from 50% to 20% put 3 into cell F31</t>
  </si>
  <si>
    <t>For example, if 2 day centres, nurseries and care homes have a probability level of 10% now and will continue to do so, put 2 into cell G33</t>
  </si>
  <si>
    <t>For example, if the risk to 3 local authority depots changes from 50% to 20% put 3 into cell F44</t>
  </si>
  <si>
    <t>For example, if 2 local authority depots have a probability level of 10% now and will continue to do so, put 2 into cell G46</t>
  </si>
  <si>
    <t>For example, if the risk to 3 village halls changes from 50% to 20% put 3 into cell F57</t>
  </si>
  <si>
    <t>For example, if 2 village halls have a probability level of 10% now and will continue to do so, put 2 into cell G59</t>
  </si>
  <si>
    <t>For example, if the risk to 3 post offices and sorting offices changes from 50% to 20% put 3 into cell F70</t>
  </si>
  <si>
    <t>For example, if 2 post offices and sorting offices have a probability level of 10% now and will continue to do so, put 2 into cell G72</t>
  </si>
  <si>
    <t>For example, if the risk to 3 ambulance stations changes from 50% to 20% put 3 into cell F18</t>
  </si>
  <si>
    <t>For example, if 2 ambulance stations have a probability level of 10% now and will continue to do so, put 2 into cell G20</t>
  </si>
  <si>
    <t>For example, if the risk to 3 fire stations changes from 50% to 20% put 3 into cell F31</t>
  </si>
  <si>
    <t>For example, if 2 fire stations have a probability level of 10% now and will continue to do so, put 2 into cell G33</t>
  </si>
  <si>
    <t>For example, if the risk to 1 coastguard station changes from 50% to 20% put 3 into cell F44</t>
  </si>
  <si>
    <t>For example, if 1 coastguard station has a probability level of 10% now and will continue to do so, put 2 into cell G46</t>
  </si>
  <si>
    <t>For example, if the risk to 1 lifeboat station changes from 50% to 20% put 3 into cell F57</t>
  </si>
  <si>
    <t>For example, if 1 lifeboat station has a probability level of 10% now and will continue to do so, put 2 into cell G59</t>
  </si>
  <si>
    <t>For example, if the risk to 3 water treatment works changes from 50% to 20% put 3 into cell F18</t>
  </si>
  <si>
    <t>For example, if 2 water treatment works have a probability level of 10% now and will continue to do so, put 2 into cell G20</t>
  </si>
  <si>
    <t>For example, if the risk to 3 phone masts changes from 50% to 20% put 3 into cell F31</t>
  </si>
  <si>
    <t>For example, if 2 phone masts have a probability level of 10% now and will continue to do so, put 2 into cell G33</t>
  </si>
  <si>
    <t>For example, if the risk to 5 electricity sub-stations changes from 50% to 20% put 5 into cell F44</t>
  </si>
  <si>
    <t>For example, if 4 electricity sub-stations have a probability level of 10% now and will continue to do so, put 4 into cell G46</t>
  </si>
  <si>
    <t>For example, if the risk to 2 telephone exchanges changes from 50% to 20% put 2 into cell F57</t>
  </si>
  <si>
    <t>For example, if 3 telephone exchanges have a probability level of 10% now and will continue to do so, put 3 into cell G59</t>
  </si>
  <si>
    <t>For example, if the risk to 1 gas works changes from 50% to 20% put 1 into cell F70</t>
  </si>
  <si>
    <t>For example, if 1 gas works has a probability level of 10% now and will continue to do so, put 1 into cell G72</t>
  </si>
  <si>
    <t>For example, if the risk to 1 oil refinery changes from 50% to 20% put 1 into cell F83</t>
  </si>
  <si>
    <t>For example, if 1 oil refinery has a probability level of 10% now and will continue to do so, put 1 into cell G85</t>
  </si>
  <si>
    <t>For example, if the risk to 150 ha grassland changes from 50% to 20% put 150 into cell F19</t>
  </si>
  <si>
    <t>For example, if 1,200 ha of grassland has a probability level of 10% now and will continue to do so, put 1,200 into cell G21</t>
  </si>
  <si>
    <t>For example, if the risk to 150 ha area used for pigs/poultry changes from 50% to 20% put 150 into cell F32</t>
  </si>
  <si>
    <t>For example, if 1,200 ha of poultry/pigs has a probability level of 10% now and will continue to do so, put 1,200 into cell G34</t>
  </si>
  <si>
    <t>For example, if the risk to 150 ha area used for horticulture changes from 50% to 20% put 150 into cell F45</t>
  </si>
  <si>
    <t>For example, if 1,200 ha of horticulture has a probability level of 10% now and will continue to do so, put 1,200 into cell G47</t>
  </si>
  <si>
    <t>For example, if the risk to 2 power stations changes from 50% to 20% put 2 into cell F5</t>
  </si>
  <si>
    <t>For example, if 1 power station has a probability level of 10% now and will continue to do so, put 1 into cell G7</t>
  </si>
  <si>
    <t>For example, if the risk to 55 km of power lines changes from 50% to 20% put 55 into cell F18</t>
  </si>
  <si>
    <t>For example, if 20 km of power lines have a probability level of 10% now and will continue to do so, put 20 into cell G20</t>
  </si>
  <si>
    <t>For example, if the risk to 55 ha national designations changes from  50% to  20% put 55 into cell F19</t>
  </si>
  <si>
    <t>For example, if 200 ha of national designations has a probability level of 10% now and will continue to do so, put 200 into cell G21</t>
  </si>
  <si>
    <t>For example, if the risk to 55 ha local/other designations changes from  50% to  20% put 55 into cell F32</t>
  </si>
  <si>
    <t>For example, if 200 ha of local/other designations has a probability level of 10% now and will continue to do so, put 200 into cell G34</t>
  </si>
  <si>
    <t>For example, if the availability to 5 licences changes from  50% to  20% put 5 into cell F41</t>
  </si>
  <si>
    <t>For example, if availability of 2 licences has a probability level of 10% now and will continue to do so, put 2 into cell G43</t>
  </si>
  <si>
    <t>For example, if the availability to 5 licences changes from  50% to  20% put 5 into cell F54</t>
  </si>
  <si>
    <t>For example, if availability of 2 licences has a probability level of 10% now and will continue to do so, put 2 into cell G56</t>
  </si>
  <si>
    <t>For example, if the risk to 23 heritage assets changes from  50% to  20% put 23 into cell F36</t>
  </si>
  <si>
    <t>For example, if 15 heritage assets have a probability level of 10% now and will continue to do so, put 15 into cell G38</t>
  </si>
  <si>
    <t>For example, if the risk to 23 recreational assets changes from 50% to 20% put 23 into cell F84</t>
  </si>
  <si>
    <t>For example, if 15 recreational assets have a probability level of 10% now and will continue to do so, put 15 into cell G86</t>
  </si>
  <si>
    <r>
      <t>For example, if 750 m</t>
    </r>
    <r>
      <rPr>
        <vertAlign val="superscript"/>
        <sz val="11"/>
        <color theme="1"/>
        <rFont val="Calibri"/>
        <family val="2"/>
        <scheme val="minor"/>
      </rPr>
      <t>2</t>
    </r>
    <r>
      <rPr>
        <sz val="11"/>
        <color theme="1"/>
        <rFont val="Calibri"/>
        <family val="2"/>
        <scheme val="minor"/>
      </rPr>
      <t xml:space="preserve"> is at 10% now and will continue to be, put 750 into cell G65</t>
    </r>
  </si>
  <si>
    <r>
      <t>For example, if 750 m</t>
    </r>
    <r>
      <rPr>
        <vertAlign val="superscript"/>
        <sz val="11"/>
        <color theme="1"/>
        <rFont val="Calibri"/>
        <family val="2"/>
        <scheme val="minor"/>
      </rPr>
      <t>2</t>
    </r>
    <r>
      <rPr>
        <sz val="11"/>
        <color theme="1"/>
        <rFont val="Calibri"/>
        <family val="2"/>
        <scheme val="minor"/>
      </rPr>
      <t xml:space="preserve"> is at 10% now and will continue to be, put 750 into cell G147</t>
    </r>
  </si>
  <si>
    <t>For example, if 750 m2 is at a probability level of 10% now and will continue to be, put 750 into cell G130</t>
  </si>
  <si>
    <t>For example, if 750 m2 is at a probability level of 10% now and will continue to be, put 750 into cell G166</t>
  </si>
  <si>
    <t>For example, if the risk to 200 homes changes from 50% to 20% put 200 into cell F68</t>
  </si>
  <si>
    <t>For example, if 100 homes have a probability of impacts of 10% now and will continue to do so, put 100 into cell G70</t>
  </si>
  <si>
    <t>For example, if the risk to 20 small and medium-sized businesses changes from 50% to 20% put 20 into cell F81</t>
  </si>
  <si>
    <t>For example, if 10 small and medium-sized businesses have a probability of impacts of 10% now and will continue to do so, put 10 into cell G83</t>
  </si>
  <si>
    <t>For example, if the risk to 2 large businesses changes from 50% to 20% put 2 into cell F94</t>
  </si>
  <si>
    <t>For example, if 2 large businesses have a probability of impacts of 10% now and will continue to do so, put 2 into cell G96</t>
  </si>
  <si>
    <r>
      <t>For example, if the risk to 1000 m</t>
    </r>
    <r>
      <rPr>
        <vertAlign val="superscript"/>
        <sz val="11"/>
        <color theme="1"/>
        <rFont val="Calibri"/>
        <family val="2"/>
        <scheme val="minor"/>
      </rPr>
      <t>2</t>
    </r>
    <r>
      <rPr>
        <sz val="11"/>
        <color theme="1"/>
        <rFont val="Calibri"/>
        <family val="2"/>
        <scheme val="minor"/>
      </rPr>
      <t xml:space="preserve"> changes from 50% to 20% put 1000 into cell F63</t>
    </r>
  </si>
  <si>
    <r>
      <t>For example, if the risk to 1000 m</t>
    </r>
    <r>
      <rPr>
        <vertAlign val="superscript"/>
        <sz val="11"/>
        <color theme="1"/>
        <rFont val="Calibri"/>
        <family val="2"/>
        <scheme val="minor"/>
      </rPr>
      <t>2</t>
    </r>
    <r>
      <rPr>
        <sz val="11"/>
        <color theme="1"/>
        <rFont val="Calibri"/>
        <family val="2"/>
        <scheme val="minor"/>
      </rPr>
      <t xml:space="preserve"> changes from 50% to 20% put 1000 into cell F145</t>
    </r>
  </si>
  <si>
    <r>
      <t>For example, if the risk to 1000 m</t>
    </r>
    <r>
      <rPr>
        <vertAlign val="superscript"/>
        <sz val="11"/>
        <color theme="1"/>
        <rFont val="Calibri"/>
        <family val="2"/>
        <scheme val="minor"/>
      </rPr>
      <t>2</t>
    </r>
    <r>
      <rPr>
        <sz val="11"/>
        <color theme="1"/>
        <rFont val="Calibri"/>
        <family val="2"/>
        <scheme val="minor"/>
      </rPr>
      <t xml:space="preserve"> changes from 50% to 20% put 1000 into cell F128</t>
    </r>
  </si>
  <si>
    <r>
      <t>For example, if the risk to 1000 m</t>
    </r>
    <r>
      <rPr>
        <vertAlign val="superscript"/>
        <sz val="11"/>
        <color theme="1"/>
        <rFont val="Calibri"/>
        <family val="2"/>
        <scheme val="minor"/>
      </rPr>
      <t>2</t>
    </r>
    <r>
      <rPr>
        <sz val="11"/>
        <color theme="1"/>
        <rFont val="Calibri"/>
        <family val="2"/>
        <scheme val="minor"/>
      </rPr>
      <t xml:space="preserve"> changes from 50% to 20% put 1000 into cell F164</t>
    </r>
  </si>
  <si>
    <t>You might use this level if you feel that there are some categories that need to be described in more detail.  This may be because they are very important in your area or to your stakeholders.</t>
  </si>
  <si>
    <t>Arable, livestock (grassland), pigs/poultry and horticulture</t>
  </si>
  <si>
    <t>ARABLE - COMBINABLE CROPS</t>
  </si>
  <si>
    <t>ARABLE - NON-COMBINABLE CROPS</t>
  </si>
  <si>
    <t>Arable - combinable</t>
  </si>
  <si>
    <t>Arable - non-combinable</t>
  </si>
  <si>
    <t>Go to FLOWCHART</t>
  </si>
  <si>
    <t>Flowchart</t>
  </si>
  <si>
    <t>The spreadsheet is made up of 34 worksheets, of these 3 require input to complete the qualitative assessment with 17 worksheets provided to help you estimate the monetary value of impacts:</t>
  </si>
  <si>
    <t>of 17</t>
  </si>
  <si>
    <t>Progress</t>
  </si>
  <si>
    <t>Worksheet calculations based on:</t>
  </si>
  <si>
    <t>Number of assets</t>
  </si>
  <si>
    <t>Length of assets</t>
  </si>
  <si>
    <t>Area and type of land use</t>
  </si>
  <si>
    <t>Money spent in IDB area</t>
  </si>
  <si>
    <t>Number of assets (power stations) and length (power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</si>
</sst>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8" formatCode="&quot;£&quot;#,##0.00;[Red]\-&quot;£&quot;#,##0.00"/>
    <numFmt numFmtId="43" formatCode="_-* #,##0.00_-;\-* #,##0.00_-;_-* &quot;-&quot;??_-;_-@_-"/>
    <numFmt numFmtId="164" formatCode="&quot;£&quot;#,##0"/>
    <numFmt numFmtId="165" formatCode="0.0%"/>
    <numFmt numFmtId="166" formatCode="&quot;£&quot;#,##0.00"/>
    <numFmt numFmtId="167" formatCode="&quot;£&quot;#,##0.0"/>
    <numFmt numFmtId="168" formatCode="0.000"/>
    <numFmt numFmtId="169" formatCode="mmm\-yyyy"/>
    <numFmt numFmtId="170" formatCode="0.0"/>
    <numFmt numFmtId="171" formatCode=";;;"/>
    <numFmt numFmtId="172" formatCode="#,##0.0"/>
    <numFmt numFmtId="173" formatCode="#,##0_ ;[Red]\-#,##0\ "/>
  </numFmts>
  <fonts count="32">
    <font>
      <sz val="11"/>
      <color theme="1"/>
      <name val="Calibri"/>
      <family val="2"/>
      <scheme val="minor"/>
    </font>
    <font>
      <sz val="10"/>
      <name val="Arial"/>
      <family val="2"/>
    </font>
    <font>
      <b/>
      <sz val="10"/>
      <color theme="1"/>
      <name val="Arial"/>
      <family val="2"/>
    </font>
    <font>
      <sz val="10"/>
      <color theme="1"/>
      <name val="Arial"/>
      <family val="2"/>
    </font>
    <font>
      <b/>
      <sz val="10"/>
      <color rgb="FF000000"/>
      <name val="Arial"/>
      <family val="2"/>
    </font>
    <font>
      <b/>
      <i/>
      <sz val="10"/>
      <color rgb="FF000000"/>
      <name val="Arial"/>
      <family val="2"/>
    </font>
    <font>
      <sz val="10"/>
      <color rgb="FF000000"/>
      <name val="Arial"/>
      <family val="2"/>
    </font>
    <font>
      <b/>
      <sz val="11"/>
      <color theme="1"/>
      <name val="Calibri"/>
      <family val="2"/>
      <scheme val="minor"/>
    </font>
    <font>
      <b/>
      <sz val="10"/>
      <name val="Arial"/>
      <family val="2"/>
    </font>
    <font>
      <sz val="11"/>
      <name val="Calibri"/>
      <family val="2"/>
      <scheme val="minor"/>
    </font>
    <font>
      <b/>
      <sz val="11"/>
      <name val="Calibri"/>
      <family val="2"/>
      <scheme val="minor"/>
    </font>
    <font>
      <u val="single"/>
      <sz val="11"/>
      <color theme="10"/>
      <name val="Calibri"/>
      <family val="2"/>
      <scheme val="minor"/>
    </font>
    <font>
      <b/>
      <vertAlign val="superscript"/>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rgb="FFFF0000"/>
      <name val="Calibri"/>
      <family val="2"/>
      <scheme val="minor"/>
    </font>
    <font>
      <sz val="11"/>
      <color theme="3" tint="0.39998000860214233"/>
      <name val="Calibri"/>
      <family val="2"/>
      <scheme val="minor"/>
    </font>
    <font>
      <sz val="11"/>
      <color rgb="FF00B050"/>
      <name val="Calibri"/>
      <family val="2"/>
      <scheme val="minor"/>
    </font>
    <font>
      <sz val="9"/>
      <name val="Tahoma"/>
      <family val="2"/>
    </font>
    <font>
      <b/>
      <sz val="10"/>
      <color rgb="FFFF0000"/>
      <name val="Arial"/>
      <family val="2"/>
    </font>
    <font>
      <sz val="11"/>
      <color theme="0"/>
      <name val="Calibri"/>
      <family val="2"/>
    </font>
    <font>
      <b/>
      <sz val="11"/>
      <color theme="0"/>
      <name val="+mn-cs"/>
      <family val="2"/>
    </font>
    <font>
      <b/>
      <sz val="11"/>
      <color theme="0"/>
      <name val="Calibri"/>
      <family val="2"/>
    </font>
    <font>
      <b/>
      <sz val="11"/>
      <name val="Arial"/>
      <family val="2"/>
    </font>
    <font>
      <sz val="11"/>
      <color rgb="FFFF0000"/>
      <name val="Arial"/>
      <family val="2"/>
    </font>
    <font>
      <b/>
      <sz val="11"/>
      <color rgb="FFFF0000"/>
      <name val="Arial"/>
      <family val="2"/>
    </font>
    <font>
      <sz val="11"/>
      <name val="+mn-cs"/>
      <family val="2"/>
    </font>
    <font>
      <b/>
      <sz val="11"/>
      <color rgb="FFFF0000"/>
      <name val="+mn-cs"/>
      <family val="2"/>
    </font>
    <font>
      <sz val="11"/>
      <name val="Calibri"/>
      <family val="2"/>
    </font>
    <font>
      <sz val="11"/>
      <color theme="0"/>
      <name val="Calibri"/>
      <family val="2"/>
      <scheme val="minor"/>
    </font>
    <font>
      <sz val="11"/>
      <color theme="0"/>
      <name val="+mn-cs"/>
      <family val="2"/>
    </font>
    <font>
      <b/>
      <sz val="8"/>
      <name val="Calibri"/>
      <family val="2"/>
    </font>
  </fonts>
  <fills count="14">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1" tint="0.34999001026153564"/>
        <bgColor indexed="64"/>
      </patternFill>
    </fill>
    <fill>
      <patternFill patternType="solid">
        <fgColor indexed="26"/>
        <bgColor indexed="64"/>
      </patternFill>
    </fill>
    <fill>
      <patternFill patternType="solid">
        <fgColor indexed="27"/>
        <bgColor indexed="64"/>
      </patternFill>
    </fill>
    <fill>
      <patternFill patternType="solid">
        <fgColor rgb="FF00B050"/>
        <bgColor indexed="64"/>
      </patternFill>
    </fill>
    <fill>
      <patternFill patternType="solid">
        <fgColor theme="0"/>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2" tint="-0.4999699890613556"/>
        <bgColor indexed="64"/>
      </patternFill>
    </fill>
    <fill>
      <patternFill patternType="solid">
        <fgColor theme="5" tint="0.39998000860214233"/>
        <bgColor indexed="64"/>
      </patternFill>
    </fill>
  </fills>
  <borders count="65">
    <border>
      <left/>
      <right/>
      <top/>
      <bottom/>
      <diagonal/>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top style="medium"/>
      <bottom/>
    </border>
    <border>
      <left style="medium"/>
      <right style="medium"/>
      <top style="medium"/>
      <bottom style="medium"/>
    </border>
    <border>
      <left/>
      <right/>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medium"/>
    </border>
    <border>
      <left style="thin"/>
      <right style="thin"/>
      <top/>
      <bottom style="medium"/>
    </border>
    <border>
      <left style="thin"/>
      <right style="thin"/>
      <top style="thin"/>
      <bottom/>
    </border>
    <border>
      <left style="thin"/>
      <right style="thin"/>
      <top/>
      <bottom style="thin"/>
    </border>
    <border>
      <left/>
      <right/>
      <top style="medium"/>
      <bottom/>
    </border>
    <border>
      <left style="medium"/>
      <right/>
      <top/>
      <bottom/>
    </border>
    <border>
      <left style="medium"/>
      <right/>
      <top/>
      <bottom style="medium"/>
    </border>
    <border>
      <left/>
      <right style="hair"/>
      <top style="medium"/>
      <bottom style="medium"/>
    </border>
    <border>
      <left style="hair"/>
      <right style="hair"/>
      <top style="medium"/>
      <bottom style="medium"/>
    </border>
    <border>
      <left style="medium"/>
      <right style="medium"/>
      <top/>
      <bottom/>
    </border>
    <border>
      <left style="hair"/>
      <right style="hair"/>
      <top style="medium"/>
      <bottom style="hair"/>
    </border>
    <border>
      <left style="hair"/>
      <right style="hair"/>
      <top style="hair"/>
      <bottom style="hair"/>
    </border>
    <border>
      <left style="medium"/>
      <right style="hair"/>
      <top style="medium"/>
      <bottom style="hair"/>
    </border>
    <border>
      <left/>
      <right style="thick"/>
      <top style="thick"/>
      <bottom style="thick"/>
    </border>
    <border>
      <left style="thick"/>
      <right/>
      <top style="thick"/>
      <bottom style="thick"/>
    </border>
    <border>
      <left/>
      <right/>
      <top style="thick"/>
      <bottom style="thick"/>
    </border>
    <border>
      <left style="thin"/>
      <right/>
      <top style="thin"/>
      <bottom style="thin"/>
    </border>
    <border>
      <left style="thin"/>
      <right/>
      <top style="thin"/>
      <bottom style="medium"/>
    </border>
    <border>
      <left style="thin"/>
      <right/>
      <top/>
      <bottom/>
    </border>
    <border>
      <left style="thin"/>
      <right/>
      <top/>
      <bottom style="medium"/>
    </border>
    <border>
      <left style="thin"/>
      <right/>
      <top style="medium"/>
      <bottom/>
    </border>
    <border>
      <left style="thin"/>
      <right/>
      <top/>
      <bottom style="thin"/>
    </border>
    <border>
      <left style="thin"/>
      <right/>
      <top style="medium"/>
      <bottom style="thin"/>
    </border>
    <border>
      <left style="thin"/>
      <right style="thin"/>
      <top style="medium"/>
      <bottom style="medium"/>
    </border>
    <border>
      <left/>
      <right/>
      <top style="thin"/>
      <bottom/>
    </border>
    <border>
      <left/>
      <right style="thin"/>
      <top style="medium"/>
      <bottom style="thin"/>
    </border>
    <border>
      <left style="thin"/>
      <right style="medium"/>
      <top style="thin"/>
      <bottom style="thin"/>
    </border>
    <border>
      <left style="thin"/>
      <right style="medium"/>
      <top style="thin"/>
      <bottom style="medium"/>
    </border>
    <border>
      <left style="thin"/>
      <right style="medium"/>
      <top/>
      <bottom/>
    </border>
    <border>
      <left style="thin"/>
      <right style="medium"/>
      <top/>
      <bottom style="medium"/>
    </border>
    <border>
      <left style="thin"/>
      <right style="medium"/>
      <top style="medium"/>
      <bottom/>
    </border>
    <border>
      <left style="thin"/>
      <right style="medium"/>
      <top/>
      <bottom style="thin"/>
    </border>
    <border>
      <left style="thin"/>
      <right style="medium"/>
      <top style="medium"/>
      <bottom style="thin"/>
    </border>
    <border>
      <left/>
      <right style="hair"/>
      <top/>
      <bottom style="hair"/>
    </border>
    <border>
      <left style="hair"/>
      <right style="hair"/>
      <top/>
      <bottom/>
    </border>
    <border>
      <left style="hair"/>
      <right/>
      <top/>
      <bottom/>
    </border>
    <border>
      <left/>
      <right/>
      <top style="hair"/>
      <bottom/>
    </border>
    <border>
      <left style="hair"/>
      <right style="hair"/>
      <top/>
      <bottom style="hair"/>
    </border>
    <border>
      <left style="hair"/>
      <right/>
      <top/>
      <bottom style="hair"/>
    </border>
    <border>
      <left/>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thin"/>
      <top style="thin"/>
      <bottom style="thin"/>
    </border>
    <border>
      <left style="thin"/>
      <right/>
      <top style="thin"/>
      <bottom/>
    </border>
    <border>
      <left style="thin"/>
      <right style="medium"/>
      <top style="thin"/>
      <botto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cellStyleXfs>
  <cellXfs count="744">
    <xf numFmtId="0" fontId="0" fillId="0" borderId="0" xfId="0"/>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7" xfId="0" applyFont="1" applyFill="1" applyBorder="1" applyAlignment="1">
      <alignment vertical="center" wrapText="1"/>
    </xf>
    <xf numFmtId="0" fontId="5" fillId="0" borderId="7"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5" xfId="0" applyFont="1" applyFill="1" applyBorder="1" applyAlignment="1">
      <alignment horizontal="center" vertical="center" wrapText="1"/>
    </xf>
    <xf numFmtId="0" fontId="3" fillId="0" borderId="0" xfId="0" applyFont="1" applyAlignment="1">
      <alignment wrapText="1"/>
    </xf>
    <xf numFmtId="0" fontId="3" fillId="3" borderId="9" xfId="0" applyFont="1" applyFill="1" applyBorder="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3" fillId="3" borderId="9" xfId="0" applyFont="1" applyFill="1" applyBorder="1" applyAlignment="1">
      <alignment horizontal="center" wrapText="1"/>
    </xf>
    <xf numFmtId="0" fontId="3" fillId="0" borderId="10" xfId="0" applyFont="1" applyFill="1" applyBorder="1" applyAlignment="1">
      <alignment wrapText="1"/>
    </xf>
    <xf numFmtId="0" fontId="6" fillId="4" borderId="10" xfId="0" applyFont="1" applyFill="1" applyBorder="1" applyAlignment="1">
      <alignment vertical="center" wrapText="1"/>
    </xf>
    <xf numFmtId="0" fontId="6" fillId="4" borderId="10" xfId="0" applyFont="1" applyFill="1" applyBorder="1" applyAlignment="1">
      <alignment horizontal="center" vertical="center" wrapText="1"/>
    </xf>
    <xf numFmtId="0" fontId="3" fillId="4" borderId="10" xfId="0" applyFont="1" applyFill="1" applyBorder="1" applyAlignment="1">
      <alignment vertical="center" wrapText="1"/>
    </xf>
    <xf numFmtId="0" fontId="4" fillId="4" borderId="6"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12" xfId="0" applyFont="1" applyFill="1" applyBorder="1" applyAlignment="1">
      <alignment horizontal="center" vertical="center" wrapText="1"/>
    </xf>
    <xf numFmtId="0" fontId="6" fillId="4" borderId="11" xfId="0" applyFont="1" applyFill="1" applyBorder="1" applyAlignment="1">
      <alignment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vertical="center" wrapText="1"/>
    </xf>
    <xf numFmtId="0" fontId="6" fillId="4" borderId="12" xfId="0" applyFont="1" applyFill="1" applyBorder="1" applyAlignment="1">
      <alignment horizontal="center"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2" xfId="0" applyFont="1" applyFill="1" applyBorder="1" applyAlignment="1">
      <alignment horizontal="center"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4" borderId="15" xfId="0" applyFont="1" applyFill="1" applyBorder="1" applyAlignment="1">
      <alignment vertical="center" wrapText="1"/>
    </xf>
    <xf numFmtId="0" fontId="6" fillId="4" borderId="16" xfId="0" applyFont="1" applyFill="1" applyBorder="1" applyAlignment="1">
      <alignment vertical="center" wrapText="1"/>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vertical="center" wrapText="1"/>
    </xf>
    <xf numFmtId="0" fontId="6" fillId="2" borderId="19" xfId="0" applyFont="1" applyFill="1" applyBorder="1" applyAlignment="1">
      <alignment vertical="center" wrapText="1"/>
    </xf>
    <xf numFmtId="0" fontId="3" fillId="4" borderId="13" xfId="0" applyFont="1" applyFill="1" applyBorder="1" applyAlignment="1">
      <alignment vertical="center" wrapText="1"/>
    </xf>
    <xf numFmtId="0" fontId="3" fillId="4" borderId="15" xfId="0" applyFont="1" applyFill="1" applyBorder="1" applyAlignment="1">
      <alignment vertical="center" wrapText="1"/>
    </xf>
    <xf numFmtId="0" fontId="3" fillId="4" borderId="17" xfId="0" applyFont="1" applyFill="1" applyBorder="1" applyAlignment="1">
      <alignment vertical="center" wrapText="1"/>
    </xf>
    <xf numFmtId="0" fontId="6" fillId="2" borderId="15" xfId="0" applyFont="1" applyFill="1" applyBorder="1" applyAlignment="1">
      <alignment vertical="center" wrapText="1"/>
    </xf>
    <xf numFmtId="0" fontId="6" fillId="2" borderId="17" xfId="0" applyFont="1" applyFill="1" applyBorder="1" applyAlignment="1">
      <alignment vertical="center" wrapText="1"/>
    </xf>
    <xf numFmtId="0" fontId="3" fillId="2" borderId="13" xfId="0" applyFont="1" applyFill="1" applyBorder="1" applyAlignment="1">
      <alignment vertical="center" wrapText="1"/>
    </xf>
    <xf numFmtId="0" fontId="3" fillId="4" borderId="14" xfId="0" applyFont="1" applyFill="1" applyBorder="1" applyAlignment="1">
      <alignment vertical="center" wrapText="1"/>
    </xf>
    <xf numFmtId="0" fontId="3" fillId="4" borderId="1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6" fillId="5" borderId="10" xfId="0" applyFont="1" applyFill="1" applyBorder="1" applyAlignment="1">
      <alignment vertical="center" wrapText="1"/>
    </xf>
    <xf numFmtId="0" fontId="6" fillId="5" borderId="1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2" xfId="0" applyFont="1" applyFill="1" applyBorder="1" applyAlignment="1">
      <alignment vertical="center" wrapText="1"/>
    </xf>
    <xf numFmtId="0" fontId="6" fillId="5" borderId="1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5" borderId="12" xfId="0" applyFont="1" applyFill="1" applyBorder="1" applyAlignment="1">
      <alignment vertical="center" wrapText="1"/>
    </xf>
    <xf numFmtId="0" fontId="6" fillId="5" borderId="20" xfId="0" applyFont="1" applyFill="1" applyBorder="1" applyAlignment="1">
      <alignment horizontal="center" vertical="center" wrapText="1"/>
    </xf>
    <xf numFmtId="0" fontId="6" fillId="5" borderId="11" xfId="0" applyFont="1" applyFill="1" applyBorder="1" applyAlignment="1">
      <alignment vertical="center" wrapText="1"/>
    </xf>
    <xf numFmtId="0" fontId="6" fillId="5" borderId="11" xfId="0" applyFont="1" applyFill="1" applyBorder="1" applyAlignment="1">
      <alignment horizontal="center"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3" fillId="0" borderId="9" xfId="0" applyFont="1" applyFill="1" applyBorder="1" applyAlignment="1">
      <alignment wrapText="1"/>
    </xf>
    <xf numFmtId="0" fontId="3" fillId="2" borderId="20" xfId="0" applyFont="1" applyFill="1" applyBorder="1" applyAlignment="1">
      <alignment vertical="center" wrapText="1"/>
    </xf>
    <xf numFmtId="0" fontId="3" fillId="2" borderId="18" xfId="0" applyFont="1" applyFill="1" applyBorder="1" applyAlignment="1">
      <alignment vertical="center" wrapText="1"/>
    </xf>
    <xf numFmtId="0" fontId="3" fillId="4" borderId="16" xfId="0" applyFont="1" applyFill="1" applyBorder="1" applyAlignment="1">
      <alignment vertical="center" wrapText="1"/>
    </xf>
    <xf numFmtId="0" fontId="3" fillId="4" borderId="18" xfId="0" applyFont="1" applyFill="1" applyBorder="1" applyAlignment="1">
      <alignment vertical="center" wrapText="1"/>
    </xf>
    <xf numFmtId="0" fontId="3" fillId="2" borderId="15" xfId="0" applyFont="1" applyFill="1" applyBorder="1" applyAlignment="1">
      <alignment vertical="center" wrapText="1"/>
    </xf>
    <xf numFmtId="0" fontId="3" fillId="2" borderId="17" xfId="0" applyFont="1" applyFill="1" applyBorder="1" applyAlignment="1">
      <alignment vertical="center" wrapText="1"/>
    </xf>
    <xf numFmtId="0" fontId="3" fillId="4" borderId="15" xfId="0" applyFont="1" applyFill="1" applyBorder="1" applyAlignment="1">
      <alignment wrapText="1"/>
    </xf>
    <xf numFmtId="0" fontId="3" fillId="4" borderId="16" xfId="0" applyFont="1" applyFill="1" applyBorder="1" applyAlignment="1">
      <alignment wrapText="1"/>
    </xf>
    <xf numFmtId="0" fontId="3" fillId="4" borderId="17" xfId="0" applyFont="1" applyFill="1" applyBorder="1" applyAlignment="1">
      <alignment wrapText="1"/>
    </xf>
    <xf numFmtId="0" fontId="3" fillId="4" borderId="18" xfId="0" applyFont="1" applyFill="1" applyBorder="1" applyAlignment="1">
      <alignment wrapText="1"/>
    </xf>
    <xf numFmtId="0" fontId="6" fillId="2" borderId="16" xfId="0" applyFont="1" applyFill="1" applyBorder="1" applyAlignment="1">
      <alignment vertical="center" wrapText="1"/>
    </xf>
    <xf numFmtId="0" fontId="6" fillId="2" borderId="19" xfId="0" applyFont="1" applyFill="1" applyBorder="1" applyAlignment="1">
      <alignment vertical="center" wrapText="1"/>
    </xf>
    <xf numFmtId="0" fontId="6" fillId="2" borderId="16" xfId="0" applyFont="1" applyFill="1" applyBorder="1" applyAlignment="1">
      <alignment vertical="center" wrapText="1"/>
    </xf>
    <xf numFmtId="0" fontId="3" fillId="0" borderId="19" xfId="0" applyFont="1" applyFill="1" applyBorder="1" applyAlignment="1">
      <alignment wrapText="1"/>
    </xf>
    <xf numFmtId="0" fontId="3" fillId="0" borderId="20" xfId="0" applyFont="1" applyFill="1" applyBorder="1" applyAlignment="1">
      <alignment wrapText="1"/>
    </xf>
    <xf numFmtId="0" fontId="6" fillId="2" borderId="14" xfId="0" applyFont="1" applyFill="1" applyBorder="1" applyAlignment="1">
      <alignment vertical="center" wrapText="1"/>
    </xf>
    <xf numFmtId="0" fontId="6" fillId="2" borderId="13" xfId="0" applyFont="1" applyFill="1" applyBorder="1" applyAlignment="1">
      <alignment vertical="center" wrapText="1"/>
    </xf>
    <xf numFmtId="0" fontId="2" fillId="0" borderId="21" xfId="0" applyFont="1" applyFill="1" applyBorder="1" applyAlignment="1">
      <alignment wrapText="1"/>
    </xf>
    <xf numFmtId="0" fontId="3" fillId="0" borderId="0" xfId="0" applyFont="1" applyAlignment="1">
      <alignment/>
    </xf>
    <xf numFmtId="0" fontId="7" fillId="0" borderId="0" xfId="0" applyFont="1"/>
    <xf numFmtId="164" fontId="6" fillId="2" borderId="11" xfId="0" applyNumberFormat="1" applyFont="1" applyFill="1" applyBorder="1" applyAlignment="1">
      <alignment horizontal="center" vertical="center" wrapText="1"/>
    </xf>
    <xf numFmtId="0" fontId="0" fillId="0" borderId="0" xfId="0" applyFont="1"/>
    <xf numFmtId="164" fontId="6" fillId="2" borderId="10" xfId="0" applyNumberFormat="1" applyFont="1" applyFill="1" applyBorder="1" applyAlignment="1">
      <alignment horizontal="center" vertical="center" wrapText="1"/>
    </xf>
    <xf numFmtId="164" fontId="2" fillId="0" borderId="0" xfId="0" applyNumberFormat="1" applyFont="1" applyAlignment="1">
      <alignment horizontal="center" wrapText="1"/>
    </xf>
    <xf numFmtId="0" fontId="5" fillId="0" borderId="4" xfId="0" applyFont="1" applyBorder="1" applyAlignment="1">
      <alignment horizontal="center" vertical="center" wrapText="1"/>
    </xf>
    <xf numFmtId="164" fontId="6" fillId="5" borderId="10" xfId="0" applyNumberFormat="1" applyFont="1" applyFill="1" applyBorder="1" applyAlignment="1">
      <alignment horizontal="center" vertical="center" wrapText="1"/>
    </xf>
    <xf numFmtId="164" fontId="6" fillId="5" borderId="12"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4" borderId="11" xfId="0" applyNumberFormat="1" applyFont="1" applyFill="1" applyBorder="1" applyAlignment="1">
      <alignment horizontal="center" vertical="center" wrapText="1"/>
    </xf>
    <xf numFmtId="164" fontId="6" fillId="4" borderId="10" xfId="0" applyNumberFormat="1" applyFont="1" applyFill="1" applyBorder="1" applyAlignment="1">
      <alignment horizontal="center" vertical="center" wrapText="1"/>
    </xf>
    <xf numFmtId="164" fontId="6" fillId="4" borderId="12"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wrapText="1"/>
    </xf>
    <xf numFmtId="164" fontId="6" fillId="5" borderId="11"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0" xfId="0" applyFont="1" applyFill="1" applyBorder="1" applyAlignment="1">
      <alignment horizontal="center" wrapText="1"/>
    </xf>
    <xf numFmtId="0" fontId="3" fillId="0" borderId="12" xfId="0" applyFont="1" applyFill="1" applyBorder="1" applyAlignment="1">
      <alignment horizontal="center" wrapText="1"/>
    </xf>
    <xf numFmtId="168" fontId="0" fillId="6" borderId="0" xfId="0" applyNumberFormat="1" applyFill="1" applyBorder="1"/>
    <xf numFmtId="0" fontId="0" fillId="7" borderId="7" xfId="0" applyFill="1" applyBorder="1"/>
    <xf numFmtId="0" fontId="0" fillId="7" borderId="21" xfId="0" applyFill="1" applyBorder="1"/>
    <xf numFmtId="0" fontId="8" fillId="7" borderId="21" xfId="0" applyFont="1" applyFill="1" applyBorder="1" applyAlignment="1">
      <alignment horizontal="centerContinuous"/>
    </xf>
    <xf numFmtId="0" fontId="8" fillId="7" borderId="22" xfId="0" applyFont="1" applyFill="1" applyBorder="1"/>
    <xf numFmtId="0" fontId="0" fillId="7" borderId="0" xfId="0" applyFill="1" applyBorder="1"/>
    <xf numFmtId="0" fontId="0" fillId="7" borderId="0" xfId="0" applyFill="1" applyBorder="1" applyAlignment="1">
      <alignment horizontal="right"/>
    </xf>
    <xf numFmtId="43" fontId="0" fillId="6" borderId="0" xfId="0" applyNumberFormat="1" applyFill="1" applyBorder="1" applyAlignment="1">
      <alignment horizontal="center"/>
    </xf>
    <xf numFmtId="0" fontId="0" fillId="7" borderId="22" xfId="0" applyFill="1" applyBorder="1"/>
    <xf numFmtId="169" fontId="0" fillId="6" borderId="0" xfId="0" applyNumberFormat="1" applyFill="1" applyBorder="1" applyAlignment="1">
      <alignment horizontal="center"/>
    </xf>
    <xf numFmtId="0" fontId="1" fillId="7" borderId="22" xfId="0" applyFont="1" applyFill="1" applyBorder="1"/>
    <xf numFmtId="0" fontId="8" fillId="7" borderId="0" xfId="0" applyFont="1" applyFill="1" applyBorder="1"/>
    <xf numFmtId="165" fontId="0" fillId="6" borderId="0" xfId="0" applyNumberFormat="1" applyFill="1" applyBorder="1" applyAlignment="1">
      <alignment horizontal="center"/>
    </xf>
    <xf numFmtId="0" fontId="0" fillId="6" borderId="21" xfId="0" applyFill="1" applyBorder="1" applyAlignment="1">
      <alignment/>
    </xf>
    <xf numFmtId="0" fontId="8" fillId="7" borderId="23" xfId="0" applyFont="1" applyFill="1" applyBorder="1"/>
    <xf numFmtId="0" fontId="8" fillId="7" borderId="9" xfId="0" applyFont="1" applyFill="1" applyBorder="1"/>
    <xf numFmtId="0" fontId="8" fillId="7" borderId="1" xfId="0" applyFont="1" applyFill="1" applyBorder="1" applyAlignment="1">
      <alignment horizontal="right"/>
    </xf>
    <xf numFmtId="0" fontId="8" fillId="7" borderId="3" xfId="0" applyFont="1" applyFill="1" applyBorder="1" applyAlignment="1">
      <alignment horizontal="right"/>
    </xf>
    <xf numFmtId="0" fontId="0" fillId="6" borderId="24" xfId="0" applyFill="1" applyBorder="1"/>
    <xf numFmtId="0" fontId="0" fillId="6" borderId="25" xfId="0" applyFill="1" applyBorder="1"/>
    <xf numFmtId="0" fontId="8" fillId="7" borderId="26" xfId="0" applyFont="1" applyFill="1" applyBorder="1" applyAlignment="1">
      <alignment horizontal="right"/>
    </xf>
    <xf numFmtId="0" fontId="8" fillId="7" borderId="7" xfId="0" applyFont="1" applyFill="1" applyBorder="1" applyAlignment="1">
      <alignment horizontal="right"/>
    </xf>
    <xf numFmtId="0" fontId="8" fillId="7" borderId="2" xfId="0" applyFont="1" applyFill="1" applyBorder="1" applyAlignment="1">
      <alignment horizontal="center" vertical="top"/>
    </xf>
    <xf numFmtId="0" fontId="8" fillId="7" borderId="23" xfId="0" applyFont="1" applyFill="1" applyBorder="1" applyAlignment="1">
      <alignment horizontal="right"/>
    </xf>
    <xf numFmtId="0" fontId="0" fillId="7" borderId="23" xfId="0" applyFill="1" applyBorder="1"/>
    <xf numFmtId="0" fontId="0" fillId="7" borderId="9" xfId="0" applyFill="1" applyBorder="1"/>
    <xf numFmtId="0" fontId="0" fillId="7" borderId="26" xfId="0" applyFill="1" applyBorder="1"/>
    <xf numFmtId="0" fontId="0" fillId="0" borderId="27" xfId="0" applyBorder="1"/>
    <xf numFmtId="0" fontId="0" fillId="0" borderId="28" xfId="0" applyBorder="1"/>
    <xf numFmtId="168" fontId="0" fillId="0" borderId="29" xfId="0" applyNumberFormat="1" applyBorder="1"/>
    <xf numFmtId="0" fontId="6" fillId="2" borderId="10" xfId="0"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0" fontId="3" fillId="0" borderId="0" xfId="0" applyFont="1" applyAlignment="1">
      <alignment horizontal="center" wrapText="1"/>
    </xf>
    <xf numFmtId="164" fontId="3" fillId="0" borderId="0" xfId="0" applyNumberFormat="1" applyFont="1" applyAlignment="1">
      <alignment horizontal="center" wrapText="1"/>
    </xf>
    <xf numFmtId="0" fontId="3" fillId="2" borderId="0" xfId="0" applyFont="1" applyFill="1" applyAlignment="1">
      <alignment horizontal="center" wrapText="1"/>
    </xf>
    <xf numFmtId="0" fontId="3" fillId="2" borderId="10" xfId="0" applyFont="1" applyFill="1" applyBorder="1" applyAlignment="1">
      <alignment horizontal="center" wrapText="1"/>
    </xf>
    <xf numFmtId="0" fontId="2" fillId="0" borderId="0" xfId="0" applyFont="1" applyAlignment="1">
      <alignment horizontal="center" wrapText="1"/>
    </xf>
    <xf numFmtId="0" fontId="3" fillId="0" borderId="0" xfId="0" applyFont="1" applyAlignment="1" quotePrefix="1">
      <alignment horizontal="center" wrapText="1"/>
    </xf>
    <xf numFmtId="164" fontId="6" fillId="2" borderId="20" xfId="0" applyNumberFormat="1" applyFont="1" applyFill="1" applyBorder="1" applyAlignment="1">
      <alignment horizontal="center" vertical="center" wrapText="1"/>
    </xf>
    <xf numFmtId="164" fontId="3" fillId="0" borderId="11" xfId="0" applyNumberFormat="1" applyFont="1" applyFill="1" applyBorder="1" applyAlignment="1">
      <alignment horizontal="center" wrapText="1"/>
    </xf>
    <xf numFmtId="0" fontId="3" fillId="0" borderId="10" xfId="0" applyFont="1" applyBorder="1" applyAlignment="1">
      <alignment wrapText="1"/>
    </xf>
    <xf numFmtId="164" fontId="3" fillId="0" borderId="10" xfId="0" applyNumberFormat="1" applyFont="1" applyFill="1" applyBorder="1" applyAlignment="1">
      <alignment horizontal="center" wrapText="1"/>
    </xf>
    <xf numFmtId="164" fontId="3" fillId="0" borderId="12" xfId="0" applyNumberFormat="1" applyFont="1" applyFill="1" applyBorder="1" applyAlignment="1">
      <alignment horizontal="center" wrapText="1"/>
    </xf>
    <xf numFmtId="0" fontId="2" fillId="0" borderId="0" xfId="0" applyFont="1" applyFill="1" applyAlignment="1">
      <alignment horizontal="center" wrapText="1"/>
    </xf>
    <xf numFmtId="3" fontId="3" fillId="0" borderId="0" xfId="0" applyNumberFormat="1" applyFont="1" applyFill="1" applyAlignment="1">
      <alignment horizontal="center" wrapText="1"/>
    </xf>
    <xf numFmtId="3" fontId="2" fillId="0" borderId="0" xfId="0" applyNumberFormat="1" applyFont="1" applyFill="1" applyAlignment="1">
      <alignment horizontal="center" wrapText="1"/>
    </xf>
    <xf numFmtId="3" fontId="6" fillId="0" borderId="14"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0" fontId="9" fillId="3" borderId="0" xfId="0" applyFont="1" applyFill="1"/>
    <xf numFmtId="0" fontId="9" fillId="4" borderId="0" xfId="0" applyFont="1" applyFill="1"/>
    <xf numFmtId="0" fontId="10" fillId="3" borderId="0" xfId="0" applyFont="1" applyFill="1"/>
    <xf numFmtId="0" fontId="11" fillId="4" borderId="0" xfId="20" applyFill="1"/>
    <xf numFmtId="0" fontId="0" fillId="3" borderId="0" xfId="0" applyFill="1"/>
    <xf numFmtId="0" fontId="0" fillId="4" borderId="0" xfId="0" applyFill="1"/>
    <xf numFmtId="0" fontId="0" fillId="8" borderId="0" xfId="0" applyFill="1"/>
    <xf numFmtId="0" fontId="0" fillId="2" borderId="0" xfId="0" applyFill="1"/>
    <xf numFmtId="0" fontId="10" fillId="8" borderId="0" xfId="0" applyFont="1" applyFill="1"/>
    <xf numFmtId="0" fontId="9" fillId="8" borderId="0" xfId="0" applyFont="1" applyFill="1"/>
    <xf numFmtId="0" fontId="9" fillId="2" borderId="0" xfId="0" applyFont="1" applyFill="1"/>
    <xf numFmtId="9" fontId="0" fillId="2" borderId="0" xfId="0" applyNumberFormat="1" applyFill="1"/>
    <xf numFmtId="6" fontId="0" fillId="2" borderId="0" xfId="0" applyNumberFormat="1" applyFill="1"/>
    <xf numFmtId="9" fontId="7" fillId="2" borderId="0" xfId="0" applyNumberFormat="1" applyFont="1" applyFill="1"/>
    <xf numFmtId="165" fontId="7" fillId="2" borderId="0" xfId="0" applyNumberFormat="1" applyFont="1" applyFill="1"/>
    <xf numFmtId="0" fontId="0" fillId="2" borderId="0" xfId="0" applyFill="1" applyAlignment="1">
      <alignment horizontal="right"/>
    </xf>
    <xf numFmtId="164" fontId="0" fillId="2" borderId="0" xfId="0" applyNumberFormat="1" applyFill="1"/>
    <xf numFmtId="164" fontId="0" fillId="8" borderId="0" xfId="0" applyNumberFormat="1" applyFill="1"/>
    <xf numFmtId="9" fontId="7" fillId="8" borderId="0" xfId="0" applyNumberFormat="1" applyFont="1" applyFill="1"/>
    <xf numFmtId="165" fontId="7" fillId="8" borderId="0" xfId="0" applyNumberFormat="1" applyFont="1" applyFill="1"/>
    <xf numFmtId="0" fontId="7" fillId="2" borderId="0" xfId="0" applyFont="1" applyFill="1"/>
    <xf numFmtId="0" fontId="7" fillId="2" borderId="0" xfId="0" applyFont="1" applyFill="1" applyAlignment="1">
      <alignment horizontal="center"/>
    </xf>
    <xf numFmtId="9" fontId="0" fillId="8" borderId="0" xfId="0" applyNumberFormat="1" applyFill="1"/>
    <xf numFmtId="167" fontId="7" fillId="8" borderId="0" xfId="0" applyNumberFormat="1" applyFont="1" applyFill="1"/>
    <xf numFmtId="0" fontId="7" fillId="2" borderId="0" xfId="0" applyFont="1" applyFill="1" applyAlignment="1">
      <alignment horizontal="center" wrapText="1"/>
    </xf>
    <xf numFmtId="3" fontId="0" fillId="2" borderId="0" xfId="0" applyNumberFormat="1" applyFill="1"/>
    <xf numFmtId="0" fontId="7" fillId="2" borderId="0" xfId="0" applyFont="1" applyFill="1" applyAlignment="1">
      <alignment wrapText="1"/>
    </xf>
    <xf numFmtId="3" fontId="0" fillId="8" borderId="0" xfId="0" applyNumberFormat="1" applyFill="1"/>
    <xf numFmtId="0" fontId="3" fillId="2" borderId="0" xfId="0" applyFont="1" applyFill="1" applyBorder="1" applyAlignment="1">
      <alignment wrapText="1"/>
    </xf>
    <xf numFmtId="166" fontId="0" fillId="8" borderId="0" xfId="0" applyNumberFormat="1" applyFill="1"/>
    <xf numFmtId="164" fontId="7" fillId="2" borderId="30" xfId="0" applyNumberFormat="1" applyFont="1" applyFill="1" applyBorder="1"/>
    <xf numFmtId="0" fontId="0" fillId="2" borderId="0" xfId="0" applyFont="1" applyFill="1" applyBorder="1" applyAlignment="1">
      <alignment horizontal="right" wrapText="1"/>
    </xf>
    <xf numFmtId="9" fontId="0" fillId="2" borderId="0" xfId="0" applyNumberFormat="1" applyFont="1" applyFill="1" applyAlignment="1">
      <alignment horizontal="right"/>
    </xf>
    <xf numFmtId="9" fontId="0" fillId="2" borderId="0" xfId="0" applyNumberFormat="1" applyFont="1" applyFill="1"/>
    <xf numFmtId="0" fontId="0" fillId="8" borderId="0" xfId="0" applyFill="1" applyAlignment="1">
      <alignment horizontal="center"/>
    </xf>
    <xf numFmtId="0" fontId="0" fillId="2" borderId="0" xfId="0" applyFill="1" applyAlignment="1">
      <alignment horizontal="center"/>
    </xf>
    <xf numFmtId="10" fontId="0" fillId="2" borderId="0" xfId="0" applyNumberFormat="1" applyFill="1" applyAlignment="1">
      <alignment horizontal="center"/>
    </xf>
    <xf numFmtId="165" fontId="0" fillId="2" borderId="0" xfId="0" applyNumberFormat="1" applyFill="1" applyAlignment="1">
      <alignment horizontal="center"/>
    </xf>
    <xf numFmtId="3" fontId="0" fillId="8" borderId="0" xfId="0" applyNumberFormat="1" applyFill="1" applyAlignment="1">
      <alignment horizontal="center"/>
    </xf>
    <xf numFmtId="0" fontId="7" fillId="2" borderId="31" xfId="0" applyFont="1" applyFill="1" applyBorder="1" applyAlignment="1">
      <alignment horizontal="left"/>
    </xf>
    <xf numFmtId="0" fontId="0" fillId="2" borderId="32" xfId="0" applyFill="1" applyBorder="1"/>
    <xf numFmtId="0" fontId="0" fillId="2" borderId="0" xfId="0" applyFont="1" applyFill="1"/>
    <xf numFmtId="0" fontId="0" fillId="2" borderId="0" xfId="0" applyFont="1" applyFill="1" applyAlignment="1">
      <alignment horizontal="right"/>
    </xf>
    <xf numFmtId="9" fontId="0" fillId="8" borderId="0" xfId="0" applyNumberFormat="1" applyFont="1" applyFill="1"/>
    <xf numFmtId="164" fontId="0" fillId="8" borderId="0" xfId="0" applyNumberFormat="1" applyFont="1" applyFill="1"/>
    <xf numFmtId="0" fontId="0" fillId="2" borderId="31" xfId="0" applyFill="1" applyBorder="1"/>
    <xf numFmtId="0" fontId="0" fillId="2" borderId="0" xfId="0" applyFill="1" applyAlignment="1">
      <alignment wrapText="1"/>
    </xf>
    <xf numFmtId="0" fontId="0" fillId="2" borderId="0" xfId="0" applyFill="1" applyAlignment="1">
      <alignment horizontal="right"/>
    </xf>
    <xf numFmtId="0" fontId="0" fillId="2" borderId="0" xfId="0" applyFill="1" applyAlignment="1">
      <alignment wrapText="1"/>
    </xf>
    <xf numFmtId="0" fontId="0" fillId="2" borderId="0" xfId="0" applyFill="1" applyAlignment="1">
      <alignment horizontal="right"/>
    </xf>
    <xf numFmtId="9" fontId="7" fillId="2" borderId="0" xfId="0" applyNumberFormat="1" applyFont="1" applyFill="1" applyAlignment="1">
      <alignment wrapText="1"/>
    </xf>
    <xf numFmtId="6" fontId="0" fillId="8" borderId="0" xfId="0" applyNumberFormat="1" applyFill="1"/>
    <xf numFmtId="0" fontId="0" fillId="4" borderId="0" xfId="0" applyFill="1" applyAlignment="1">
      <alignment horizontal="right"/>
    </xf>
    <xf numFmtId="9" fontId="7" fillId="4" borderId="0" xfId="0" applyNumberFormat="1" applyFont="1" applyFill="1"/>
    <xf numFmtId="165" fontId="7" fillId="4" borderId="0" xfId="0" applyNumberFormat="1" applyFont="1" applyFill="1"/>
    <xf numFmtId="3" fontId="0" fillId="3" borderId="0" xfId="0" applyNumberFormat="1" applyFill="1"/>
    <xf numFmtId="6" fontId="0" fillId="3" borderId="0" xfId="0" applyNumberFormat="1" applyFill="1"/>
    <xf numFmtId="0" fontId="0" fillId="9" borderId="0" xfId="0" applyFill="1"/>
    <xf numFmtId="0" fontId="0" fillId="4" borderId="0" xfId="0" applyFill="1" applyAlignment="1">
      <alignment horizontal="right"/>
    </xf>
    <xf numFmtId="0" fontId="7" fillId="4" borderId="0" xfId="0" applyFont="1" applyFill="1"/>
    <xf numFmtId="0" fontId="0" fillId="4" borderId="0" xfId="0" applyFont="1" applyFill="1" applyAlignment="1">
      <alignment horizontal="right"/>
    </xf>
    <xf numFmtId="0" fontId="0" fillId="4" borderId="0" xfId="0" applyFont="1" applyFill="1"/>
    <xf numFmtId="9" fontId="0" fillId="3" borderId="0" xfId="0" applyNumberFormat="1" applyFont="1" applyFill="1"/>
    <xf numFmtId="164" fontId="0" fillId="3" borderId="0" xfId="0" applyNumberFormat="1" applyFont="1" applyFill="1"/>
    <xf numFmtId="0" fontId="7" fillId="4" borderId="31" xfId="0" applyFont="1" applyFill="1" applyBorder="1" applyAlignment="1">
      <alignment horizontal="left"/>
    </xf>
    <xf numFmtId="0" fontId="0" fillId="4" borderId="31" xfId="0" applyFill="1" applyBorder="1"/>
    <xf numFmtId="0" fontId="0" fillId="4" borderId="32" xfId="0" applyFill="1" applyBorder="1"/>
    <xf numFmtId="164" fontId="7" fillId="4" borderId="30" xfId="0" applyNumberFormat="1" applyFont="1" applyFill="1" applyBorder="1"/>
    <xf numFmtId="164" fontId="0" fillId="3" borderId="0" xfId="0" applyNumberFormat="1" applyFill="1"/>
    <xf numFmtId="0" fontId="0" fillId="4" borderId="0" xfId="0" applyFill="1" applyAlignment="1">
      <alignment wrapText="1"/>
    </xf>
    <xf numFmtId="0" fontId="0" fillId="4" borderId="0" xfId="0" applyFill="1" applyAlignment="1">
      <alignment horizontal="right"/>
    </xf>
    <xf numFmtId="0" fontId="0" fillId="4" borderId="0" xfId="0" applyFill="1" applyAlignment="1">
      <alignment/>
    </xf>
    <xf numFmtId="0" fontId="0" fillId="3" borderId="0" xfId="0" applyFill="1" applyAlignment="1">
      <alignment/>
    </xf>
    <xf numFmtId="0" fontId="0" fillId="3" borderId="0" xfId="0" applyFill="1" applyAlignment="1">
      <alignment wrapText="1"/>
    </xf>
    <xf numFmtId="0" fontId="0" fillId="3" borderId="0" xfId="0" applyFont="1" applyFill="1" applyAlignment="1">
      <alignment horizontal="right"/>
    </xf>
    <xf numFmtId="0" fontId="0" fillId="3" borderId="0" xfId="0" applyFill="1" applyAlignment="1">
      <alignment horizontal="right"/>
    </xf>
    <xf numFmtId="0" fontId="7" fillId="3" borderId="0" xfId="0" applyFont="1" applyFill="1"/>
    <xf numFmtId="0" fontId="7" fillId="3" borderId="0" xfId="0" applyFont="1" applyFill="1" applyAlignment="1">
      <alignment wrapText="1"/>
    </xf>
    <xf numFmtId="171" fontId="0" fillId="4" borderId="0" xfId="0" applyNumberFormat="1" applyFill="1"/>
    <xf numFmtId="0" fontId="7" fillId="9" borderId="0" xfId="0" applyFont="1" applyFill="1"/>
    <xf numFmtId="0" fontId="7" fillId="10" borderId="0" xfId="0" applyFont="1" applyFill="1"/>
    <xf numFmtId="0" fontId="0" fillId="10" borderId="0" xfId="0" applyFill="1"/>
    <xf numFmtId="0" fontId="11" fillId="9" borderId="0" xfId="20" applyFill="1"/>
    <xf numFmtId="1" fontId="7" fillId="3" borderId="0" xfId="0" applyNumberFormat="1" applyFont="1" applyFill="1"/>
    <xf numFmtId="0" fontId="7" fillId="3" borderId="31" xfId="0" applyFont="1" applyFill="1" applyBorder="1"/>
    <xf numFmtId="164" fontId="7" fillId="3" borderId="30" xfId="0" applyNumberFormat="1" applyFont="1" applyFill="1" applyBorder="1"/>
    <xf numFmtId="0" fontId="0" fillId="2" borderId="0" xfId="0" applyFill="1" applyAlignment="1">
      <alignment wrapText="1"/>
    </xf>
    <xf numFmtId="0" fontId="0" fillId="3" borderId="0" xfId="0" applyFill="1" applyAlignment="1">
      <alignment horizontal="center"/>
    </xf>
    <xf numFmtId="4" fontId="0" fillId="3" borderId="0" xfId="0" applyNumberFormat="1" applyFill="1" applyAlignment="1">
      <alignment horizontal="center"/>
    </xf>
    <xf numFmtId="0" fontId="7" fillId="3" borderId="0" xfId="0" applyFont="1" applyFill="1" applyAlignment="1">
      <alignment horizontal="center" wrapText="1"/>
    </xf>
    <xf numFmtId="0" fontId="0" fillId="3" borderId="0" xfId="0" applyFill="1" applyAlignment="1">
      <alignment horizontal="left"/>
    </xf>
    <xf numFmtId="0" fontId="0" fillId="3" borderId="0" xfId="0" applyFont="1" applyFill="1" applyAlignment="1">
      <alignment horizontal="center" wrapText="1"/>
    </xf>
    <xf numFmtId="3" fontId="0" fillId="4" borderId="0" xfId="0" applyNumberFormat="1" applyFill="1"/>
    <xf numFmtId="0" fontId="0" fillId="3" borderId="0" xfId="0" applyFont="1" applyFill="1" applyAlignment="1">
      <alignment horizontal="right" wrapText="1"/>
    </xf>
    <xf numFmtId="0" fontId="0" fillId="3" borderId="0" xfId="0" applyFill="1" applyAlignment="1">
      <alignment horizontal="right" wrapText="1"/>
    </xf>
    <xf numFmtId="0" fontId="0" fillId="0" borderId="10" xfId="0" applyFont="1" applyBorder="1"/>
    <xf numFmtId="0" fontId="0" fillId="0" borderId="10" xfId="0" applyFont="1" applyFill="1" applyBorder="1" applyAlignment="1">
      <alignment horizontal="left" wrapText="1"/>
    </xf>
    <xf numFmtId="0" fontId="7" fillId="0" borderId="10" xfId="0" applyFont="1" applyBorder="1"/>
    <xf numFmtId="0" fontId="0" fillId="0" borderId="10" xfId="0" applyNumberFormat="1" applyFont="1" applyFill="1" applyBorder="1" applyAlignment="1">
      <alignment horizontal="left" wrapText="1"/>
    </xf>
    <xf numFmtId="164" fontId="0" fillId="0" borderId="10" xfId="0" applyNumberFormat="1" applyFont="1" applyBorder="1" applyAlignment="1">
      <alignment horizontal="center"/>
    </xf>
    <xf numFmtId="9" fontId="0" fillId="0" borderId="10" xfId="0" applyNumberFormat="1" applyFont="1" applyBorder="1" applyAlignment="1">
      <alignment horizontal="center"/>
    </xf>
    <xf numFmtId="0" fontId="0" fillId="0" borderId="10" xfId="0"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xf>
    <xf numFmtId="9" fontId="7" fillId="0" borderId="10" xfId="0" applyNumberFormat="1" applyFont="1" applyBorder="1" applyAlignment="1">
      <alignment horizontal="center"/>
    </xf>
    <xf numFmtId="0" fontId="7" fillId="4" borderId="0" xfId="0" applyFont="1" applyFill="1" applyAlignment="1">
      <alignment wrapText="1"/>
    </xf>
    <xf numFmtId="0" fontId="4" fillId="0" borderId="4"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3" fillId="0" borderId="22" xfId="0" applyFont="1" applyFill="1" applyBorder="1" applyAlignment="1">
      <alignment wrapText="1"/>
    </xf>
    <xf numFmtId="0" fontId="3" fillId="0" borderId="0" xfId="0" applyFont="1" applyFill="1" applyBorder="1" applyAlignment="1">
      <alignment wrapText="1"/>
    </xf>
    <xf numFmtId="0" fontId="11" fillId="2" borderId="0" xfId="20" applyFill="1"/>
    <xf numFmtId="0" fontId="15" fillId="9" borderId="0" xfId="0" applyFont="1" applyFill="1"/>
    <xf numFmtId="0" fontId="0" fillId="2" borderId="0" xfId="0" applyFill="1" applyAlignment="1">
      <alignment horizontal="right"/>
    </xf>
    <xf numFmtId="0" fontId="0" fillId="2" borderId="0" xfId="0" applyFill="1" applyAlignment="1">
      <alignment/>
    </xf>
    <xf numFmtId="167" fontId="0" fillId="8" borderId="0" xfId="0" applyNumberFormat="1" applyFont="1" applyFill="1"/>
    <xf numFmtId="3" fontId="0" fillId="8" borderId="0" xfId="0" applyNumberFormat="1" applyFont="1" applyFill="1"/>
    <xf numFmtId="3" fontId="0" fillId="8" borderId="0" xfId="0" applyNumberFormat="1" applyFill="1" applyAlignment="1">
      <alignment horizontal="right"/>
    </xf>
    <xf numFmtId="3" fontId="7" fillId="8" borderId="0" xfId="0" applyNumberFormat="1" applyFont="1" applyFill="1" applyAlignment="1">
      <alignment horizontal="right" wrapText="1"/>
    </xf>
    <xf numFmtId="3" fontId="7" fillId="8" borderId="0" xfId="0" applyNumberFormat="1" applyFont="1" applyFill="1" applyAlignment="1">
      <alignment wrapText="1"/>
    </xf>
    <xf numFmtId="3" fontId="9" fillId="8" borderId="0" xfId="0" applyNumberFormat="1" applyFont="1" applyFill="1"/>
    <xf numFmtId="3" fontId="9" fillId="8" borderId="0" xfId="0" applyNumberFormat="1" applyFont="1" applyFill="1" applyAlignment="1">
      <alignment horizontal="right"/>
    </xf>
    <xf numFmtId="0" fontId="0" fillId="2" borderId="0" xfId="0" applyFill="1" applyAlignment="1">
      <alignment wrapText="1"/>
    </xf>
    <xf numFmtId="0" fontId="0" fillId="2" borderId="0" xfId="0" applyFill="1" applyAlignment="1">
      <alignment horizontal="right"/>
    </xf>
    <xf numFmtId="0" fontId="9" fillId="2" borderId="32" xfId="0" applyFont="1" applyFill="1" applyBorder="1"/>
    <xf numFmtId="164" fontId="10" fillId="2" borderId="30" xfId="0" applyNumberFormat="1" applyFont="1" applyFill="1" applyBorder="1"/>
    <xf numFmtId="170" fontId="0" fillId="8" borderId="0" xfId="0" applyNumberFormat="1" applyFill="1" applyAlignment="1">
      <alignment horizontal="center"/>
    </xf>
    <xf numFmtId="164" fontId="0" fillId="8" borderId="0" xfId="0" applyNumberFormat="1" applyFill="1" applyAlignment="1">
      <alignment horizontal="center"/>
    </xf>
    <xf numFmtId="9" fontId="0" fillId="8" borderId="0" xfId="0" applyNumberFormat="1" applyFill="1" applyAlignment="1">
      <alignment horizontal="right"/>
    </xf>
    <xf numFmtId="0" fontId="2" fillId="0" borderId="0" xfId="0" applyFont="1" applyAlignment="1">
      <alignment wrapText="1"/>
    </xf>
    <xf numFmtId="164" fontId="3" fillId="0" borderId="20" xfId="0" applyNumberFormat="1" applyFont="1" applyFill="1" applyBorder="1" applyAlignment="1">
      <alignment horizontal="center" wrapText="1"/>
    </xf>
    <xf numFmtId="164" fontId="3" fillId="0" borderId="40" xfId="0" applyNumberFormat="1" applyFont="1" applyFill="1" applyBorder="1" applyAlignment="1">
      <alignment horizontal="center" wrapText="1"/>
    </xf>
    <xf numFmtId="0" fontId="7" fillId="0" borderId="10" xfId="0" applyFont="1" applyBorder="1" applyAlignment="1">
      <alignment horizontal="center"/>
    </xf>
    <xf numFmtId="0" fontId="0" fillId="0" borderId="41" xfId="0" applyFont="1" applyFill="1" applyBorder="1" applyAlignment="1">
      <alignment horizontal="center"/>
    </xf>
    <xf numFmtId="0" fontId="0" fillId="2" borderId="0" xfId="0" applyFill="1" applyAlignment="1">
      <alignment wrapText="1"/>
    </xf>
    <xf numFmtId="0" fontId="0" fillId="2" borderId="0" xfId="0" applyFont="1" applyFill="1" applyBorder="1" applyAlignment="1">
      <alignment horizontal="right" wrapText="1"/>
    </xf>
    <xf numFmtId="0" fontId="0" fillId="2" borderId="0" xfId="0" applyFill="1" applyAlignment="1">
      <alignment horizontal="right"/>
    </xf>
    <xf numFmtId="0" fontId="0" fillId="4" borderId="0" xfId="0" applyFill="1" applyAlignment="1">
      <alignment horizontal="right"/>
    </xf>
    <xf numFmtId="0" fontId="0" fillId="4" borderId="0" xfId="0" applyFill="1" applyAlignment="1">
      <alignment/>
    </xf>
    <xf numFmtId="0" fontId="0" fillId="4" borderId="0" xfId="0" applyFill="1" applyAlignment="1">
      <alignment wrapText="1"/>
    </xf>
    <xf numFmtId="0" fontId="6" fillId="2" borderId="10"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right"/>
    </xf>
    <xf numFmtId="0" fontId="0" fillId="4" borderId="0" xfId="0" applyFill="1" applyAlignment="1">
      <alignment horizontal="right"/>
    </xf>
    <xf numFmtId="0" fontId="0" fillId="4" borderId="0" xfId="0" applyFill="1" applyAlignment="1">
      <alignment/>
    </xf>
    <xf numFmtId="0" fontId="0" fillId="4" borderId="0" xfId="0" applyFill="1" applyAlignment="1">
      <alignment wrapText="1"/>
    </xf>
    <xf numFmtId="8" fontId="0" fillId="8" borderId="0" xfId="0" applyNumberFormat="1" applyFill="1"/>
    <xf numFmtId="8" fontId="0" fillId="2" borderId="0" xfId="0" applyNumberFormat="1" applyFill="1"/>
    <xf numFmtId="0" fontId="7" fillId="2" borderId="0" xfId="0" applyFont="1" applyFill="1" applyAlignment="1">
      <alignment horizontal="right"/>
    </xf>
    <xf numFmtId="9" fontId="7" fillId="4" borderId="0" xfId="0" applyNumberFormat="1" applyFont="1" applyFill="1" applyAlignment="1">
      <alignment wrapText="1"/>
    </xf>
    <xf numFmtId="6" fontId="0" fillId="4" borderId="0" xfId="0" applyNumberFormat="1" applyFill="1"/>
    <xf numFmtId="8" fontId="0" fillId="4" borderId="0" xfId="0" applyNumberFormat="1" applyFill="1"/>
    <xf numFmtId="164" fontId="0" fillId="4" borderId="0" xfId="0" applyNumberFormat="1" applyFill="1"/>
    <xf numFmtId="0" fontId="7" fillId="4" borderId="0" xfId="0" applyFont="1" applyFill="1" applyAlignment="1">
      <alignment horizontal="center" wrapText="1"/>
    </xf>
    <xf numFmtId="0" fontId="7" fillId="4" borderId="0" xfId="0" applyFont="1" applyFill="1" applyAlignment="1">
      <alignment horizontal="center"/>
    </xf>
    <xf numFmtId="9" fontId="0" fillId="4" borderId="0" xfId="0" applyNumberFormat="1" applyFill="1"/>
    <xf numFmtId="3" fontId="0" fillId="3" borderId="0" xfId="0" applyNumberFormat="1" applyFill="1" applyAlignment="1">
      <alignment horizontal="right"/>
    </xf>
    <xf numFmtId="0" fontId="0" fillId="2" borderId="0" xfId="0" applyFill="1" applyAlignment="1">
      <alignment wrapText="1"/>
    </xf>
    <xf numFmtId="0" fontId="0" fillId="2" borderId="0" xfId="0" applyFill="1" applyAlignment="1">
      <alignment horizontal="right"/>
    </xf>
    <xf numFmtId="0" fontId="0" fillId="4" borderId="0" xfId="0" applyFill="1" applyAlignment="1">
      <alignment wrapText="1"/>
    </xf>
    <xf numFmtId="0" fontId="0" fillId="4" borderId="0" xfId="0" applyFill="1" applyAlignment="1">
      <alignment/>
    </xf>
    <xf numFmtId="0" fontId="0" fillId="4" borderId="0" xfId="0" applyFill="1" applyAlignment="1">
      <alignment horizontal="right"/>
    </xf>
    <xf numFmtId="6" fontId="7" fillId="3" borderId="0" xfId="0" applyNumberFormat="1" applyFont="1" applyFill="1"/>
    <xf numFmtId="3" fontId="6" fillId="9" borderId="14"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3" fontId="0" fillId="3" borderId="0" xfId="0" applyNumberFormat="1" applyFont="1" applyFill="1"/>
    <xf numFmtId="0" fontId="0" fillId="2" borderId="0" xfId="0" applyFill="1" applyAlignment="1">
      <alignment wrapText="1"/>
    </xf>
    <xf numFmtId="0" fontId="0" fillId="2" borderId="0" xfId="0" applyFill="1" applyAlignment="1">
      <alignment horizontal="right"/>
    </xf>
    <xf numFmtId="0" fontId="0" fillId="4" borderId="0" xfId="0" applyFill="1" applyAlignment="1">
      <alignment wrapText="1"/>
    </xf>
    <xf numFmtId="0" fontId="0" fillId="4" borderId="0" xfId="0" applyFill="1" applyAlignment="1">
      <alignment/>
    </xf>
    <xf numFmtId="0" fontId="0" fillId="4" borderId="0" xfId="0" applyFill="1" applyAlignment="1">
      <alignment horizontal="right" wrapText="1"/>
    </xf>
    <xf numFmtId="0" fontId="0" fillId="4" borderId="0" xfId="0" applyFill="1" applyAlignment="1">
      <alignment horizontal="right"/>
    </xf>
    <xf numFmtId="0" fontId="11" fillId="4" borderId="0" xfId="20" applyFill="1" applyAlignment="1">
      <alignment/>
    </xf>
    <xf numFmtId="166" fontId="0" fillId="4" borderId="0" xfId="0" applyNumberFormat="1" applyFill="1"/>
    <xf numFmtId="168" fontId="0" fillId="0" borderId="0" xfId="0" applyNumberFormat="1"/>
    <xf numFmtId="9" fontId="0" fillId="3" borderId="0" xfId="0" applyNumberFormat="1" applyFill="1"/>
    <xf numFmtId="0" fontId="2" fillId="0" borderId="0" xfId="0" applyFont="1" applyFill="1" applyBorder="1" applyAlignment="1">
      <alignment wrapText="1"/>
    </xf>
    <xf numFmtId="164" fontId="2" fillId="0" borderId="0" xfId="0" applyNumberFormat="1" applyFont="1" applyBorder="1" applyAlignment="1">
      <alignment horizontal="center" wrapText="1"/>
    </xf>
    <xf numFmtId="164" fontId="0" fillId="0" borderId="0" xfId="0" applyNumberFormat="1"/>
    <xf numFmtId="166" fontId="0" fillId="0" borderId="0" xfId="0" applyNumberFormat="1"/>
    <xf numFmtId="0" fontId="0" fillId="8" borderId="0" xfId="0" applyNumberFormat="1" applyFill="1"/>
    <xf numFmtId="0" fontId="15" fillId="0" borderId="0" xfId="0" applyFont="1" applyFill="1" applyBorder="1"/>
    <xf numFmtId="0" fontId="7" fillId="2" borderId="0" xfId="0" applyFont="1" applyFill="1" applyAlignment="1">
      <alignment/>
    </xf>
    <xf numFmtId="0" fontId="6" fillId="2" borderId="10"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6" fillId="2" borderId="16" xfId="0" applyNumberFormat="1" applyFont="1" applyFill="1" applyBorder="1" applyAlignment="1">
      <alignment horizontal="center" vertical="center" wrapText="1"/>
    </xf>
    <xf numFmtId="164" fontId="3" fillId="0" borderId="20" xfId="0" applyNumberFormat="1" applyFont="1" applyBorder="1" applyAlignment="1">
      <alignment horizont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6" fillId="2" borderId="10" xfId="0" applyFont="1" applyFill="1" applyBorder="1" applyAlignment="1">
      <alignment horizontal="center" vertical="center" wrapText="1"/>
    </xf>
    <xf numFmtId="0" fontId="3" fillId="0" borderId="22" xfId="0" applyFont="1" applyFill="1" applyBorder="1" applyAlignment="1">
      <alignment horizontal="center" wrapText="1"/>
    </xf>
    <xf numFmtId="0" fontId="2" fillId="0" borderId="8" xfId="0" applyFont="1" applyFill="1" applyBorder="1" applyAlignment="1">
      <alignment horizontal="center" wrapText="1"/>
    </xf>
    <xf numFmtId="0" fontId="3" fillId="0" borderId="8" xfId="0" applyFont="1" applyFill="1" applyBorder="1" applyAlignment="1">
      <alignment horizontal="center" wrapText="1"/>
    </xf>
    <xf numFmtId="0" fontId="5"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wrapText="1"/>
    </xf>
    <xf numFmtId="0" fontId="3" fillId="0" borderId="21" xfId="0" applyFont="1" applyFill="1" applyBorder="1" applyAlignment="1">
      <alignment wrapText="1"/>
    </xf>
    <xf numFmtId="3" fontId="6" fillId="0" borderId="16"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10" fillId="2" borderId="31" xfId="0" applyFont="1" applyFill="1" applyBorder="1"/>
    <xf numFmtId="0" fontId="10" fillId="4" borderId="31" xfId="0" applyFont="1" applyFill="1" applyBorder="1"/>
    <xf numFmtId="164" fontId="6" fillId="2" borderId="42" xfId="0" applyNumberFormat="1" applyFont="1" applyFill="1" applyBorder="1" applyAlignment="1">
      <alignment horizontal="center" vertical="center" wrapText="1"/>
    </xf>
    <xf numFmtId="0" fontId="6" fillId="5" borderId="19" xfId="0" applyFont="1" applyFill="1" applyBorder="1" applyAlignment="1">
      <alignment horizontal="center" vertical="center" wrapText="1"/>
    </xf>
    <xf numFmtId="0" fontId="3"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0" borderId="0" xfId="0" applyFont="1" applyAlignment="1">
      <alignment horizontal="center" vertical="center" wrapText="1"/>
    </xf>
    <xf numFmtId="0" fontId="3" fillId="4" borderId="11" xfId="0" applyFont="1" applyFill="1" applyBorder="1" applyAlignment="1">
      <alignment horizontal="center" vertical="center" wrapText="1"/>
    </xf>
    <xf numFmtId="0" fontId="0" fillId="2" borderId="0" xfId="0" applyFill="1" applyAlignment="1">
      <alignment horizontal="right"/>
    </xf>
    <xf numFmtId="0" fontId="0" fillId="2" borderId="0" xfId="0" applyFill="1" applyAlignment="1">
      <alignment wrapText="1"/>
    </xf>
    <xf numFmtId="0" fontId="0" fillId="2" borderId="0" xfId="0" applyFill="1" applyAlignment="1">
      <alignment horizontal="right"/>
    </xf>
    <xf numFmtId="0" fontId="0" fillId="4" borderId="0" xfId="0" applyFill="1" applyAlignment="1">
      <alignment wrapText="1"/>
    </xf>
    <xf numFmtId="0" fontId="0" fillId="4" borderId="0" xfId="0" applyFill="1" applyAlignment="1">
      <alignment/>
    </xf>
    <xf numFmtId="0" fontId="0" fillId="4" borderId="0" xfId="0" applyFill="1" applyAlignment="1">
      <alignment horizontal="right"/>
    </xf>
    <xf numFmtId="0" fontId="7" fillId="2" borderId="10" xfId="0" applyFont="1" applyFill="1" applyBorder="1"/>
    <xf numFmtId="0" fontId="6" fillId="2" borderId="16" xfId="0" applyFont="1" applyFill="1" applyBorder="1" applyAlignment="1">
      <alignment vertical="center" wrapText="1"/>
    </xf>
    <xf numFmtId="0" fontId="3" fillId="2" borderId="16" xfId="0" applyFont="1" applyFill="1" applyBorder="1" applyAlignment="1">
      <alignment vertical="center" wrapText="1"/>
    </xf>
    <xf numFmtId="164" fontId="6" fillId="2" borderId="19" xfId="0" applyNumberFormat="1"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0" fontId="3" fillId="2" borderId="16" xfId="0" applyFont="1" applyFill="1" applyBorder="1" applyAlignment="1">
      <alignment vertical="center" wrapText="1"/>
    </xf>
    <xf numFmtId="0" fontId="3" fillId="3" borderId="6" xfId="0" applyFont="1" applyFill="1" applyBorder="1" applyAlignment="1">
      <alignment horizont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7" fillId="2" borderId="0" xfId="0" applyFont="1" applyFill="1" applyAlignment="1">
      <alignment/>
    </xf>
    <xf numFmtId="0" fontId="0" fillId="2" borderId="0" xfId="0" applyFill="1" applyAlignment="1">
      <alignment wrapText="1"/>
    </xf>
    <xf numFmtId="164" fontId="3" fillId="0" borderId="20" xfId="0" applyNumberFormat="1" applyFont="1" applyBorder="1" applyAlignment="1">
      <alignment horizontal="center" wrapText="1"/>
    </xf>
    <xf numFmtId="0" fontId="7" fillId="4" borderId="0" xfId="0" applyFont="1" applyFill="1" applyAlignment="1">
      <alignment/>
    </xf>
    <xf numFmtId="0" fontId="0" fillId="4" borderId="0" xfId="0" applyFill="1" applyAlignment="1">
      <alignment wrapText="1"/>
    </xf>
    <xf numFmtId="0" fontId="0" fillId="4" borderId="0" xfId="0" applyFill="1" applyAlignment="1">
      <alignment/>
    </xf>
    <xf numFmtId="0" fontId="0" fillId="3" borderId="0" xfId="0" applyFill="1" applyAlignment="1">
      <alignment/>
    </xf>
    <xf numFmtId="0" fontId="7" fillId="2" borderId="0" xfId="0" applyFont="1" applyFill="1" applyAlignment="1">
      <alignment/>
    </xf>
    <xf numFmtId="0" fontId="0" fillId="2" borderId="0" xfId="0" applyFill="1" applyAlignment="1">
      <alignment wrapText="1"/>
    </xf>
    <xf numFmtId="0" fontId="0" fillId="2" borderId="0" xfId="0" applyFill="1" applyAlignment="1">
      <alignment horizontal="right"/>
    </xf>
    <xf numFmtId="0" fontId="10" fillId="2" borderId="32" xfId="0" applyFont="1" applyFill="1" applyBorder="1"/>
    <xf numFmtId="10" fontId="7" fillId="2" borderId="0" xfId="0" applyNumberFormat="1" applyFont="1" applyFill="1"/>
    <xf numFmtId="10" fontId="7" fillId="8" borderId="0" xfId="0" applyNumberFormat="1" applyFont="1" applyFill="1"/>
    <xf numFmtId="165" fontId="0" fillId="8" borderId="0" xfId="0" applyNumberFormat="1" applyFont="1" applyFill="1"/>
    <xf numFmtId="0" fontId="10" fillId="4" borderId="32" xfId="0" applyFont="1" applyFill="1" applyBorder="1"/>
    <xf numFmtId="10" fontId="7" fillId="4" borderId="0" xfId="0" applyNumberFormat="1" applyFont="1" applyFill="1"/>
    <xf numFmtId="164" fontId="7" fillId="4" borderId="32" xfId="0" applyNumberFormat="1" applyFont="1" applyFill="1" applyBorder="1"/>
    <xf numFmtId="6" fontId="9" fillId="8" borderId="0" xfId="0" applyNumberFormat="1" applyFont="1" applyFill="1"/>
    <xf numFmtId="0" fontId="0" fillId="2" borderId="0" xfId="0" applyFill="1" applyAlignment="1">
      <alignment wrapText="1"/>
    </xf>
    <xf numFmtId="164" fontId="6" fillId="2" borderId="14" xfId="0" applyNumberFormat="1" applyFont="1" applyFill="1" applyBorder="1" applyAlignment="1">
      <alignment horizontal="center" vertical="center" wrapText="1"/>
    </xf>
    <xf numFmtId="0" fontId="7" fillId="0" borderId="10" xfId="0" applyFont="1" applyBorder="1" applyAlignment="1">
      <alignment horizontal="center"/>
    </xf>
    <xf numFmtId="0" fontId="0" fillId="2" borderId="0" xfId="0" applyFill="1" applyAlignment="1">
      <alignment/>
    </xf>
    <xf numFmtId="0" fontId="7" fillId="0" borderId="10" xfId="0" applyFont="1" applyBorder="1" applyAlignment="1">
      <alignment horizontal="center"/>
    </xf>
    <xf numFmtId="0" fontId="7" fillId="0" borderId="0" xfId="0" applyFont="1" applyAlignment="1">
      <alignment/>
    </xf>
    <xf numFmtId="0" fontId="0" fillId="8" borderId="0" xfId="0" applyFill="1" applyAlignment="1">
      <alignment wrapText="1"/>
    </xf>
    <xf numFmtId="3" fontId="0" fillId="2" borderId="0" xfId="0" applyNumberFormat="1" applyFill="1" applyAlignment="1">
      <alignment horizontal="center"/>
    </xf>
    <xf numFmtId="0" fontId="9" fillId="2" borderId="0" xfId="0" applyFont="1" applyFill="1" applyAlignment="1">
      <alignment vertical="top"/>
    </xf>
    <xf numFmtId="0" fontId="9" fillId="2" borderId="0" xfId="0" applyFont="1" applyFill="1" applyAlignment="1" quotePrefix="1">
      <alignment horizontal="right"/>
    </xf>
    <xf numFmtId="0" fontId="9" fillId="2" borderId="0" xfId="0" applyFont="1" applyFill="1" applyAlignment="1">
      <alignment horizontal="right"/>
    </xf>
    <xf numFmtId="0" fontId="0" fillId="8" borderId="50" xfId="0" applyFill="1" applyBorder="1"/>
    <xf numFmtId="0" fontId="0" fillId="8" borderId="51" xfId="0" applyFill="1" applyBorder="1" applyAlignment="1">
      <alignment wrapText="1"/>
    </xf>
    <xf numFmtId="0" fontId="0" fillId="8" borderId="52" xfId="0" applyFill="1" applyBorder="1" applyAlignment="1">
      <alignment wrapText="1"/>
    </xf>
    <xf numFmtId="3" fontId="0" fillId="8" borderId="28" xfId="0" applyNumberFormat="1" applyFill="1" applyBorder="1" applyAlignment="1">
      <alignment horizontal="center"/>
    </xf>
    <xf numFmtId="3" fontId="0" fillId="2" borderId="52" xfId="0" applyNumberFormat="1" applyFill="1" applyBorder="1" applyAlignment="1">
      <alignment horizontal="center"/>
    </xf>
    <xf numFmtId="3" fontId="0" fillId="2" borderId="0" xfId="0" applyNumberFormat="1" applyFill="1" applyBorder="1" applyAlignment="1">
      <alignment horizontal="center"/>
    </xf>
    <xf numFmtId="0" fontId="0" fillId="2" borderId="53" xfId="0" applyFill="1" applyBorder="1" applyAlignment="1">
      <alignment wrapText="1"/>
    </xf>
    <xf numFmtId="3" fontId="0" fillId="2" borderId="53" xfId="0" applyNumberFormat="1" applyFill="1" applyBorder="1" applyAlignment="1">
      <alignment horizontal="center"/>
    </xf>
    <xf numFmtId="3" fontId="0" fillId="8" borderId="50" xfId="0" applyNumberFormat="1" applyFill="1" applyBorder="1" applyAlignment="1">
      <alignment horizontal="center"/>
    </xf>
    <xf numFmtId="3" fontId="0" fillId="8" borderId="54" xfId="0" applyNumberFormat="1" applyFill="1" applyBorder="1" applyAlignment="1">
      <alignment horizontal="center"/>
    </xf>
    <xf numFmtId="3" fontId="0" fillId="8" borderId="55" xfId="0" applyNumberFormat="1" applyFill="1" applyBorder="1" applyAlignment="1">
      <alignment horizontal="center"/>
    </xf>
    <xf numFmtId="3" fontId="0" fillId="8" borderId="56" xfId="0" applyNumberFormat="1" applyFill="1" applyBorder="1" applyAlignment="1">
      <alignment horizontal="center"/>
    </xf>
    <xf numFmtId="3" fontId="0" fillId="8" borderId="57" xfId="0" applyNumberFormat="1" applyFill="1" applyBorder="1" applyAlignment="1">
      <alignment horizontal="center"/>
    </xf>
    <xf numFmtId="3" fontId="0" fillId="8" borderId="58" xfId="0" applyNumberFormat="1" applyFill="1" applyBorder="1" applyAlignment="1">
      <alignment horizontal="center"/>
    </xf>
    <xf numFmtId="3" fontId="0" fillId="8" borderId="59" xfId="0" applyNumberFormat="1" applyFill="1" applyBorder="1" applyAlignment="1">
      <alignment horizontal="center"/>
    </xf>
    <xf numFmtId="3" fontId="0" fillId="8" borderId="60" xfId="0" applyNumberFormat="1" applyFill="1" applyBorder="1" applyAlignment="1">
      <alignment horizontal="center"/>
    </xf>
    <xf numFmtId="0" fontId="10" fillId="2" borderId="0" xfId="0" applyFont="1" applyFill="1"/>
    <xf numFmtId="4" fontId="9" fillId="8" borderId="0" xfId="0" applyNumberFormat="1" applyFont="1" applyFill="1"/>
    <xf numFmtId="9" fontId="9" fillId="8" borderId="0" xfId="0" applyNumberFormat="1" applyFont="1" applyFill="1"/>
    <xf numFmtId="9" fontId="9" fillId="2" borderId="0" xfId="0" applyNumberFormat="1" applyFont="1" applyFill="1"/>
    <xf numFmtId="0" fontId="9" fillId="2" borderId="0" xfId="0" applyFont="1" applyFill="1" quotePrefix="1"/>
    <xf numFmtId="0" fontId="3" fillId="0" borderId="14" xfId="0" applyFont="1" applyFill="1" applyBorder="1" applyAlignment="1">
      <alignment wrapText="1"/>
    </xf>
    <xf numFmtId="0" fontId="7" fillId="0" borderId="10" xfId="0" applyFont="1" applyFill="1" applyBorder="1" applyAlignment="1">
      <alignment horizontal="center"/>
    </xf>
    <xf numFmtId="0" fontId="0" fillId="0" borderId="0" xfId="0" applyFont="1" applyAlignment="1">
      <alignment horizontal="center"/>
    </xf>
    <xf numFmtId="3" fontId="0" fillId="0" borderId="0" xfId="0" applyNumberFormat="1" applyFont="1"/>
    <xf numFmtId="0" fontId="0" fillId="0" borderId="0" xfId="0" applyFont="1" applyBorder="1"/>
    <xf numFmtId="0" fontId="7" fillId="0" borderId="0" xfId="0" applyFont="1" applyBorder="1"/>
    <xf numFmtId="164" fontId="0" fillId="0" borderId="0" xfId="0" applyNumberFormat="1" applyFont="1" applyBorder="1" applyAlignment="1">
      <alignment horizontal="center"/>
    </xf>
    <xf numFmtId="9" fontId="0" fillId="0" borderId="0" xfId="0" applyNumberFormat="1" applyFont="1" applyBorder="1" applyAlignment="1">
      <alignment horizontal="center"/>
    </xf>
    <xf numFmtId="0" fontId="7" fillId="0" borderId="16" xfId="0" applyFont="1" applyFill="1" applyBorder="1" applyAlignment="1">
      <alignment horizontal="center"/>
    </xf>
    <xf numFmtId="164" fontId="0" fillId="0" borderId="10" xfId="0" applyNumberFormat="1" applyFont="1" applyBorder="1"/>
    <xf numFmtId="0" fontId="7" fillId="0" borderId="33" xfId="0" applyFont="1" applyFill="1" applyBorder="1" applyAlignment="1">
      <alignment horizontal="center"/>
    </xf>
    <xf numFmtId="164" fontId="0" fillId="0" borderId="33" xfId="0" applyNumberFormat="1" applyFont="1" applyBorder="1" applyAlignment="1">
      <alignment horizontal="center"/>
    </xf>
    <xf numFmtId="0" fontId="7" fillId="0" borderId="61" xfId="0" applyFont="1" applyBorder="1"/>
    <xf numFmtId="0" fontId="0" fillId="0" borderId="61" xfId="0" applyFont="1" applyFill="1" applyBorder="1" applyAlignment="1">
      <alignment horizontal="left" wrapText="1"/>
    </xf>
    <xf numFmtId="0" fontId="0" fillId="0" borderId="61" xfId="0" applyNumberFormat="1" applyFont="1" applyFill="1" applyBorder="1" applyAlignment="1">
      <alignment horizontal="left" wrapText="1"/>
    </xf>
    <xf numFmtId="0" fontId="0" fillId="0" borderId="16" xfId="0" applyBorder="1" applyAlignment="1">
      <alignment/>
    </xf>
    <xf numFmtId="164" fontId="0" fillId="0" borderId="16" xfId="0" applyNumberFormat="1" applyFont="1" applyBorder="1" applyAlignment="1">
      <alignment horizontal="center"/>
    </xf>
    <xf numFmtId="0" fontId="0" fillId="0" borderId="16" xfId="0" applyFont="1" applyBorder="1" applyAlignment="1">
      <alignment horizontal="center"/>
    </xf>
    <xf numFmtId="0" fontId="7" fillId="0" borderId="0"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164" fontId="7" fillId="11" borderId="0" xfId="0" applyNumberFormat="1" applyFont="1" applyFill="1" applyBorder="1" applyAlignment="1">
      <alignment horizontal="center"/>
    </xf>
    <xf numFmtId="164" fontId="7" fillId="11" borderId="0" xfId="0" applyNumberFormat="1" applyFont="1" applyFill="1"/>
    <xf numFmtId="0" fontId="7" fillId="11" borderId="0" xfId="0" applyFont="1" applyFill="1" applyBorder="1"/>
    <xf numFmtId="0" fontId="0" fillId="11" borderId="0" xfId="0" applyNumberFormat="1" applyFont="1" applyFill="1" applyBorder="1" applyAlignment="1">
      <alignment horizontal="left" wrapText="1"/>
    </xf>
    <xf numFmtId="164" fontId="0" fillId="11" borderId="0" xfId="0" applyNumberFormat="1" applyFont="1" applyFill="1" applyBorder="1" applyAlignment="1">
      <alignment horizontal="center"/>
    </xf>
    <xf numFmtId="0" fontId="7" fillId="2" borderId="0" xfId="0" applyFont="1" applyFill="1" applyAlignment="1">
      <alignment/>
    </xf>
    <xf numFmtId="0" fontId="4" fillId="0" borderId="8" xfId="0" applyFont="1" applyBorder="1" applyAlignment="1">
      <alignment vertical="center" wrapText="1"/>
    </xf>
    <xf numFmtId="0" fontId="4" fillId="0" borderId="21" xfId="0" applyFont="1" applyBorder="1" applyAlignment="1">
      <alignment vertical="center" wrapText="1"/>
    </xf>
    <xf numFmtId="0" fontId="0" fillId="4" borderId="0" xfId="0" applyFill="1" applyAlignment="1">
      <alignment horizontal="center"/>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0"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6" fillId="2" borderId="14" xfId="0" applyNumberFormat="1"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10" fontId="0" fillId="2" borderId="0" xfId="0" applyNumberFormat="1" applyFill="1"/>
    <xf numFmtId="0" fontId="0" fillId="2" borderId="0" xfId="0" applyFill="1" applyAlignment="1">
      <alignment wrapText="1"/>
    </xf>
    <xf numFmtId="0" fontId="0" fillId="2" borderId="0" xfId="0" applyFill="1" applyAlignment="1">
      <alignment horizontal="right"/>
    </xf>
    <xf numFmtId="0" fontId="0" fillId="2" borderId="0" xfId="0" applyFill="1" applyAlignment="1">
      <alignment wrapText="1"/>
    </xf>
    <xf numFmtId="0" fontId="0" fillId="2" borderId="0" xfId="0" applyFill="1" applyAlignment="1">
      <alignment horizontal="right"/>
    </xf>
    <xf numFmtId="0" fontId="11" fillId="10" borderId="0" xfId="20" applyFill="1"/>
    <xf numFmtId="0" fontId="6" fillId="0" borderId="0" xfId="0" applyFont="1"/>
    <xf numFmtId="0" fontId="7" fillId="0" borderId="0" xfId="0" applyFont="1" applyFill="1" applyAlignment="1" applyProtection="1">
      <alignment horizontal="right" wrapText="1"/>
      <protection locked="0"/>
    </xf>
    <xf numFmtId="1" fontId="0" fillId="0" borderId="0" xfId="0" applyNumberFormat="1" applyFill="1" applyAlignment="1" applyProtection="1" quotePrefix="1">
      <alignment horizontal="right"/>
      <protection locked="0"/>
    </xf>
    <xf numFmtId="15" fontId="0" fillId="0" borderId="0" xfId="0" applyNumberFormat="1" applyFill="1" applyAlignment="1" applyProtection="1">
      <alignment horizontal="right"/>
      <protection locked="0"/>
    </xf>
    <xf numFmtId="0" fontId="0" fillId="0" borderId="0" xfId="0" applyFill="1" applyAlignment="1" applyProtection="1">
      <alignment horizontal="right"/>
      <protection locked="0"/>
    </xf>
    <xf numFmtId="3" fontId="0" fillId="0" borderId="0" xfId="0" applyNumberFormat="1" applyFill="1" applyAlignment="1" applyProtection="1">
      <alignment horizontal="right"/>
      <protection locked="0"/>
    </xf>
    <xf numFmtId="164" fontId="0" fillId="0" borderId="0" xfId="0" applyNumberFormat="1" applyFill="1" applyAlignment="1" applyProtection="1">
      <alignment horizontal="right"/>
      <protection locked="0"/>
    </xf>
    <xf numFmtId="9" fontId="0" fillId="12" borderId="10" xfId="0" applyNumberFormat="1" applyFill="1" applyBorder="1" applyProtection="1">
      <protection locked="0"/>
    </xf>
    <xf numFmtId="0" fontId="6" fillId="0" borderId="11" xfId="0" applyFont="1" applyFill="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0" borderId="19" xfId="0" applyFont="1" applyFill="1" applyBorder="1" applyAlignment="1" applyProtection="1">
      <alignment vertical="center" wrapText="1"/>
      <protection locked="0"/>
    </xf>
    <xf numFmtId="0" fontId="6" fillId="0" borderId="33"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63"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3" fillId="0" borderId="10" xfId="0" applyFont="1" applyFill="1" applyBorder="1" applyAlignment="1" applyProtection="1">
      <alignment wrapText="1"/>
      <protection locked="0"/>
    </xf>
    <xf numFmtId="0" fontId="3" fillId="0" borderId="33" xfId="0" applyFont="1" applyFill="1" applyBorder="1" applyAlignment="1" applyProtection="1">
      <alignment wrapText="1"/>
      <protection locked="0"/>
    </xf>
    <xf numFmtId="0" fontId="3" fillId="0" borderId="43" xfId="0" applyFont="1" applyFill="1" applyBorder="1" applyAlignment="1" applyProtection="1">
      <alignment horizontal="center" wrapText="1"/>
      <protection locked="0"/>
    </xf>
    <xf numFmtId="0" fontId="3" fillId="0" borderId="12" xfId="0" applyFont="1" applyFill="1" applyBorder="1" applyAlignment="1" applyProtection="1">
      <alignment wrapText="1"/>
      <protection locked="0"/>
    </xf>
    <xf numFmtId="0" fontId="3" fillId="0" borderId="34"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6" fillId="5" borderId="10" xfId="0" applyFont="1" applyFill="1" applyBorder="1" applyAlignment="1" applyProtection="1">
      <alignment vertical="center" wrapText="1"/>
      <protection locked="0"/>
    </xf>
    <xf numFmtId="0" fontId="6" fillId="5" borderId="16"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0" borderId="11" xfId="0" applyFont="1" applyFill="1" applyBorder="1" applyAlignment="1" applyProtection="1" quotePrefix="1">
      <alignment horizontal="center" vertical="center" wrapText="1"/>
      <protection locked="0"/>
    </xf>
    <xf numFmtId="0" fontId="6" fillId="0" borderId="10" xfId="0" applyFont="1" applyFill="1" applyBorder="1" applyAlignment="1" applyProtection="1" quotePrefix="1">
      <alignment horizontal="center" vertical="center" wrapText="1"/>
      <protection locked="0"/>
    </xf>
    <xf numFmtId="0" fontId="6" fillId="0" borderId="19" xfId="0" applyFont="1" applyFill="1" applyBorder="1" applyAlignment="1" applyProtection="1" quotePrefix="1">
      <alignment horizontal="center" vertical="center" wrapText="1"/>
      <protection locked="0"/>
    </xf>
    <xf numFmtId="0" fontId="6" fillId="0" borderId="12" xfId="0" applyFont="1" applyFill="1" applyBorder="1" applyAlignment="1" applyProtection="1" quotePrefix="1">
      <alignment horizontal="center" vertical="center" wrapText="1"/>
      <protection locked="0"/>
    </xf>
    <xf numFmtId="0" fontId="6" fillId="4" borderId="11" xfId="0" applyFont="1" applyFill="1" applyBorder="1" applyAlignment="1" applyProtection="1">
      <alignment vertical="center" wrapText="1"/>
      <protection locked="0"/>
    </xf>
    <xf numFmtId="0" fontId="6" fillId="4" borderId="11" xfId="0" applyFont="1" applyFill="1" applyBorder="1" applyAlignment="1" applyProtection="1" quotePrefix="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39" xfId="0" applyFont="1" applyFill="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0" fontId="6" fillId="4" borderId="10" xfId="0" applyFont="1" applyFill="1" applyBorder="1" applyAlignment="1" applyProtection="1" quotePrefix="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0" borderId="14" xfId="0" applyFont="1" applyFill="1" applyBorder="1" applyAlignment="1" applyProtection="1" quotePrefix="1">
      <alignment horizontal="center" vertical="center" wrapText="1"/>
      <protection locked="0"/>
    </xf>
    <xf numFmtId="0" fontId="3" fillId="0" borderId="10" xfId="0" applyFont="1" applyFill="1" applyBorder="1" applyAlignment="1" applyProtection="1" quotePrefix="1">
      <alignment horizontal="center" vertical="center" wrapText="1"/>
      <protection locked="0"/>
    </xf>
    <xf numFmtId="0" fontId="3" fillId="0" borderId="10" xfId="0" applyFont="1" applyFill="1" applyBorder="1" applyAlignment="1" applyProtection="1">
      <alignment horizontal="center" wrapText="1"/>
      <protection locked="0"/>
    </xf>
    <xf numFmtId="0" fontId="3" fillId="0" borderId="33" xfId="0" applyFont="1" applyFill="1" applyBorder="1" applyAlignment="1" applyProtection="1">
      <alignment horizontal="center" wrapText="1"/>
      <protection locked="0"/>
    </xf>
    <xf numFmtId="0" fontId="3" fillId="0" borderId="12" xfId="0" applyFont="1" applyFill="1" applyBorder="1" applyAlignment="1" applyProtection="1" quotePrefix="1">
      <alignment horizontal="center" vertical="center" wrapText="1"/>
      <protection locked="0"/>
    </xf>
    <xf numFmtId="0" fontId="3" fillId="0" borderId="12" xfId="0" applyFont="1" applyFill="1" applyBorder="1" applyAlignment="1" applyProtection="1">
      <alignment horizontal="center" wrapText="1"/>
      <protection locked="0"/>
    </xf>
    <xf numFmtId="0" fontId="3" fillId="0" borderId="34" xfId="0" applyFont="1" applyFill="1" applyBorder="1" applyAlignment="1" applyProtection="1">
      <alignment horizontal="center" wrapText="1"/>
      <protection locked="0"/>
    </xf>
    <xf numFmtId="3" fontId="0" fillId="0" borderId="0" xfId="0" applyNumberFormat="1" applyFill="1" applyProtection="1">
      <protection locked="0"/>
    </xf>
    <xf numFmtId="10" fontId="0" fillId="0" borderId="0" xfId="0" applyNumberFormat="1" applyFill="1" applyProtection="1">
      <protection locked="0"/>
    </xf>
    <xf numFmtId="3" fontId="0" fillId="0" borderId="0" xfId="0" applyNumberFormat="1" applyFont="1" applyFill="1" applyProtection="1">
      <protection locked="0"/>
    </xf>
    <xf numFmtId="9" fontId="0" fillId="12" borderId="0" xfId="0" applyNumberFormat="1" applyFont="1" applyFill="1" applyProtection="1">
      <protection locked="0"/>
    </xf>
    <xf numFmtId="0" fontId="0" fillId="12" borderId="0" xfId="0" applyFill="1" applyAlignment="1" applyProtection="1">
      <alignment wrapText="1"/>
      <protection locked="0"/>
    </xf>
    <xf numFmtId="6" fontId="0" fillId="12" borderId="0" xfId="0" applyNumberFormat="1" applyFill="1" applyProtection="1">
      <protection locked="0"/>
    </xf>
    <xf numFmtId="0" fontId="0" fillId="12" borderId="0" xfId="0" applyFill="1" applyProtection="1">
      <protection locked="0"/>
    </xf>
    <xf numFmtId="3" fontId="0" fillId="12" borderId="0" xfId="0" applyNumberFormat="1" applyFill="1" applyProtection="1">
      <protection locked="0"/>
    </xf>
    <xf numFmtId="3" fontId="9" fillId="12" borderId="0" xfId="0" applyNumberFormat="1" applyFont="1" applyFill="1" applyProtection="1">
      <protection locked="0"/>
    </xf>
    <xf numFmtId="3" fontId="7" fillId="2" borderId="0" xfId="0" applyNumberFormat="1" applyFont="1" applyFill="1" applyAlignment="1" applyProtection="1">
      <alignment wrapText="1"/>
      <protection locked="0"/>
    </xf>
    <xf numFmtId="0" fontId="7" fillId="2" borderId="0" xfId="0" applyFont="1" applyFill="1" applyProtection="1">
      <protection locked="0"/>
    </xf>
    <xf numFmtId="10" fontId="0" fillId="12" borderId="0" xfId="0" applyNumberFormat="1" applyFill="1" applyAlignment="1" applyProtection="1">
      <alignment horizontal="center"/>
      <protection locked="0"/>
    </xf>
    <xf numFmtId="165" fontId="0" fillId="12" borderId="0" xfId="0" applyNumberFormat="1" applyFill="1" applyAlignment="1" applyProtection="1">
      <alignment horizontal="center"/>
      <protection locked="0"/>
    </xf>
    <xf numFmtId="0" fontId="9" fillId="12" borderId="0" xfId="0" applyFont="1" applyFill="1" applyProtection="1">
      <protection locked="0"/>
    </xf>
    <xf numFmtId="0" fontId="0" fillId="0" borderId="0" xfId="0" applyFill="1" applyAlignment="1" applyProtection="1">
      <alignment wrapText="1"/>
      <protection locked="0"/>
    </xf>
    <xf numFmtId="167" fontId="0" fillId="12" borderId="0" xfId="0" applyNumberFormat="1" applyFill="1" applyAlignment="1" applyProtection="1">
      <alignment wrapText="1"/>
      <protection locked="0"/>
    </xf>
    <xf numFmtId="172" fontId="0" fillId="0" borderId="0" xfId="0" applyNumberFormat="1" applyFill="1" applyProtection="1">
      <protection locked="0"/>
    </xf>
    <xf numFmtId="9" fontId="0" fillId="13" borderId="0" xfId="0" applyNumberFormat="1" applyFont="1" applyFill="1" applyProtection="1">
      <protection locked="0"/>
    </xf>
    <xf numFmtId="0" fontId="0" fillId="13" borderId="0" xfId="0" applyFill="1" applyAlignment="1" applyProtection="1">
      <alignment wrapText="1"/>
      <protection locked="0"/>
    </xf>
    <xf numFmtId="6" fontId="0" fillId="13" borderId="0" xfId="0" applyNumberFormat="1" applyFill="1" applyProtection="1">
      <protection locked="0"/>
    </xf>
    <xf numFmtId="0" fontId="0" fillId="13" borderId="0" xfId="0" applyFill="1" applyProtection="1">
      <protection locked="0"/>
    </xf>
    <xf numFmtId="3" fontId="0" fillId="13" borderId="0" xfId="0" applyNumberFormat="1" applyFill="1" applyProtection="1">
      <protection locked="0"/>
    </xf>
    <xf numFmtId="3" fontId="0" fillId="13" borderId="0" xfId="0" applyNumberFormat="1" applyFill="1" applyAlignment="1" applyProtection="1">
      <alignment horizontal="right"/>
      <protection locked="0"/>
    </xf>
    <xf numFmtId="9" fontId="0" fillId="13" borderId="0" xfId="0" applyNumberFormat="1" applyFill="1" applyProtection="1">
      <protection locked="0"/>
    </xf>
    <xf numFmtId="166" fontId="0" fillId="13" borderId="0" xfId="0" applyNumberFormat="1" applyFill="1" applyProtection="1">
      <protection locked="0"/>
    </xf>
    <xf numFmtId="164" fontId="0" fillId="13" borderId="0" xfId="0" applyNumberFormat="1" applyFill="1" applyProtection="1">
      <protection locked="0"/>
    </xf>
    <xf numFmtId="173" fontId="0" fillId="13" borderId="0" xfId="0" applyNumberFormat="1" applyFill="1" applyProtection="1">
      <protection locked="0"/>
    </xf>
    <xf numFmtId="3" fontId="0" fillId="0" borderId="0" xfId="0" applyNumberFormat="1" applyFill="1" applyAlignment="1" applyProtection="1">
      <alignment horizontal="center"/>
      <protection locked="0"/>
    </xf>
    <xf numFmtId="173" fontId="0" fillId="12" borderId="0" xfId="0" applyNumberFormat="1" applyFill="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0" fontId="0" fillId="13" borderId="0" xfId="0" applyFill="1" applyAlignment="1" applyProtection="1">
      <alignment horizontal="center"/>
      <protection locked="0"/>
    </xf>
    <xf numFmtId="6" fontId="0" fillId="13" borderId="0" xfId="0" applyNumberFormat="1" applyFill="1" applyAlignment="1" applyProtection="1">
      <alignment horizontal="center"/>
      <protection locked="0"/>
    </xf>
    <xf numFmtId="0" fontId="0" fillId="4" borderId="0" xfId="0" applyFill="1" applyAlignment="1" applyProtection="1">
      <alignment wrapText="1"/>
      <protection locked="0"/>
    </xf>
    <xf numFmtId="0" fontId="0" fillId="9" borderId="28" xfId="0" applyFill="1" applyBorder="1" applyProtection="1">
      <protection locked="0"/>
    </xf>
    <xf numFmtId="3" fontId="0" fillId="13" borderId="28" xfId="0" applyNumberFormat="1" applyFill="1" applyBorder="1" applyProtection="1">
      <protection locked="0"/>
    </xf>
    <xf numFmtId="166" fontId="0" fillId="13" borderId="28" xfId="0" applyNumberFormat="1" applyFill="1" applyBorder="1" applyProtection="1">
      <protection locked="0"/>
    </xf>
    <xf numFmtId="9" fontId="0" fillId="0" borderId="0" xfId="0" applyNumberFormat="1" applyFill="1" applyProtection="1">
      <protection locked="0"/>
    </xf>
    <xf numFmtId="9" fontId="0" fillId="8" borderId="10" xfId="0" applyNumberFormat="1" applyFill="1" applyBorder="1" applyProtection="1">
      <protection/>
    </xf>
    <xf numFmtId="0" fontId="7" fillId="2" borderId="0" xfId="0" applyFont="1" applyFill="1" applyAlignment="1">
      <alignment/>
    </xf>
    <xf numFmtId="0" fontId="0" fillId="0" borderId="0" xfId="0" applyAlignment="1">
      <alignment/>
    </xf>
    <xf numFmtId="0" fontId="0" fillId="2" borderId="0" xfId="0" applyFill="1" applyAlignment="1">
      <alignment wrapText="1"/>
    </xf>
    <xf numFmtId="0" fontId="0" fillId="0" borderId="0" xfId="0" applyAlignment="1">
      <alignment wrapText="1"/>
    </xf>
    <xf numFmtId="0" fontId="9" fillId="12" borderId="32" xfId="0" applyFont="1" applyFill="1" applyBorder="1" applyAlignment="1" applyProtection="1">
      <alignment/>
      <protection locked="0"/>
    </xf>
    <xf numFmtId="0" fontId="0" fillId="12" borderId="32" xfId="0" applyFill="1" applyBorder="1" applyAlignment="1" applyProtection="1">
      <alignment/>
      <protection locked="0"/>
    </xf>
    <xf numFmtId="0" fontId="0" fillId="12" borderId="30" xfId="0" applyFill="1" applyBorder="1" applyAlignment="1" applyProtection="1">
      <alignment/>
      <protection locked="0"/>
    </xf>
    <xf numFmtId="0" fontId="6" fillId="2" borderId="19" xfId="0" applyFont="1" applyFill="1"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6" fillId="0" borderId="19" xfId="0" applyFont="1"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6" fillId="2" borderId="16" xfId="0" applyFont="1" applyFill="1" applyBorder="1" applyAlignment="1">
      <alignment vertical="center" wrapText="1"/>
    </xf>
    <xf numFmtId="0" fontId="6" fillId="0" borderId="16"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6" fillId="2" borderId="13" xfId="0" applyFont="1" applyFill="1" applyBorder="1" applyAlignment="1">
      <alignment vertical="center" wrapText="1"/>
    </xf>
    <xf numFmtId="0" fontId="0" fillId="0" borderId="15" xfId="0" applyBorder="1" applyAlignment="1">
      <alignment vertical="center" wrapText="1"/>
    </xf>
    <xf numFmtId="0" fontId="6" fillId="2" borderId="14" xfId="0" applyFont="1" applyFill="1" applyBorder="1" applyAlignment="1">
      <alignment vertical="center" wrapText="1"/>
    </xf>
    <xf numFmtId="0" fontId="0" fillId="0" borderId="18" xfId="0" applyBorder="1" applyAlignment="1">
      <alignment vertical="center" wrapText="1"/>
    </xf>
    <xf numFmtId="0" fontId="0" fillId="0" borderId="20" xfId="0" applyBorder="1" applyAlignment="1">
      <alignment wrapText="1"/>
    </xf>
    <xf numFmtId="0" fontId="6" fillId="4" borderId="13" xfId="0" applyFont="1" applyFill="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6" fillId="4" borderId="14" xfId="0" applyFont="1" applyFill="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0" fillId="0" borderId="17" xfId="0" applyBorder="1" applyAlignment="1">
      <alignment vertical="center" wrapText="1"/>
    </xf>
    <xf numFmtId="0" fontId="6" fillId="0" borderId="14"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0" fillId="2" borderId="15" xfId="0" applyFill="1" applyBorder="1" applyAlignment="1">
      <alignment vertical="center" wrapText="1"/>
    </xf>
    <xf numFmtId="0" fontId="0" fillId="2" borderId="17" xfId="0" applyFill="1" applyBorder="1" applyAlignment="1">
      <alignment vertical="center" wrapText="1"/>
    </xf>
    <xf numFmtId="0" fontId="0" fillId="2" borderId="16" xfId="0" applyFill="1" applyBorder="1" applyAlignment="1">
      <alignment vertical="center" wrapText="1"/>
    </xf>
    <xf numFmtId="0" fontId="0" fillId="2" borderId="18" xfId="0" applyFill="1" applyBorder="1" applyAlignment="1">
      <alignment vertical="center" wrapText="1"/>
    </xf>
    <xf numFmtId="0" fontId="0" fillId="2" borderId="20" xfId="0" applyFill="1" applyBorder="1" applyAlignment="1">
      <alignment vertical="center" wrapText="1"/>
    </xf>
    <xf numFmtId="0" fontId="6" fillId="0" borderId="47"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6" fillId="0" borderId="63"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6" fillId="0" borderId="14" xfId="0" applyFont="1" applyFill="1" applyBorder="1" applyAlignment="1" applyProtection="1" quotePrefix="1">
      <alignment horizontal="center" vertical="center" wrapText="1"/>
      <protection locked="0"/>
    </xf>
    <xf numFmtId="0" fontId="6" fillId="0" borderId="19" xfId="0" applyFont="1" applyFill="1" applyBorder="1" applyAlignment="1" applyProtection="1" quotePrefix="1">
      <alignment horizontal="center" vertical="center" wrapText="1"/>
      <protection locked="0"/>
    </xf>
    <xf numFmtId="0" fontId="0" fillId="0" borderId="16"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6" fillId="0" borderId="16" xfId="0" applyFont="1" applyFill="1" applyBorder="1" applyAlignment="1" applyProtection="1" quotePrefix="1">
      <alignment horizontal="center" vertical="center" wrapText="1"/>
      <protection locked="0"/>
    </xf>
    <xf numFmtId="0" fontId="19" fillId="0" borderId="0" xfId="0" applyFont="1" applyAlignment="1">
      <alignment wrapText="1"/>
    </xf>
    <xf numFmtId="0" fontId="15" fillId="0" borderId="0" xfId="0" applyFont="1" applyAlignment="1">
      <alignment wrapText="1"/>
    </xf>
    <xf numFmtId="164" fontId="19" fillId="0" borderId="33" xfId="0" applyNumberFormat="1" applyFont="1" applyBorder="1" applyAlignment="1">
      <alignment horizontal="center" wrapText="1"/>
    </xf>
    <xf numFmtId="0" fontId="15" fillId="0" borderId="64" xfId="0" applyFont="1" applyBorder="1" applyAlignment="1">
      <alignment wrapText="1"/>
    </xf>
    <xf numFmtId="0" fontId="15" fillId="0" borderId="61" xfId="0" applyFont="1" applyBorder="1" applyAlignment="1">
      <alignment wrapText="1"/>
    </xf>
    <xf numFmtId="164" fontId="6" fillId="4" borderId="14" xfId="0" applyNumberFormat="1"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0" fontId="6" fillId="4"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6" fillId="4" borderId="16" xfId="0" applyFont="1" applyFill="1" applyBorder="1" applyAlignment="1">
      <alignment horizontal="center" vertical="center" wrapText="1"/>
    </xf>
    <xf numFmtId="0" fontId="6" fillId="4" borderId="20" xfId="0"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164" fontId="3" fillId="2" borderId="20" xfId="0" applyNumberFormat="1"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0" borderId="20" xfId="0" applyFont="1" applyBorder="1" applyAlignment="1">
      <alignment horizontal="center" wrapText="1"/>
    </xf>
    <xf numFmtId="0" fontId="6" fillId="2" borderId="10" xfId="0" applyFont="1" applyFill="1" applyBorder="1" applyAlignment="1">
      <alignment horizontal="center" vertical="center" wrapText="1"/>
    </xf>
    <xf numFmtId="0" fontId="3" fillId="0" borderId="20" xfId="0" applyFont="1" applyBorder="1" applyAlignment="1">
      <alignment vertical="center" wrapText="1"/>
    </xf>
    <xf numFmtId="0" fontId="3" fillId="4" borderId="13" xfId="0" applyFont="1" applyFill="1" applyBorder="1" applyAlignment="1">
      <alignment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3" fillId="2" borderId="20" xfId="0" applyFont="1" applyFill="1" applyBorder="1" applyAlignment="1">
      <alignment vertical="center" wrapText="1"/>
    </xf>
    <xf numFmtId="0" fontId="3" fillId="2" borderId="14" xfId="0" applyFont="1" applyFill="1" applyBorder="1" applyAlignment="1">
      <alignment vertical="center" wrapText="1"/>
    </xf>
    <xf numFmtId="0" fontId="3" fillId="0" borderId="20" xfId="0" applyFont="1"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8" xfId="0" applyBorder="1" applyAlignment="1">
      <alignment wrapText="1"/>
    </xf>
    <xf numFmtId="0" fontId="5" fillId="0" borderId="23" xfId="0" applyFont="1" applyBorder="1" applyAlignment="1">
      <alignment vertical="center" wrapText="1"/>
    </xf>
    <xf numFmtId="0" fontId="0" fillId="0" borderId="9" xfId="0" applyBorder="1" applyAlignment="1">
      <alignment wrapText="1"/>
    </xf>
    <xf numFmtId="0" fontId="5" fillId="0" borderId="3" xfId="0" applyFont="1" applyBorder="1" applyAlignment="1">
      <alignment vertical="center" wrapText="1"/>
    </xf>
    <xf numFmtId="0" fontId="0" fillId="0" borderId="4" xfId="0" applyBorder="1" applyAlignment="1">
      <alignment vertical="center" wrapText="1"/>
    </xf>
    <xf numFmtId="0" fontId="3" fillId="2" borderId="13" xfId="0" applyFont="1" applyFill="1" applyBorder="1" applyAlignment="1">
      <alignment vertical="center" wrapText="1"/>
    </xf>
    <xf numFmtId="0" fontId="0" fillId="0" borderId="20" xfId="0" applyBorder="1" applyAlignment="1">
      <alignment horizontal="center" vertical="center" wrapText="1"/>
    </xf>
    <xf numFmtId="0" fontId="7" fillId="0" borderId="10" xfId="0" applyFont="1" applyBorder="1" applyAlignment="1">
      <alignment horizontal="center"/>
    </xf>
    <xf numFmtId="0" fontId="7" fillId="0" borderId="10" xfId="0" applyFont="1" applyBorder="1" applyAlignment="1">
      <alignment/>
    </xf>
    <xf numFmtId="0" fontId="7" fillId="0" borderId="33" xfId="0" applyFont="1" applyBorder="1" applyAlignment="1">
      <alignment/>
    </xf>
    <xf numFmtId="0" fontId="0" fillId="0" borderId="64" xfId="0" applyBorder="1" applyAlignment="1">
      <alignment/>
    </xf>
    <xf numFmtId="0" fontId="0" fillId="0" borderId="61" xfId="0" applyBorder="1" applyAlignment="1">
      <alignment/>
    </xf>
    <xf numFmtId="0" fontId="7" fillId="0" borderId="0" xfId="0" applyFont="1" applyBorder="1" applyAlignment="1">
      <alignment wrapText="1"/>
    </xf>
    <xf numFmtId="0" fontId="0" fillId="0" borderId="0" xfId="0" applyBorder="1" applyAlignment="1">
      <alignment wrapText="1"/>
    </xf>
    <xf numFmtId="0" fontId="7" fillId="0" borderId="35" xfId="0" applyFont="1" applyBorder="1" applyAlignment="1">
      <alignment/>
    </xf>
    <xf numFmtId="0" fontId="0" fillId="0" borderId="0" xfId="0" applyBorder="1" applyAlignment="1">
      <alignment/>
    </xf>
    <xf numFmtId="0" fontId="0" fillId="9" borderId="0" xfId="0" applyFill="1" applyAlignment="1">
      <alignment wrapText="1"/>
    </xf>
    <xf numFmtId="0" fontId="0" fillId="2" borderId="0" xfId="0" applyFill="1" applyAlignment="1">
      <alignment vertical="center" wrapText="1"/>
    </xf>
    <xf numFmtId="0" fontId="0" fillId="0" borderId="0" xfId="0" applyAlignment="1">
      <alignment vertical="center" wrapText="1"/>
    </xf>
    <xf numFmtId="0" fontId="7" fillId="2" borderId="31" xfId="0" applyFont="1" applyFill="1" applyBorder="1" applyAlignment="1">
      <alignment/>
    </xf>
    <xf numFmtId="0" fontId="7" fillId="0" borderId="32" xfId="0" applyFont="1" applyBorder="1" applyAlignment="1">
      <alignment/>
    </xf>
    <xf numFmtId="0" fontId="7" fillId="8" borderId="0" xfId="0" applyFont="1" applyFill="1" applyAlignment="1">
      <alignment/>
    </xf>
    <xf numFmtId="0" fontId="7" fillId="0" borderId="0" xfId="0" applyFont="1" applyAlignment="1">
      <alignment/>
    </xf>
    <xf numFmtId="0" fontId="0" fillId="2" borderId="0" xfId="0" applyFill="1" applyAlignment="1">
      <alignment horizontal="right" wrapText="1"/>
    </xf>
    <xf numFmtId="0" fontId="0" fillId="2" borderId="0" xfId="0" applyFill="1" applyAlignment="1">
      <alignment/>
    </xf>
    <xf numFmtId="0" fontId="0" fillId="2" borderId="0"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2" borderId="0" xfId="0" applyFill="1" applyAlignment="1">
      <alignment horizontal="right"/>
    </xf>
    <xf numFmtId="0" fontId="0" fillId="0" borderId="0" xfId="0" applyFill="1" applyAlignment="1" applyProtection="1">
      <alignment horizontal="right" wrapText="1"/>
      <protection locked="0"/>
    </xf>
    <xf numFmtId="0" fontId="0" fillId="0" borderId="0" xfId="0" applyFill="1"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locked="0"/>
    </xf>
    <xf numFmtId="0" fontId="0" fillId="8" borderId="0" xfId="0" applyFill="1" applyAlignment="1">
      <alignment horizontal="center"/>
    </xf>
    <xf numFmtId="0" fontId="0" fillId="0" borderId="0" xfId="0" applyAlignment="1">
      <alignment horizontal="center"/>
    </xf>
    <xf numFmtId="0" fontId="9" fillId="13" borderId="32" xfId="0" applyFont="1" applyFill="1" applyBorder="1" applyAlignment="1" applyProtection="1">
      <alignment/>
      <protection locked="0"/>
    </xf>
    <xf numFmtId="0" fontId="0" fillId="13" borderId="32" xfId="0" applyFill="1" applyBorder="1" applyAlignment="1" applyProtection="1">
      <alignment/>
      <protection locked="0"/>
    </xf>
    <xf numFmtId="0" fontId="0" fillId="13" borderId="30" xfId="0" applyFill="1" applyBorder="1" applyAlignment="1" applyProtection="1">
      <alignment/>
      <protection locked="0"/>
    </xf>
    <xf numFmtId="0" fontId="7" fillId="3" borderId="0" xfId="0" applyFont="1" applyFill="1" applyAlignment="1">
      <alignment/>
    </xf>
    <xf numFmtId="0" fontId="0" fillId="4" borderId="0" xfId="0" applyFill="1" applyAlignment="1">
      <alignment horizontal="right" wrapText="1"/>
    </xf>
    <xf numFmtId="0" fontId="0" fillId="4" borderId="0" xfId="0" applyFill="1" applyAlignment="1">
      <alignment wrapText="1"/>
    </xf>
    <xf numFmtId="0" fontId="0" fillId="4" borderId="0" xfId="0" applyFill="1" applyAlignment="1">
      <alignment/>
    </xf>
    <xf numFmtId="0" fontId="0" fillId="4" borderId="0" xfId="0" applyFill="1" applyAlignment="1">
      <alignment vertical="center" wrapText="1"/>
    </xf>
    <xf numFmtId="0" fontId="7" fillId="4" borderId="31" xfId="0" applyFont="1" applyFill="1" applyBorder="1" applyAlignment="1">
      <alignment/>
    </xf>
    <xf numFmtId="0" fontId="7" fillId="4" borderId="32" xfId="0" applyFont="1" applyFill="1" applyBorder="1" applyAlignment="1">
      <alignment/>
    </xf>
    <xf numFmtId="0" fontId="0" fillId="4" borderId="0" xfId="0" applyFill="1" applyAlignment="1">
      <alignment horizontal="right"/>
    </xf>
    <xf numFmtId="0" fontId="11" fillId="4" borderId="0" xfId="20" applyFill="1" applyAlignment="1">
      <alignment/>
    </xf>
    <xf numFmtId="0" fontId="9" fillId="12" borderId="31" xfId="0" applyFont="1" applyFill="1" applyBorder="1" applyAlignment="1" applyProtection="1">
      <alignment/>
      <protection locked="0"/>
    </xf>
    <xf numFmtId="0" fontId="0" fillId="0" borderId="32" xfId="0" applyBorder="1" applyAlignment="1" applyProtection="1">
      <alignment/>
      <protection locked="0"/>
    </xf>
    <xf numFmtId="0" fontId="0" fillId="0" borderId="30" xfId="0" applyBorder="1" applyAlignment="1" applyProtection="1">
      <alignment/>
      <protection locked="0"/>
    </xf>
    <xf numFmtId="0" fontId="9" fillId="2" borderId="0" xfId="0" applyFont="1" applyFill="1" applyAlignment="1">
      <alignment/>
    </xf>
    <xf numFmtId="0" fontId="10" fillId="2" borderId="31" xfId="0" applyFont="1" applyFill="1" applyBorder="1" applyAlignment="1">
      <alignment/>
    </xf>
    <xf numFmtId="0" fontId="0" fillId="2" borderId="32" xfId="0" applyFill="1" applyBorder="1" applyAlignment="1">
      <alignment/>
    </xf>
    <xf numFmtId="0" fontId="0" fillId="0" borderId="32" xfId="0" applyBorder="1" applyAlignment="1">
      <alignment/>
    </xf>
    <xf numFmtId="164" fontId="10" fillId="2" borderId="32" xfId="0" applyNumberFormat="1" applyFont="1" applyFill="1" applyBorder="1" applyAlignment="1">
      <alignment/>
    </xf>
    <xf numFmtId="0" fontId="0" fillId="0" borderId="30" xfId="0" applyBorder="1" applyAlignment="1">
      <alignment/>
    </xf>
    <xf numFmtId="0" fontId="0" fillId="3" borderId="0" xfId="0" applyFill="1" applyAlignment="1">
      <alignment/>
    </xf>
    <xf numFmtId="0" fontId="0" fillId="3" borderId="52" xfId="0" applyFill="1" applyBorder="1" applyAlignment="1">
      <alignment/>
    </xf>
    <xf numFmtId="0" fontId="7" fillId="4" borderId="0" xfId="0" applyFont="1" applyFill="1" applyAlignment="1">
      <alignment/>
    </xf>
    <xf numFmtId="0" fontId="0" fillId="6" borderId="22" xfId="0" applyFill="1" applyBorder="1" applyAlignment="1">
      <alignment horizontal="left"/>
    </xf>
    <xf numFmtId="0" fontId="0" fillId="6" borderId="0" xfId="0"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dxfs count="35">
    <dxf>
      <font>
        <color auto="1"/>
      </font>
      <fill>
        <patternFill>
          <bgColor rgb="FFC00000"/>
        </patternFill>
      </fill>
      <border/>
    </dxf>
    <dxf>
      <font>
        <color auto="1"/>
      </font>
      <fill>
        <patternFill>
          <bgColor rgb="FFC00000"/>
        </patternFill>
      </fill>
      <border/>
    </dxf>
    <dxf>
      <fill>
        <patternFill>
          <bgColor theme="5" tint="0.3999499976634979"/>
        </patternFill>
      </fill>
      <border/>
    </dxf>
    <dxf>
      <fill>
        <patternFill>
          <bgColor theme="5" tint="0.3999499976634979"/>
        </patternFill>
      </fill>
      <border/>
    </dxf>
    <dxf>
      <font>
        <color auto="1"/>
      </font>
      <fill>
        <patternFill>
          <bgColor rgb="FFC00000"/>
        </patternFill>
      </fill>
      <border/>
    </dxf>
    <dxf>
      <font>
        <color auto="1"/>
      </font>
      <fill>
        <patternFill>
          <bgColor rgb="FFC00000"/>
        </patternFill>
      </fill>
      <border/>
    </dxf>
    <dxf>
      <font>
        <color auto="1"/>
      </font>
      <fill>
        <patternFill>
          <bgColor rgb="FFC00000"/>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ont>
        <color auto="1"/>
      </font>
      <fill>
        <patternFill>
          <bgColor rgb="FFC00000"/>
        </patternFill>
      </fill>
      <border/>
    </dxf>
    <dxf>
      <font>
        <color auto="1"/>
      </font>
      <fill>
        <patternFill>
          <bgColor rgb="FFC00000"/>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ont>
        <color auto="1"/>
      </font>
      <fill>
        <patternFill>
          <bgColor rgb="FFC00000"/>
        </patternFill>
      </fill>
      <border/>
    </dxf>
    <dxf>
      <font>
        <color auto="1"/>
      </font>
      <fill>
        <patternFill>
          <bgColor rgb="FFC00000"/>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ill>
        <patternFill patternType="none"/>
      </fill>
      <border/>
    </dxf>
    <dxf>
      <font>
        <color auto="1"/>
      </font>
      <fill>
        <patternFill>
          <bgColor theme="6" tint="0.3999499976634979"/>
        </patternFill>
      </fill>
      <border/>
    </dxf>
    <dxf>
      <fill>
        <patternFill>
          <bgColor theme="5" tint="0.3999499976634979"/>
        </patternFill>
      </fill>
      <border/>
    </dxf>
    <dxf>
      <fill>
        <patternFill patternType="none"/>
      </fill>
      <border/>
    </dxf>
    <dxf>
      <font>
        <color auto="1"/>
      </font>
      <fill>
        <patternFill>
          <bgColor theme="6" tint="0.3999499976634979"/>
        </patternFill>
      </fill>
      <border/>
    </dxf>
    <dxf>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chartsheet" Target="chartsheets/sheet3.xml" /><Relationship Id="rId13" Type="http://schemas.openxmlformats.org/officeDocument/2006/relationships/chartsheet" Target="chartsheets/sheet4.xml" /><Relationship Id="rId14" Type="http://schemas.openxmlformats.org/officeDocument/2006/relationships/worksheet" Target="worksheets/sheet10.xml" /><Relationship Id="rId15" Type="http://schemas.openxmlformats.org/officeDocument/2006/relationships/chartsheet" Target="chartsheets/sheet5.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worksheet" Target="worksheets/sheet20.xml" /><Relationship Id="rId27" Type="http://schemas.openxmlformats.org/officeDocument/2006/relationships/worksheet" Target="worksheets/sheet21.xml" /><Relationship Id="rId28" Type="http://schemas.openxmlformats.org/officeDocument/2006/relationships/worksheet" Target="worksheets/sheet22.xml" /><Relationship Id="rId29" Type="http://schemas.openxmlformats.org/officeDocument/2006/relationships/worksheet" Target="worksheets/sheet23.xml" /><Relationship Id="rId30" Type="http://schemas.openxmlformats.org/officeDocument/2006/relationships/worksheet" Target="worksheets/sheet24.xml" /><Relationship Id="rId31" Type="http://schemas.openxmlformats.org/officeDocument/2006/relationships/worksheet" Target="worksheets/sheet25.xml" /><Relationship Id="rId32" Type="http://schemas.openxmlformats.org/officeDocument/2006/relationships/worksheet" Target="worksheets/sheet26.xml" /><Relationship Id="rId33" Type="http://schemas.openxmlformats.org/officeDocument/2006/relationships/worksheet" Target="worksheets/sheet27.xml" /><Relationship Id="rId34" Type="http://schemas.openxmlformats.org/officeDocument/2006/relationships/worksheet" Target="worksheets/sheet28.xml" /><Relationship Id="rId35" Type="http://schemas.openxmlformats.org/officeDocument/2006/relationships/worksheet" Target="worksheets/sheet29.xml" /><Relationship Id="rId36" Type="http://schemas.openxmlformats.org/officeDocument/2006/relationships/worksheet" Target="worksheets/sheet30.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Map showing magnitude</a:t>
            </a:r>
            <a:r>
              <a:rPr lang="en-US" cap="none" u="none" baseline="0">
                <a:latin typeface="Calibri"/>
                <a:ea typeface="Calibri"/>
                <a:cs typeface="Calibri"/>
              </a:rPr>
              <a:t> and significance of impacts</a:t>
            </a:r>
          </a:p>
        </c:rich>
      </c:tx>
      <c:layout/>
      <c:overlay val="0"/>
      <c:spPr>
        <a:noFill/>
        <a:ln>
          <a:noFill/>
        </a:ln>
      </c:spPr>
    </c:title>
    <c:view3D>
      <c:rotX val="90"/>
      <c:rotY val="0"/>
      <c:depthPercent val="100"/>
      <c:rAngAx val="0"/>
      <c:perspective val="0"/>
    </c:view3D>
    <c:plotArea>
      <c:layout/>
      <c:surfaceChart>
        <c:ser>
          <c:idx val="0"/>
          <c:order val="0"/>
          <c:tx>
            <c:strRef>
              <c:f>'Summary by significance'!$A$4</c:f>
              <c:strCache>
                <c:ptCount val="1"/>
                <c:pt idx="0">
                  <c:v>Not very significant</c:v>
                </c:pt>
              </c:strCache>
            </c:strRef>
          </c:tx>
          <c:extLst>
            <c:ext xmlns:c14="http://schemas.microsoft.com/office/drawing/2007/8/2/chart" uri="{6F2FDCE9-48DA-4B69-8628-5D25D57E5C99}">
              <c14:invertSolidFillFmt>
                <c14:spPr>
                  <a:solidFill>
                    <a:srgbClr val="000000"/>
                  </a:solidFill>
                </c14:spPr>
              </c14:invertSolidFillFmt>
            </c:ext>
          </c:extLst>
          <c:cat>
            <c:strRef>
              <c:f>'Summary by significance'!$B$3:$D$3</c:f>
              <c:strCache/>
            </c:strRef>
          </c:cat>
          <c:val>
            <c:numRef>
              <c:f>'Summary by significance'!$B$4:$D$4</c:f>
              <c:numCache/>
            </c:numRef>
          </c:val>
        </c:ser>
        <c:ser>
          <c:idx val="1"/>
          <c:order val="1"/>
          <c:tx>
            <c:strRef>
              <c:f>'Summary by significance'!$A$5</c:f>
              <c:strCache>
                <c:ptCount val="1"/>
                <c:pt idx="0">
                  <c:v>Slightly significant</c:v>
                </c:pt>
              </c:strCache>
            </c:strRef>
          </c:tx>
          <c:extLst>
            <c:ext xmlns:c14="http://schemas.microsoft.com/office/drawing/2007/8/2/chart" uri="{6F2FDCE9-48DA-4B69-8628-5D25D57E5C99}">
              <c14:invertSolidFillFmt>
                <c14:spPr>
                  <a:solidFill>
                    <a:srgbClr val="000000"/>
                  </a:solidFill>
                </c14:spPr>
              </c14:invertSolidFillFmt>
            </c:ext>
          </c:extLst>
          <c:cat>
            <c:strRef>
              <c:f>'Summary by significance'!$B$3:$D$3</c:f>
              <c:strCache/>
            </c:strRef>
          </c:cat>
          <c:val>
            <c:numRef>
              <c:f>'Summary by significance'!$B$5:$D$5</c:f>
              <c:numCache/>
            </c:numRef>
          </c:val>
        </c:ser>
        <c:ser>
          <c:idx val="2"/>
          <c:order val="2"/>
          <c:tx>
            <c:strRef>
              <c:f>'Summary by significance'!$A$6</c:f>
              <c:strCache>
                <c:ptCount val="1"/>
                <c:pt idx="0">
                  <c:v>Significant</c:v>
                </c:pt>
              </c:strCache>
            </c:strRef>
          </c:tx>
          <c:extLst>
            <c:ext xmlns:c14="http://schemas.microsoft.com/office/drawing/2007/8/2/chart" uri="{6F2FDCE9-48DA-4B69-8628-5D25D57E5C99}">
              <c14:invertSolidFillFmt>
                <c14:spPr>
                  <a:solidFill>
                    <a:srgbClr val="000000"/>
                  </a:solidFill>
                </c14:spPr>
              </c14:invertSolidFillFmt>
            </c:ext>
          </c:extLst>
          <c:cat>
            <c:strRef>
              <c:f>'Summary by significance'!$B$3:$D$3</c:f>
              <c:strCache/>
            </c:strRef>
          </c:cat>
          <c:val>
            <c:numRef>
              <c:f>'Summary by significance'!$B$6:$D$6</c:f>
              <c:numCache/>
            </c:numRef>
          </c:val>
        </c:ser>
        <c:ser>
          <c:idx val="3"/>
          <c:order val="3"/>
          <c:tx>
            <c:strRef>
              <c:f>'Summary by significance'!$A$7</c:f>
              <c:strCache>
                <c:ptCount val="1"/>
                <c:pt idx="0">
                  <c:v>Very significant</c:v>
                </c:pt>
              </c:strCache>
            </c:strRef>
          </c:tx>
          <c:extLst>
            <c:ext xmlns:c14="http://schemas.microsoft.com/office/drawing/2007/8/2/chart" uri="{6F2FDCE9-48DA-4B69-8628-5D25D57E5C99}">
              <c14:invertSolidFillFmt>
                <c14:spPr>
                  <a:solidFill>
                    <a:srgbClr val="000000"/>
                  </a:solidFill>
                </c14:spPr>
              </c14:invertSolidFillFmt>
            </c:ext>
          </c:extLst>
          <c:val>
            <c:numRef>
              <c:f>'Summary by significance'!$B$7:$D$7</c:f>
              <c:numCache/>
            </c:numRef>
          </c:val>
        </c:ser>
        <c:bandFmts xmlns:c="http://schemas.openxmlformats.org/drawingml/2006/chart"/>
        <c:axId val="18437661"/>
        <c:axId val="64930122"/>
        <c:axId val="3925347"/>
      </c:surfaceChart>
      <c:catAx>
        <c:axId val="18437661"/>
        <c:scaling>
          <c:orientation val="minMax"/>
        </c:scaling>
        <c:axPos val="b"/>
        <c:delete val="0"/>
        <c:numFmt formatCode="General" sourceLinked="0"/>
        <c:majorTickMark val="out"/>
        <c:minorTickMark val="none"/>
        <c:tickLblPos val="nextTo"/>
        <c:crossAx val="64930122"/>
        <c:crosses val="autoZero"/>
        <c:auto val="1"/>
        <c:lblOffset val="100"/>
        <c:noMultiLvlLbl val="0"/>
      </c:catAx>
      <c:valAx>
        <c:axId val="64930122"/>
        <c:scaling>
          <c:orientation val="minMax"/>
        </c:scaling>
        <c:axPos val="l"/>
        <c:majorGridlines/>
        <c:delete val="0"/>
        <c:numFmt formatCode="General" sourceLinked="1"/>
        <c:majorTickMark val="out"/>
        <c:minorTickMark val="none"/>
        <c:tickLblPos val="none"/>
        <c:crossAx val="18437661"/>
        <c:crosses val="autoZero"/>
        <c:crossBetween val="midCat"/>
        <c:dispUnits/>
      </c:valAx>
      <c:serAx>
        <c:axId val="3925347"/>
        <c:scaling>
          <c:orientation val="minMax"/>
        </c:scaling>
        <c:axPos val="b"/>
        <c:delete val="0"/>
        <c:numFmt formatCode="General" sourceLinked="1"/>
        <c:majorTickMark val="out"/>
        <c:minorTickMark val="none"/>
        <c:tickLblPos val="nextTo"/>
        <c:crossAx val="64930122"/>
        <c:crosses val="autoZero"/>
        <c:tickLblSkip val="1"/>
        <c:tickMarkSkip val="1"/>
      </c:serAx>
    </c:plotArea>
    <c:legend>
      <c:legendPos val="r"/>
      <c:layout>
        <c:manualLayout>
          <c:xMode val="edge"/>
          <c:yMode val="edge"/>
          <c:x val="0.8465"/>
          <c:y val="0.44125"/>
          <c:w val="0.055"/>
          <c:h val="0.11325"/>
        </c:manualLayout>
      </c:layout>
      <c:overlay val="0"/>
    </c:legend>
    <c:floor>
      <c:spPr>
        <a:scene3d>
          <a:camera prst="orthographicFront"/>
          <a:lightRig rig="threePt" dir="t"/>
        </a:scene3d>
        <a:sp3d>
          <a:contourClr>
            <a:srgbClr val="000000"/>
          </a:contourClr>
        </a:sp3d>
      </c:spPr>
      <c:thickness val="0"/>
    </c:floor>
    <c:sideWall>
      <c:thickness val="0"/>
    </c:sideWall>
    <c:backWall>
      <c:thickness val="0"/>
    </c:backWall>
    <c:plotVisOnly val="1"/>
    <c:dispBlanksAs val="zero"/>
    <c:showDLblsOverMax val="0"/>
  </c:chart>
  <c:lang xmlns:c="http://schemas.openxmlformats.org/drawingml/2006/chart" val="en-US"/>
  <c:protection xmlns:c="http://schemas.openxmlformats.org/drawingml/2006/chart">
    <c:chartObject val="0"/>
    <c:data val="0"/>
    <c:formatting val="0"/>
    <c:selection val="0"/>
    <c:userInterface val="0"/>
  </c:protection>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Chart showing monetary</a:t>
            </a:r>
            <a:r>
              <a:rPr lang="en-US" cap="none" u="none" baseline="0">
                <a:latin typeface="Calibri"/>
                <a:ea typeface="Calibri"/>
                <a:cs typeface="Calibri"/>
              </a:rPr>
              <a:t> value of all benefits and damages by beneficiary</a:t>
            </a:r>
          </a:p>
        </c:rich>
      </c:tx>
      <c:layout/>
      <c:overlay val="0"/>
      <c:spPr>
        <a:noFill/>
        <a:ln>
          <a:noFill/>
        </a:ln>
      </c:spPr>
    </c:title>
    <c:plotArea>
      <c:layout/>
      <c:barChart>
        <c:barDir val="col"/>
        <c:grouping val="clustered"/>
        <c:varyColors val="0"/>
        <c:ser>
          <c:idx val="0"/>
          <c:order val="0"/>
          <c:tx>
            <c:v>Benefits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by beneficiary'!$A$3:$A$10</c:f>
              <c:strCache/>
            </c:strRef>
          </c:cat>
          <c:val>
            <c:numRef>
              <c:f>'Summary by beneficiary'!$B$3:$B$10</c:f>
              <c:numCache/>
            </c:numRef>
          </c:val>
        </c:ser>
        <c:ser>
          <c:idx val="1"/>
          <c:order val="1"/>
          <c:tx>
            <c:v>Damages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by beneficiary'!$A$3:$A$10</c:f>
              <c:strCache/>
            </c:strRef>
          </c:cat>
          <c:val>
            <c:numRef>
              <c:f>'Summary by beneficiary'!$C$3:$C$10</c:f>
              <c:numCache/>
            </c:numRef>
          </c:val>
        </c:ser>
        <c:axId val="46726200"/>
        <c:axId val="12882521"/>
      </c:barChart>
      <c:catAx>
        <c:axId val="46726200"/>
        <c:scaling>
          <c:orientation val="minMax"/>
        </c:scaling>
        <c:axPos val="b"/>
        <c:delete val="0"/>
        <c:numFmt formatCode="General" sourceLinked="0"/>
        <c:majorTickMark val="out"/>
        <c:minorTickMark val="none"/>
        <c:tickLblPos val="nextTo"/>
        <c:crossAx val="12882521"/>
        <c:crosses val="autoZero"/>
        <c:auto val="1"/>
        <c:lblOffset val="100"/>
        <c:noMultiLvlLbl val="0"/>
      </c:catAx>
      <c:valAx>
        <c:axId val="12882521"/>
        <c:scaling>
          <c:orientation val="minMax"/>
        </c:scaling>
        <c:axPos val="l"/>
        <c:majorGridlines/>
        <c:delete val="0"/>
        <c:numFmt formatCode="&quot;£&quot;#,##0" sourceLinked="1"/>
        <c:majorTickMark val="out"/>
        <c:minorTickMark val="none"/>
        <c:tickLblPos val="nextTo"/>
        <c:crossAx val="46726200"/>
        <c:crosses val="autoZero"/>
        <c:crossBetween val="between"/>
        <c:dispUnits/>
      </c:valAx>
    </c:plotArea>
    <c:legend>
      <c:legendPos val="r"/>
      <c:layout/>
      <c:overlay val="0"/>
    </c:legend>
    <c:plotVisOnly val="1"/>
    <c:dispBlanksAs val="gap"/>
    <c:showDLblsOverMax val="0"/>
  </c:chart>
  <c:userShapes r:id="rId1"/>
  <c:lang xmlns:c="http://schemas.openxmlformats.org/drawingml/2006/chart" val="en-US"/>
  <c:protection xmlns:c="http://schemas.openxmlformats.org/drawingml/2006/chart">
    <c:chartObject val="0"/>
    <c:data val="0"/>
    <c:formatting val="0"/>
    <c:selection val="0"/>
    <c:userInterface val="0"/>
  </c:protection>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Chart showing proportion</a:t>
            </a:r>
            <a:r>
              <a:rPr lang="en-US" cap="none" u="none" baseline="0">
                <a:latin typeface="Calibri"/>
                <a:ea typeface="Calibri"/>
                <a:cs typeface="Calibri"/>
              </a:rPr>
              <a:t> of IDB benefits by beneficiary</a:t>
            </a:r>
          </a:p>
        </c:rich>
      </c:tx>
      <c:layout/>
      <c:overlay val="0"/>
      <c:spPr>
        <a:noFill/>
        <a:ln>
          <a:noFill/>
        </a:ln>
      </c:spPr>
    </c:title>
    <c:plotArea>
      <c:layout/>
      <c:pieChart>
        <c:varyColors val="1"/>
        <c:ser>
          <c:idx val="0"/>
          <c:order val="0"/>
          <c:tx>
            <c:strRef>
              <c:f>'Summary by beneficiary'!$A$2</c:f>
              <c:strCache>
                <c:ptCount val="1"/>
                <c:pt idx="0">
                  <c:v>Beneficiaries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0"/>
            <c:showBubbleSize val="0"/>
            <c:showCatName val="1"/>
            <c:showSerName val="0"/>
            <c:showLeaderLines val="1"/>
            <c:showPercent val="1"/>
          </c:dLbls>
          <c:cat>
            <c:strRef>
              <c:f>'Summary by beneficiary'!$A$3:$A$10</c:f>
              <c:strCache/>
            </c:strRef>
          </c:cat>
          <c:val>
            <c:numRef>
              <c:f>'Summary by beneficiary'!$B$3:$B$9</c:f>
              <c:numCache/>
            </c:numRef>
          </c:val>
        </c:ser>
      </c:pieChart>
    </c:plotArea>
    <c:plotVisOnly val="1"/>
    <c:dispBlanksAs val="zero"/>
    <c:showDLblsOverMax val="0"/>
  </c:chart>
  <c:userShapes r:id="rId1"/>
  <c:lang xmlns:c="http://schemas.openxmlformats.org/drawingml/2006/chart" val="en-US"/>
  <c:protection xmlns:c="http://schemas.openxmlformats.org/drawingml/2006/chart">
    <c:chartObject val="0"/>
    <c:data val="0"/>
    <c:formatting val="0"/>
    <c:selection val="0"/>
    <c:userInterface val="0"/>
  </c:protection>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Chart showing proportion</a:t>
            </a:r>
            <a:r>
              <a:rPr lang="en-US" cap="none" u="none" baseline="0">
                <a:latin typeface="Calibri"/>
                <a:ea typeface="Calibri"/>
                <a:cs typeface="Calibri"/>
              </a:rPr>
              <a:t> of damages by beneficiary</a:t>
            </a:r>
          </a:p>
        </c:rich>
      </c:tx>
      <c:layout/>
      <c:overlay val="0"/>
      <c:spPr>
        <a:noFill/>
        <a:ln>
          <a:noFill/>
        </a:ln>
      </c:spPr>
    </c:title>
    <c:plotArea>
      <c:layout/>
      <c:pieChart>
        <c:varyColors val="1"/>
        <c:ser>
          <c:idx val="0"/>
          <c:order val="0"/>
          <c:tx>
            <c:strRef>
              <c:f>'Summary by beneficiary'!$A$2</c:f>
              <c:strCache>
                <c:ptCount val="1"/>
                <c:pt idx="0">
                  <c:v>Beneficiaries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0"/>
            <c:showBubbleSize val="0"/>
            <c:showCatName val="1"/>
            <c:showSerName val="0"/>
            <c:showLeaderLines val="1"/>
            <c:showPercent val="1"/>
          </c:dLbls>
          <c:cat>
            <c:strRef>
              <c:f>'Summary by beneficiary'!$A$3:$A$10</c:f>
              <c:strCache/>
            </c:strRef>
          </c:cat>
          <c:val>
            <c:numRef>
              <c:f>'Summary by beneficiary'!$C$3:$C$9</c:f>
              <c:numCache/>
            </c:numRef>
          </c:val>
        </c:ser>
      </c:pieChart>
    </c:plotArea>
    <c:plotVisOnly val="1"/>
    <c:dispBlanksAs val="zero"/>
    <c:showDLblsOverMax val="0"/>
  </c:chart>
  <c:userShapes r:id="rId1"/>
  <c:lang xmlns:c="http://schemas.openxmlformats.org/drawingml/2006/chart" val="en-US"/>
  <c:protection xmlns:c="http://schemas.openxmlformats.org/drawingml/2006/chart">
    <c:chartObject val="0"/>
    <c:data val="0"/>
    <c:formatting val="0"/>
    <c:selection val="0"/>
    <c:userInterface val="0"/>
  </c:protection>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Chart showing monetary</a:t>
            </a:r>
            <a:r>
              <a:rPr lang="en-US" cap="none" u="none" baseline="0">
                <a:latin typeface="Calibri"/>
                <a:ea typeface="Calibri"/>
                <a:cs typeface="Calibri"/>
              </a:rPr>
              <a:t> value of IDB benefits and damages by category</a:t>
            </a:r>
          </a:p>
        </c:rich>
      </c:tx>
      <c:layout/>
      <c:overlay val="0"/>
      <c:spPr>
        <a:noFill/>
        <a:ln>
          <a:noFill/>
        </a:ln>
      </c:spPr>
    </c:title>
    <c:plotArea>
      <c:layout/>
      <c:barChart>
        <c:barDir val="col"/>
        <c:grouping val="clustered"/>
        <c:varyColors val="0"/>
        <c:ser>
          <c:idx val="0"/>
          <c:order val="0"/>
          <c:tx>
            <c:v>Benefits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by category'!$B$3:$B$20</c:f>
              <c:strCache/>
            </c:strRef>
          </c:cat>
          <c:val>
            <c:numRef>
              <c:f>'Summary by category'!$K$3:$K$20</c:f>
              <c:numCache/>
            </c:numRef>
          </c:val>
        </c:ser>
        <c:ser>
          <c:idx val="1"/>
          <c:order val="1"/>
          <c:tx>
            <c:v>Damages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by category'!$B$3:$B$20</c:f>
              <c:strCache/>
            </c:strRef>
          </c:cat>
          <c:val>
            <c:numRef>
              <c:f>'Summary by category'!$L$3:$L$20</c:f>
              <c:numCache/>
            </c:numRef>
          </c:val>
        </c:ser>
        <c:axId val="38048790"/>
        <c:axId val="29673087"/>
      </c:barChart>
      <c:catAx>
        <c:axId val="38048790"/>
        <c:scaling>
          <c:orientation val="minMax"/>
        </c:scaling>
        <c:axPos val="b"/>
        <c:delete val="0"/>
        <c:numFmt formatCode="General" sourceLinked="0"/>
        <c:majorTickMark val="out"/>
        <c:minorTickMark val="none"/>
        <c:tickLblPos val="nextTo"/>
        <c:crossAx val="29673087"/>
        <c:crosses val="autoZero"/>
        <c:auto val="1"/>
        <c:lblOffset val="100"/>
        <c:noMultiLvlLbl val="0"/>
      </c:catAx>
      <c:valAx>
        <c:axId val="29673087"/>
        <c:scaling>
          <c:orientation val="minMax"/>
        </c:scaling>
        <c:axPos val="l"/>
        <c:majorGridlines/>
        <c:delete val="0"/>
        <c:numFmt formatCode="&quot;£&quot;#,##0" sourceLinked="1"/>
        <c:majorTickMark val="out"/>
        <c:minorTickMark val="none"/>
        <c:tickLblPos val="nextTo"/>
        <c:crossAx val="38048790"/>
        <c:crosses val="autoZero"/>
        <c:crossBetween val="between"/>
        <c:dispUnits/>
      </c:valAx>
    </c:plotArea>
    <c:legend>
      <c:legendPos val="r"/>
      <c:layout/>
      <c:overlay val="0"/>
    </c:legend>
    <c:plotVisOnly val="1"/>
    <c:dispBlanksAs val="gap"/>
    <c:showDLblsOverMax val="0"/>
  </c:chart>
  <c:userShapes r:id="rId1"/>
  <c:lang xmlns:c="http://schemas.openxmlformats.org/drawingml/2006/chart" val="en-US"/>
  <c:protection xmlns:c="http://schemas.openxmlformats.org/drawingml/2006/chart">
    <c:chartObject val="0"/>
    <c:data val="0"/>
    <c:formatting val="0"/>
    <c:selection val="0"/>
    <c:userInterface val="0"/>
  </c:protection>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Chart showing proportion </a:t>
            </a:r>
            <a:r>
              <a:rPr lang="en-US" cap="none" u="none" baseline="0">
                <a:latin typeface="Calibri"/>
                <a:ea typeface="Calibri"/>
                <a:cs typeface="Calibri"/>
              </a:rPr>
              <a:t>
of IDB benefits by category</a:t>
            </a:r>
          </a:p>
        </c:rich>
      </c:tx>
      <c:layout>
        <c:manualLayout>
          <c:xMode val="edge"/>
          <c:yMode val="edge"/>
          <c:x val="0.40475"/>
          <c:y val="0.01475"/>
        </c:manualLayout>
      </c:layout>
      <c:overlay val="0"/>
      <c:spPr>
        <a:noFill/>
        <a:ln>
          <a:noFill/>
        </a:ln>
      </c:spPr>
    </c:title>
    <c:plotArea>
      <c:layout/>
      <c:pieChart>
        <c:varyColors val="1"/>
        <c:ser>
          <c:idx val="0"/>
          <c:order val="0"/>
          <c:tx>
            <c:v>Benefits</c:v>
          </c:tx>
          <c:explosion val="0"/>
          <c:extLst>
            <c:ext xmlns:c14="http://schemas.microsoft.com/office/drawing/2007/8/2/chart" uri="{6F2FDCE9-48DA-4B69-8628-5D25D57E5C99}">
              <c14:invertSolidFillFmt>
                <c14:spPr>
                  <a:solidFill>
                    <a:srgbClr val="000000"/>
                  </a:solidFill>
                </c14:spPr>
              </c14:invertSolidFillFmt>
            </c:ext>
          </c:extLst>
          <c:dLbls>
            <c:dLbl>
              <c:idx val="11"/>
              <c:delete val="1"/>
            </c:dLbl>
            <c:dLbl>
              <c:idx val="16"/>
              <c:layout>
                <c:manualLayout>
                  <c:x val="-0.263"/>
                  <c:y val="-0.05275"/>
                </c:manualLayout>
              </c:layout>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'Summary by category'!$J$3:$J$20</c:f>
              <c:strCache/>
            </c:strRef>
          </c:cat>
          <c:val>
            <c:numRef>
              <c:f>'Summary by category'!$K$3:$K$20</c:f>
              <c:numCache/>
            </c:numRef>
          </c:val>
        </c:ser>
      </c:pieChart>
    </c:plotArea>
    <c:plotVisOnly val="1"/>
    <c:dispBlanksAs val="zero"/>
    <c:showDLblsOverMax val="0"/>
  </c:chart>
  <c:userShapes r:id="rId1"/>
  <c:lang xmlns:c="http://schemas.openxmlformats.org/drawingml/2006/chart" val="en-US"/>
  <c:protection xmlns:c="http://schemas.openxmlformats.org/drawingml/2006/chart">
    <c:chartObject val="0"/>
    <c:data val="0"/>
    <c:formatting val="0"/>
    <c:selection val="0"/>
    <c:userInterface val="0"/>
  </c:protection>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tabColor theme="9" tint="0.39998000860214233"/>
  </sheetPr>
  <sheetViews>
    <sheetView workbookViewId="0" zoomScale="128" zoomToFit="1"/>
  </sheetViews>
  <pageMargins left="0.7" right="0.7" top="0.75" bottom="0.75" header="0.3" footer="0.3"/>
  <pageSetup firstPageNumber="1" useFirstPageNumber="1"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Pr>
    <tabColor theme="9" tint="0.39998000860214233"/>
  </sheetPr>
  <sheetViews>
    <sheetView workbookViewId="0" zoomScale="128" zoomToFit="1"/>
  </sheetViews>
  <pageMargins left="0.7" right="0.7" top="0.75" bottom="0.75" header="0.3" footer="0.3"/>
  <pageSetup firstPageNumber="1" useFirstPageNumber="1"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Pr>
    <tabColor theme="9" tint="0.39998000860214233"/>
  </sheetPr>
  <sheetViews>
    <sheetView workbookViewId="0"/>
  </sheetViews>
  <pageMargins left="0.7" right="0.7" top="0.75" bottom="0.75" header="0.3" footer="0.3"/>
  <pageSetup firstPageNumber="1" useFirstPageNumber="1" horizontalDpi="1200" verticalDpi="1200" orientation="landscape" paperSize="9"/>
  <drawing r:id="rId1"/>
</chartsheet>
</file>

<file path=xl/chartsheets/sheet4.xml><?xml version="1.0" encoding="utf-8"?>
<chartsheet xmlns="http://schemas.openxmlformats.org/spreadsheetml/2006/main" xmlns:r="http://schemas.openxmlformats.org/officeDocument/2006/relationships">
  <sheetPr>
    <tabColor theme="9" tint="0.39998000860214233"/>
  </sheetPr>
  <sheetViews>
    <sheetView workbookViewId="0" zoomScale="128" zoomToFit="1"/>
  </sheetViews>
  <pageMargins left="0.7" right="0.7" top="0.75" bottom="0.75" header="0.3" footer="0.3"/>
  <pageSetup firstPageNumber="1" useFirstPageNumber="1" horizontalDpi="1200" verticalDpi="1200" orientation="landscape" paperSize="9"/>
  <drawing r:id="rId1"/>
</chartsheet>
</file>

<file path=xl/chartsheets/sheet5.xml><?xml version="1.0" encoding="utf-8"?>
<chartsheet xmlns="http://schemas.openxmlformats.org/spreadsheetml/2006/main" xmlns:r="http://schemas.openxmlformats.org/officeDocument/2006/relationships">
  <sheetPr>
    <tabColor theme="9" tint="0.39998000860214233"/>
  </sheetPr>
  <sheetViews>
    <sheetView workbookViewId="0" zoomScale="128" zoomToFit="1"/>
  </sheetViews>
  <pageMargins left="0.7" right="0.7" top="0.75" bottom="0.75" header="0.3" footer="0.3"/>
  <pageSetup firstPageNumber="1" useFirstPageNumber="1" horizontalDpi="1200" verticalDpi="1200" orientation="landscape" paperSize="9"/>
  <drawing r:id="rId1"/>
</chartsheet>
</file>

<file path=xl/chartsheets/sheet6.xml><?xml version="1.0" encoding="utf-8"?>
<chartsheet xmlns="http://schemas.openxmlformats.org/spreadsheetml/2006/main" xmlns:r="http://schemas.openxmlformats.org/officeDocument/2006/relationships">
  <sheetPr>
    <tabColor theme="9" tint="0.39998000860214233"/>
  </sheetPr>
  <sheetViews>
    <sheetView workbookViewId="0" zoomScale="128" zoomToFit="1"/>
  </sheetViews>
  <pageMargins left="0.7" right="0.7" top="0.75" bottom="0.75" header="0.3" footer="0.3"/>
  <pageSetup firstPageNumber="1" useFirstPageNumber="1"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Summary of area'!A1" /><Relationship Id="rId2" Type="http://schemas.openxmlformats.org/officeDocument/2006/relationships/hyperlink" Target="#'Describe and quantify assets'!A1" /><Relationship Id="rId3" Type="http://schemas.openxmlformats.org/officeDocument/2006/relationships/hyperlink" Target="#'Describe baseline'!A1" /><Relationship Id="rId4" Type="http://schemas.openxmlformats.org/officeDocument/2006/relationships/hyperlink" Target="#'Calculation Worksheets'!A1" /><Relationship Id="rId5" Type="http://schemas.openxmlformats.org/officeDocument/2006/relationships/hyperlink" Target="#'OUTPUT-all'!A1" /><Relationship Id="rId6" Type="http://schemas.openxmlformats.org/officeDocument/2006/relationships/hyperlink" Target="#'Summary by significance'!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45</xdr:row>
      <xdr:rowOff>0</xdr:rowOff>
    </xdr:from>
    <xdr:to>
      <xdr:col>6</xdr:col>
      <xdr:colOff>323850</xdr:colOff>
      <xdr:row>48</xdr:row>
      <xdr:rowOff>104775</xdr:rowOff>
    </xdr:to>
    <xdr:sp macro="" textlink="">
      <xdr:nvSpPr>
        <xdr:cNvPr id="2" name="Flowchart: Alternate Process 1">
          <a:hlinkClick r:id="rId1"/>
        </xdr:cNvPr>
        <xdr:cNvSpPr/>
      </xdr:nvSpPr>
      <xdr:spPr>
        <a:xfrm>
          <a:off x="2790825" y="8572500"/>
          <a:ext cx="2124075" cy="676275"/>
        </a:xfrm>
        <a:prstGeom prst="flowChartAlternateProcess">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Summary of area:</a:t>
          </a:r>
        </a:p>
        <a:p>
          <a:pPr algn="l"/>
          <a:r>
            <a:rPr lang="en-GB" sz="1100"/>
            <a:t>- record key statistics</a:t>
          </a:r>
        </a:p>
        <a:p>
          <a:pPr algn="l"/>
          <a:r>
            <a:rPr lang="en-GB" sz="1100"/>
            <a:t>- record background details</a:t>
          </a:r>
        </a:p>
      </xdr:txBody>
    </xdr:sp>
    <xdr:clientData/>
  </xdr:twoCellAnchor>
  <xdr:twoCellAnchor>
    <xdr:from>
      <xdr:col>3</xdr:col>
      <xdr:colOff>57150</xdr:colOff>
      <xdr:row>51</xdr:row>
      <xdr:rowOff>66675</xdr:rowOff>
    </xdr:from>
    <xdr:to>
      <xdr:col>6</xdr:col>
      <xdr:colOff>342900</xdr:colOff>
      <xdr:row>55</xdr:row>
      <xdr:rowOff>66675</xdr:rowOff>
    </xdr:to>
    <xdr:sp macro="" textlink="">
      <xdr:nvSpPr>
        <xdr:cNvPr id="4" name="Flowchart: Alternate Process 3">
          <a:hlinkClick r:id="rId2"/>
        </xdr:cNvPr>
        <xdr:cNvSpPr/>
      </xdr:nvSpPr>
      <xdr:spPr>
        <a:xfrm>
          <a:off x="2819400" y="9782175"/>
          <a:ext cx="2114550" cy="733425"/>
        </a:xfrm>
        <a:prstGeom prst="flowChartAlternateProcess">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Describe and quantify</a:t>
          </a:r>
          <a:r>
            <a:rPr lang="en-GB" sz="1100" baseline="0"/>
            <a:t> a</a:t>
          </a:r>
          <a:r>
            <a:rPr lang="en-GB" sz="1100"/>
            <a:t>ssets:</a:t>
          </a:r>
        </a:p>
        <a:p>
          <a:pPr algn="l"/>
          <a:r>
            <a:rPr lang="en-GB" sz="1100"/>
            <a:t>- qualitative</a:t>
          </a:r>
          <a:r>
            <a:rPr lang="en-GB" sz="1100" baseline="0"/>
            <a:t> description of the current situation (with IDB)</a:t>
          </a:r>
          <a:endParaRPr lang="en-GB" sz="1100"/>
        </a:p>
      </xdr:txBody>
    </xdr:sp>
    <xdr:clientData/>
  </xdr:twoCellAnchor>
  <xdr:twoCellAnchor>
    <xdr:from>
      <xdr:col>3</xdr:col>
      <xdr:colOff>57150</xdr:colOff>
      <xdr:row>57</xdr:row>
      <xdr:rowOff>123825</xdr:rowOff>
    </xdr:from>
    <xdr:to>
      <xdr:col>6</xdr:col>
      <xdr:colOff>342900</xdr:colOff>
      <xdr:row>61</xdr:row>
      <xdr:rowOff>38100</xdr:rowOff>
    </xdr:to>
    <xdr:sp macro="" textlink="">
      <xdr:nvSpPr>
        <xdr:cNvPr id="5" name="Flowchart: Alternate Process 4">
          <a:hlinkClick r:id="rId3"/>
        </xdr:cNvPr>
        <xdr:cNvSpPr/>
      </xdr:nvSpPr>
      <xdr:spPr>
        <a:xfrm>
          <a:off x="2819400" y="10953750"/>
          <a:ext cx="2114550" cy="676275"/>
        </a:xfrm>
        <a:prstGeom prst="flowChartAlternateProcess">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Describe baseline:</a:t>
          </a:r>
        </a:p>
        <a:p>
          <a:pPr algn="l"/>
          <a:r>
            <a:rPr lang="en-GB" sz="1100"/>
            <a:t>- qualitative</a:t>
          </a:r>
          <a:r>
            <a:rPr lang="en-GB" sz="1100" baseline="0"/>
            <a:t> description of the baseline (with outIDB)</a:t>
          </a:r>
          <a:endParaRPr lang="en-GB" sz="1100"/>
        </a:p>
      </xdr:txBody>
    </xdr:sp>
    <xdr:clientData/>
  </xdr:twoCellAnchor>
  <xdr:twoCellAnchor>
    <xdr:from>
      <xdr:col>3</xdr:col>
      <xdr:colOff>57150</xdr:colOff>
      <xdr:row>63</xdr:row>
      <xdr:rowOff>180975</xdr:rowOff>
    </xdr:from>
    <xdr:to>
      <xdr:col>6</xdr:col>
      <xdr:colOff>342900</xdr:colOff>
      <xdr:row>67</xdr:row>
      <xdr:rowOff>85725</xdr:rowOff>
    </xdr:to>
    <xdr:sp macro="" textlink="">
      <xdr:nvSpPr>
        <xdr:cNvPr id="6" name="Flowchart: Alternate Process 5">
          <a:hlinkClick r:id="rId4"/>
        </xdr:cNvPr>
        <xdr:cNvSpPr/>
      </xdr:nvSpPr>
      <xdr:spPr>
        <a:xfrm>
          <a:off x="2819400" y="12153900"/>
          <a:ext cx="2114550" cy="666750"/>
        </a:xfrm>
        <a:prstGeom prst="flowChartAlternateProcess">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Calculation</a:t>
          </a:r>
          <a:r>
            <a:rPr lang="en-GB" sz="1100" baseline="0"/>
            <a:t> worksheets:</a:t>
          </a:r>
        </a:p>
        <a:p>
          <a:pPr algn="l"/>
          <a:r>
            <a:rPr lang="en-GB" sz="1100" baseline="0"/>
            <a:t>- one for each category to monetise the benefits</a:t>
          </a:r>
          <a:endParaRPr lang="en-GB" sz="1100"/>
        </a:p>
      </xdr:txBody>
    </xdr:sp>
    <xdr:clientData/>
  </xdr:twoCellAnchor>
  <xdr:twoCellAnchor>
    <xdr:from>
      <xdr:col>7</xdr:col>
      <xdr:colOff>209550</xdr:colOff>
      <xdr:row>57</xdr:row>
      <xdr:rowOff>104775</xdr:rowOff>
    </xdr:from>
    <xdr:to>
      <xdr:col>10</xdr:col>
      <xdr:colOff>504825</xdr:colOff>
      <xdr:row>62</xdr:row>
      <xdr:rowOff>47625</xdr:rowOff>
    </xdr:to>
    <xdr:sp macro="" textlink="">
      <xdr:nvSpPr>
        <xdr:cNvPr id="7" name="Flowchart: Alternate Process 6">
          <a:hlinkClick r:id="rId5"/>
        </xdr:cNvPr>
        <xdr:cNvSpPr/>
      </xdr:nvSpPr>
      <xdr:spPr>
        <a:xfrm>
          <a:off x="5410200" y="10934700"/>
          <a:ext cx="2124075" cy="895350"/>
        </a:xfrm>
        <a:prstGeom prst="flowChartAlternateProcess">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n-GB" sz="1100"/>
            <a:t>Outputs:</a:t>
          </a:r>
        </a:p>
        <a:p>
          <a:pPr algn="l"/>
          <a:r>
            <a:rPr lang="en-GB" sz="1100"/>
            <a:t>- summary of </a:t>
          </a:r>
          <a:r>
            <a:rPr lang="en-GB" sz="1100" baseline="0"/>
            <a:t>assessment (qualitative, quantitative and monetary)</a:t>
          </a:r>
          <a:endParaRPr lang="en-GB" sz="1100"/>
        </a:p>
      </xdr:txBody>
    </xdr:sp>
    <xdr:clientData/>
  </xdr:twoCellAnchor>
  <xdr:twoCellAnchor>
    <xdr:from>
      <xdr:col>7</xdr:col>
      <xdr:colOff>247650</xdr:colOff>
      <xdr:row>62</xdr:row>
      <xdr:rowOff>171450</xdr:rowOff>
    </xdr:from>
    <xdr:to>
      <xdr:col>10</xdr:col>
      <xdr:colOff>533400</xdr:colOff>
      <xdr:row>66</xdr:row>
      <xdr:rowOff>123825</xdr:rowOff>
    </xdr:to>
    <xdr:sp macro="" textlink="">
      <xdr:nvSpPr>
        <xdr:cNvPr id="8" name="Flowchart: Alternate Process 7">
          <a:hlinkClick r:id="rId6"/>
        </xdr:cNvPr>
        <xdr:cNvSpPr/>
      </xdr:nvSpPr>
      <xdr:spPr>
        <a:xfrm>
          <a:off x="5448300" y="11953875"/>
          <a:ext cx="2114550" cy="714375"/>
        </a:xfrm>
        <a:prstGeom prst="flowChartAlternateProcess">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en-GB" sz="1100"/>
            <a:t>Summary charts and tables:</a:t>
          </a:r>
        </a:p>
        <a:p>
          <a:pPr algn="l"/>
          <a:r>
            <a:rPr lang="en-GB" sz="1100"/>
            <a:t>- by category</a:t>
          </a:r>
        </a:p>
        <a:p>
          <a:pPr algn="l"/>
          <a:r>
            <a:rPr lang="en-GB" sz="1100"/>
            <a:t>- by beneficiary</a:t>
          </a:r>
        </a:p>
      </xdr:txBody>
    </xdr:sp>
    <xdr:clientData/>
  </xdr:twoCellAnchor>
  <xdr:twoCellAnchor>
    <xdr:from>
      <xdr:col>6</xdr:col>
      <xdr:colOff>342900</xdr:colOff>
      <xdr:row>53</xdr:row>
      <xdr:rowOff>47625</xdr:rowOff>
    </xdr:from>
    <xdr:to>
      <xdr:col>9</xdr:col>
      <xdr:colOff>57150</xdr:colOff>
      <xdr:row>57</xdr:row>
      <xdr:rowOff>104775</xdr:rowOff>
    </xdr:to>
    <xdr:cxnSp macro="">
      <xdr:nvCxnSpPr>
        <xdr:cNvPr id="23" name="Elbow Connector 22"/>
        <xdr:cNvCxnSpPr>
          <a:stCxn id="4" idx="3"/>
          <a:endCxn id="7" idx="0"/>
        </xdr:cNvCxnSpPr>
      </xdr:nvCxnSpPr>
      <xdr:spPr>
        <a:xfrm>
          <a:off x="4933950" y="10144125"/>
          <a:ext cx="1543050" cy="790575"/>
        </a:xfrm>
        <a:prstGeom prst="bentConnector2">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59</xdr:row>
      <xdr:rowOff>76200</xdr:rowOff>
    </xdr:from>
    <xdr:to>
      <xdr:col>7</xdr:col>
      <xdr:colOff>209550</xdr:colOff>
      <xdr:row>59</xdr:row>
      <xdr:rowOff>171450</xdr:rowOff>
    </xdr:to>
    <xdr:cxnSp macro="">
      <xdr:nvCxnSpPr>
        <xdr:cNvPr id="26" name="Elbow Connector 25"/>
        <xdr:cNvCxnSpPr>
          <a:stCxn id="5" idx="3"/>
          <a:endCxn id="7" idx="1"/>
        </xdr:cNvCxnSpPr>
      </xdr:nvCxnSpPr>
      <xdr:spPr>
        <a:xfrm>
          <a:off x="4933950" y="11287125"/>
          <a:ext cx="476250" cy="9525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64</xdr:row>
      <xdr:rowOff>142875</xdr:rowOff>
    </xdr:from>
    <xdr:to>
      <xdr:col>7</xdr:col>
      <xdr:colOff>247650</xdr:colOff>
      <xdr:row>65</xdr:row>
      <xdr:rowOff>133350</xdr:rowOff>
    </xdr:to>
    <xdr:cxnSp macro="">
      <xdr:nvCxnSpPr>
        <xdr:cNvPr id="31" name="Elbow Connector 30"/>
        <xdr:cNvCxnSpPr>
          <a:stCxn id="6" idx="3"/>
          <a:endCxn id="8" idx="1"/>
        </xdr:cNvCxnSpPr>
      </xdr:nvCxnSpPr>
      <xdr:spPr>
        <a:xfrm flipV="1">
          <a:off x="4933950" y="12306300"/>
          <a:ext cx="514350" cy="180975"/>
        </a:xfrm>
        <a:prstGeom prst="bentConnector3">
          <a:avLst>
            <a:gd name="adj1" fmla="val 4707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59</xdr:row>
      <xdr:rowOff>76200</xdr:rowOff>
    </xdr:from>
    <xdr:to>
      <xdr:col>7</xdr:col>
      <xdr:colOff>247650</xdr:colOff>
      <xdr:row>64</xdr:row>
      <xdr:rowOff>142875</xdr:rowOff>
    </xdr:to>
    <xdr:cxnSp macro="">
      <xdr:nvCxnSpPr>
        <xdr:cNvPr id="37" name="Elbow Connector 36"/>
        <xdr:cNvCxnSpPr>
          <a:stCxn id="5" idx="3"/>
          <a:endCxn id="8" idx="1"/>
        </xdr:cNvCxnSpPr>
      </xdr:nvCxnSpPr>
      <xdr:spPr>
        <a:xfrm>
          <a:off x="4933950" y="11287125"/>
          <a:ext cx="514350" cy="1019175"/>
        </a:xfrm>
        <a:prstGeom prst="bentConnector3">
          <a:avLst>
            <a:gd name="adj1" fmla="val 4707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54</xdr:row>
      <xdr:rowOff>161925</xdr:rowOff>
    </xdr:from>
    <xdr:to>
      <xdr:col>4</xdr:col>
      <xdr:colOff>504825</xdr:colOff>
      <xdr:row>57</xdr:row>
      <xdr:rowOff>123825</xdr:rowOff>
    </xdr:to>
    <xdr:cxnSp macro="">
      <xdr:nvCxnSpPr>
        <xdr:cNvPr id="47" name="Elbow Connector 46"/>
        <xdr:cNvCxnSpPr/>
      </xdr:nvCxnSpPr>
      <xdr:spPr>
        <a:xfrm rot="5400000">
          <a:off x="3876675" y="10420350"/>
          <a:ext cx="0" cy="5334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61</xdr:row>
      <xdr:rowOff>47625</xdr:rowOff>
    </xdr:from>
    <xdr:to>
      <xdr:col>4</xdr:col>
      <xdr:colOff>504825</xdr:colOff>
      <xdr:row>64</xdr:row>
      <xdr:rowOff>0</xdr:rowOff>
    </xdr:to>
    <xdr:cxnSp macro="">
      <xdr:nvCxnSpPr>
        <xdr:cNvPr id="50" name="Elbow Connector 49"/>
        <xdr:cNvCxnSpPr/>
      </xdr:nvCxnSpPr>
      <xdr:spPr>
        <a:xfrm rot="5400000">
          <a:off x="3876675" y="11639550"/>
          <a:ext cx="0" cy="523875"/>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48</xdr:row>
      <xdr:rowOff>104775</xdr:rowOff>
    </xdr:from>
    <xdr:to>
      <xdr:col>4</xdr:col>
      <xdr:colOff>485775</xdr:colOff>
      <xdr:row>51</xdr:row>
      <xdr:rowOff>57150</xdr:rowOff>
    </xdr:to>
    <xdr:cxnSp macro="">
      <xdr:nvCxnSpPr>
        <xdr:cNvPr id="15" name="Elbow Connector 14"/>
        <xdr:cNvCxnSpPr/>
      </xdr:nvCxnSpPr>
      <xdr:spPr>
        <a:xfrm rot="5400000">
          <a:off x="3857625" y="9248775"/>
          <a:ext cx="0" cy="523875"/>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0.7645</cdr:x>
      <cdr:y>0.39275</cdr:y>
    </cdr:from>
    <cdr:to>
      <cdr:x>1</cdr:x>
      <cdr:y>0.65625</cdr:y>
    </cdr:to>
    <cdr:sp macro="" textlink="">
      <cdr:nvSpPr>
        <cdr:cNvPr id="2" name="TextBox 1"/>
        <cdr:cNvSpPr txBox="1"/>
      </cdr:nvSpPr>
      <cdr:spPr>
        <a:xfrm>
          <a:off x="7105650" y="2381250"/>
          <a:ext cx="2190750" cy="1600200"/>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latin typeface="Arial" pitchFamily="34" charset="0"/>
              <a:cs typeface="Arial" pitchFamily="34" charset="0"/>
            </a:rPr>
            <a:t>Based</a:t>
          </a:r>
          <a:r>
            <a:rPr lang="en-GB" sz="1100" b="1" baseline="0">
              <a:latin typeface="Arial" pitchFamily="34" charset="0"/>
              <a:cs typeface="Arial" pitchFamily="34" charset="0"/>
            </a:rPr>
            <a:t> on m</a:t>
          </a:r>
          <a:r>
            <a:rPr lang="en-GB" sz="1100" b="1">
              <a:latin typeface="Arial" pitchFamily="34" charset="0"/>
              <a:cs typeface="Arial" pitchFamily="34" charset="0"/>
            </a:rPr>
            <a:t>onetised</a:t>
          </a:r>
          <a:r>
            <a:rPr lang="en-GB" sz="1100" b="1" baseline="0">
              <a:latin typeface="Arial" pitchFamily="34" charset="0"/>
              <a:cs typeface="Arial" pitchFamily="34" charset="0"/>
            </a:rPr>
            <a:t> b</a:t>
          </a:r>
          <a:r>
            <a:rPr lang="en-GB" sz="1100" b="1">
              <a:latin typeface="Arial" pitchFamily="34" charset="0"/>
              <a:cs typeface="Arial" pitchFamily="34" charset="0"/>
            </a:rPr>
            <a:t>enefits only (excludes qualitative</a:t>
          </a:r>
          <a:r>
            <a:rPr lang="en-GB" sz="1100" b="1" baseline="0">
              <a:latin typeface="Arial" pitchFamily="34" charset="0"/>
              <a:cs typeface="Arial" pitchFamily="34" charset="0"/>
            </a:rPr>
            <a:t> benefits)</a:t>
          </a:r>
        </a:p>
        <a:p>
          <a:r>
            <a:rPr lang="en-GB" sz="1100" b="0">
              <a:solidFill>
                <a:srgbClr val="FF0000"/>
              </a:solidFill>
              <a:latin typeface="Arial" pitchFamily="34" charset="0"/>
              <a:cs typeface="Arial" pitchFamily="34" charset="0"/>
            </a:rPr>
            <a:t>Note:  all £ benefit values ignore the timing of benefits.  If benefits were to occur some time into the future they could be significantly smaller (in Present Value terms) than those presented here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66675</xdr:rowOff>
    </xdr:from>
    <xdr:to>
      <xdr:col>6</xdr:col>
      <xdr:colOff>419100</xdr:colOff>
      <xdr:row>23</xdr:row>
      <xdr:rowOff>19050</xdr:rowOff>
    </xdr:to>
    <xdr:sp macro="" textlink="">
      <xdr:nvSpPr>
        <xdr:cNvPr id="7" name="Rounded Rectangle 6"/>
        <xdr:cNvSpPr/>
      </xdr:nvSpPr>
      <xdr:spPr>
        <a:xfrm>
          <a:off x="85725" y="4067175"/>
          <a:ext cx="8096250" cy="333375"/>
        </a:xfrm>
        <a:prstGeom prst="roundRect">
          <a:avLst/>
        </a:prstGeom>
        <a:solidFill>
          <a:srgbClr val="C0504D"/>
        </a:solidFill>
        <a:ln>
          <a:solidFill>
            <a:schemeClr val="accent2">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Use the </a:t>
          </a:r>
          <a:r>
            <a:rPr lang="en-GB" sz="1100" b="1"/>
            <a:t>calculation worksheets </a:t>
          </a:r>
          <a:r>
            <a:rPr lang="en-GB" sz="1100"/>
            <a:t>to estimate the </a:t>
          </a:r>
          <a:r>
            <a:rPr lang="en-GB" sz="1100" b="1"/>
            <a:t>monetary</a:t>
          </a:r>
          <a:r>
            <a:rPr lang="en-GB" sz="1100" b="1" baseline="0"/>
            <a:t> benefits and damages </a:t>
          </a:r>
          <a:r>
            <a:rPr lang="en-GB" sz="1100" baseline="0"/>
            <a:t>of moving from the baseline to the current situation</a:t>
          </a:r>
          <a:endParaRPr lang="en-GB" sz="1100"/>
        </a:p>
      </xdr:txBody>
    </xdr:sp>
    <xdr:clientData/>
  </xdr:twoCellAnchor>
  <xdr:twoCellAnchor>
    <xdr:from>
      <xdr:col>0</xdr:col>
      <xdr:colOff>85725</xdr:colOff>
      <xdr:row>23</xdr:row>
      <xdr:rowOff>76200</xdr:rowOff>
    </xdr:from>
    <xdr:to>
      <xdr:col>6</xdr:col>
      <xdr:colOff>419100</xdr:colOff>
      <xdr:row>25</xdr:row>
      <xdr:rowOff>209550</xdr:rowOff>
    </xdr:to>
    <xdr:sp macro="" textlink="">
      <xdr:nvSpPr>
        <xdr:cNvPr id="8" name="Rounded Rectangle 7"/>
        <xdr:cNvSpPr/>
      </xdr:nvSpPr>
      <xdr:spPr>
        <a:xfrm>
          <a:off x="85725" y="4457700"/>
          <a:ext cx="8096250" cy="514350"/>
        </a:xfrm>
        <a:prstGeom prst="roundRect">
          <a:avLst/>
        </a:prstGeom>
        <a:solidFill>
          <a:srgbClr val="C0504D"/>
        </a:solidFill>
        <a:ln>
          <a:solidFill>
            <a:schemeClr val="accent2">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You will need information on the assets at risk from changes in water levels  (see blue boxes,</a:t>
          </a:r>
          <a:r>
            <a:rPr lang="en-GB" sz="1100" baseline="0"/>
            <a:t> below, for information needed for the different worksheets) </a:t>
          </a:r>
          <a:r>
            <a:rPr lang="en-GB" sz="1100"/>
            <a:t>and the </a:t>
          </a:r>
          <a:r>
            <a:rPr lang="en-GB" sz="1100" b="1"/>
            <a:t>predicted change in likelihood of impacts occurring</a:t>
          </a:r>
        </a:p>
      </xdr:txBody>
    </xdr:sp>
    <xdr:clientData/>
  </xdr:twoCellAnchor>
  <xdr:twoCellAnchor>
    <xdr:from>
      <xdr:col>0</xdr:col>
      <xdr:colOff>85725</xdr:colOff>
      <xdr:row>25</xdr:row>
      <xdr:rowOff>285750</xdr:rowOff>
    </xdr:from>
    <xdr:to>
      <xdr:col>6</xdr:col>
      <xdr:colOff>419100</xdr:colOff>
      <xdr:row>27</xdr:row>
      <xdr:rowOff>247650</xdr:rowOff>
    </xdr:to>
    <xdr:sp macro="" textlink="">
      <xdr:nvSpPr>
        <xdr:cNvPr id="9" name="Rounded Rectangle 8"/>
        <xdr:cNvSpPr/>
      </xdr:nvSpPr>
      <xdr:spPr>
        <a:xfrm>
          <a:off x="85725" y="5048250"/>
          <a:ext cx="8096250" cy="533400"/>
        </a:xfrm>
        <a:prstGeom prst="roundRect">
          <a:avLst/>
        </a:prstGeom>
        <a:solidFill>
          <a:srgbClr val="C0504D"/>
        </a:solidFill>
        <a:ln>
          <a:solidFill>
            <a:schemeClr val="accent2">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The calculation works</a:t>
          </a:r>
          <a:r>
            <a:rPr lang="en-GB" sz="1100" baseline="0"/>
            <a:t> heets include </a:t>
          </a:r>
          <a:r>
            <a:rPr lang="en-GB" sz="1100" b="1" baseline="0"/>
            <a:t>default assumptions</a:t>
          </a:r>
          <a:r>
            <a:rPr lang="en-GB" sz="1100" baseline="0"/>
            <a:t> so you can calculate the benefits even if you only have information on assets at risk and can predict change in likelihood of impacts</a:t>
          </a:r>
          <a:endParaRPr lang="en-GB" sz="1100"/>
        </a:p>
      </xdr:txBody>
    </xdr:sp>
    <xdr:clientData/>
  </xdr:twoCellAnchor>
  <xdr:twoCellAnchor>
    <xdr:from>
      <xdr:col>0</xdr:col>
      <xdr:colOff>85725</xdr:colOff>
      <xdr:row>27</xdr:row>
      <xdr:rowOff>323850</xdr:rowOff>
    </xdr:from>
    <xdr:to>
      <xdr:col>6</xdr:col>
      <xdr:colOff>419100</xdr:colOff>
      <xdr:row>31</xdr:row>
      <xdr:rowOff>19050</xdr:rowOff>
    </xdr:to>
    <xdr:sp macro="" textlink="">
      <xdr:nvSpPr>
        <xdr:cNvPr id="10" name="Rounded Rectangle 9"/>
        <xdr:cNvSpPr/>
      </xdr:nvSpPr>
      <xdr:spPr>
        <a:xfrm>
          <a:off x="85725" y="5657850"/>
          <a:ext cx="8096250" cy="676275"/>
        </a:xfrm>
        <a:prstGeom prst="roundRect">
          <a:avLst/>
        </a:prstGeom>
        <a:solidFill>
          <a:srgbClr val="C0504D"/>
        </a:solidFill>
        <a:ln>
          <a:solidFill>
            <a:schemeClr val="accent2">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You can </a:t>
          </a:r>
          <a:r>
            <a:rPr lang="en-GB" sz="1100" b="1"/>
            <a:t>reduce uncertainty</a:t>
          </a:r>
          <a:r>
            <a:rPr lang="en-GB" sz="1100" b="1" baseline="0"/>
            <a:t> </a:t>
          </a:r>
          <a:r>
            <a:rPr lang="en-GB" sz="1100" baseline="0"/>
            <a:t>by using </a:t>
          </a:r>
          <a:r>
            <a:rPr lang="en-GB" sz="1100" b="1" baseline="0"/>
            <a:t>data specific to your IDB</a:t>
          </a:r>
          <a:r>
            <a:rPr lang="en-GB" sz="1100" baseline="0"/>
            <a:t> to replace some of the default assumptions if these data are available, or by discussing the assumptions with Board members, etc.</a:t>
          </a:r>
        </a:p>
        <a:p>
          <a:pPr marL="0" marR="0" indent="0" algn="l" defTabSz="914400" eaLnBrk="1" fontAlgn="auto" latinLnBrk="0" hangingPunct="1">
            <a:lnSpc>
              <a:spcPct val="100000"/>
            </a:lnSpc>
            <a:spcBef>
              <a:spcPts val="0"/>
            </a:spcBef>
            <a:spcAft>
              <a:spcPts val="0"/>
            </a:spcAft>
            <a:buClrTx/>
            <a:buSzTx/>
            <a:buFontTx/>
            <a:buNone/>
            <a:tabLst/>
            <a:defRPr/>
          </a:pPr>
          <a:r>
            <a:rPr lang="en-GB" sz="1100" b="1" baseline="0">
              <a:solidFill>
                <a:schemeClr val="lt1"/>
              </a:solidFill>
              <a:effectLst/>
              <a:latin typeface="+mn-lt"/>
              <a:ea typeface="+mn-ea"/>
              <a:cs typeface="+mn-cs"/>
            </a:rPr>
            <a:t>Default assumptions </a:t>
          </a:r>
          <a:r>
            <a:rPr lang="en-GB" sz="1100" baseline="0">
              <a:solidFill>
                <a:schemeClr val="lt1"/>
              </a:solidFill>
              <a:effectLst/>
              <a:latin typeface="+mn-lt"/>
              <a:ea typeface="+mn-ea"/>
              <a:cs typeface="+mn-cs"/>
            </a:rPr>
            <a:t>are in </a:t>
          </a:r>
          <a:r>
            <a:rPr lang="en-GB" sz="1100" b="1" baseline="0">
              <a:solidFill>
                <a:schemeClr val="lt1"/>
              </a:solidFill>
              <a:effectLst/>
              <a:latin typeface="+mn-lt"/>
              <a:ea typeface="+mn-ea"/>
              <a:cs typeface="+mn-cs"/>
            </a:rPr>
            <a:t>brown</a:t>
          </a:r>
          <a:r>
            <a:rPr lang="en-GB" sz="1100" baseline="0">
              <a:solidFill>
                <a:schemeClr val="lt1"/>
              </a:solidFill>
              <a:effectLst/>
              <a:latin typeface="+mn-lt"/>
              <a:ea typeface="+mn-ea"/>
              <a:cs typeface="+mn-cs"/>
            </a:rPr>
            <a:t> on the core categories (green tabs) and </a:t>
          </a:r>
          <a:r>
            <a:rPr lang="en-GB" sz="1100" b="1" baseline="0">
              <a:solidFill>
                <a:schemeClr val="lt1"/>
              </a:solidFill>
              <a:effectLst/>
              <a:latin typeface="+mn-lt"/>
              <a:ea typeface="+mn-ea"/>
              <a:cs typeface="+mn-cs"/>
            </a:rPr>
            <a:t>red</a:t>
          </a:r>
          <a:r>
            <a:rPr lang="en-GB" sz="1100" baseline="0">
              <a:solidFill>
                <a:schemeClr val="lt1"/>
              </a:solidFill>
              <a:effectLst/>
              <a:latin typeface="+mn-lt"/>
              <a:ea typeface="+mn-ea"/>
              <a:cs typeface="+mn-cs"/>
            </a:rPr>
            <a:t> on the optional categories (blue tabs)</a:t>
          </a:r>
          <a:endParaRPr lang="en-GB">
            <a:effectLst/>
          </a:endParaRPr>
        </a:p>
        <a:p>
          <a:pPr algn="l"/>
          <a:endParaRPr lang="en-GB" sz="1100" baseline="0"/>
        </a:p>
      </xdr:txBody>
    </xdr:sp>
    <xdr:clientData/>
  </xdr:twoCellAnchor>
  <xdr:twoCellAnchor>
    <xdr:from>
      <xdr:col>0</xdr:col>
      <xdr:colOff>85725</xdr:colOff>
      <xdr:row>31</xdr:row>
      <xdr:rowOff>95250</xdr:rowOff>
    </xdr:from>
    <xdr:to>
      <xdr:col>6</xdr:col>
      <xdr:colOff>419100</xdr:colOff>
      <xdr:row>33</xdr:row>
      <xdr:rowOff>85725</xdr:rowOff>
    </xdr:to>
    <xdr:sp macro="" textlink="">
      <xdr:nvSpPr>
        <xdr:cNvPr id="11" name="Rounded Rectangle 10"/>
        <xdr:cNvSpPr/>
      </xdr:nvSpPr>
      <xdr:spPr>
        <a:xfrm>
          <a:off x="85725" y="6410325"/>
          <a:ext cx="8096250" cy="371475"/>
        </a:xfrm>
        <a:prstGeom prst="roundRect">
          <a:avLst/>
        </a:prstGeom>
        <a:solidFill>
          <a:srgbClr val="C0504D"/>
        </a:solidFill>
        <a:ln>
          <a:solidFill>
            <a:schemeClr val="accent2">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b="1"/>
            <a:t>Formulas</a:t>
          </a:r>
          <a:r>
            <a:rPr lang="en-GB" sz="1100" baseline="0"/>
            <a:t> are in dark green (core categories) and dark blue (optional categories).  You will not usually need to change these.</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1306175"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15</xdr:col>
      <xdr:colOff>190500</xdr:colOff>
      <xdr:row>0</xdr:row>
      <xdr:rowOff>142875</xdr:rowOff>
    </xdr:to>
    <xdr:sp macro="" textlink="">
      <xdr:nvSpPr>
        <xdr:cNvPr id="3" name="Rectangle 2"/>
        <xdr:cNvSpPr/>
      </xdr:nvSpPr>
      <xdr:spPr>
        <a:xfrm>
          <a:off x="11296650" y="57150"/>
          <a:ext cx="18097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1306175"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15</xdr:col>
      <xdr:colOff>371475</xdr:colOff>
      <xdr:row>0</xdr:row>
      <xdr:rowOff>142875</xdr:rowOff>
    </xdr:to>
    <xdr:sp macro="" textlink="">
      <xdr:nvSpPr>
        <xdr:cNvPr id="3" name="Rectangle 2"/>
        <xdr:cNvSpPr/>
      </xdr:nvSpPr>
      <xdr:spPr>
        <a:xfrm>
          <a:off x="11296650" y="57150"/>
          <a:ext cx="36195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1315700"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15</xdr:col>
      <xdr:colOff>552450</xdr:colOff>
      <xdr:row>0</xdr:row>
      <xdr:rowOff>142875</xdr:rowOff>
    </xdr:to>
    <xdr:sp macro="" textlink="">
      <xdr:nvSpPr>
        <xdr:cNvPr id="3" name="Rectangle 2"/>
        <xdr:cNvSpPr/>
      </xdr:nvSpPr>
      <xdr:spPr>
        <a:xfrm>
          <a:off x="11306175" y="57150"/>
          <a:ext cx="54292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1315700"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16</xdr:col>
      <xdr:colOff>133350</xdr:colOff>
      <xdr:row>0</xdr:row>
      <xdr:rowOff>142875</xdr:rowOff>
    </xdr:to>
    <xdr:sp macro="" textlink="">
      <xdr:nvSpPr>
        <xdr:cNvPr id="3" name="Rectangle 2"/>
        <xdr:cNvSpPr/>
      </xdr:nvSpPr>
      <xdr:spPr>
        <a:xfrm>
          <a:off x="11306175" y="57150"/>
          <a:ext cx="73342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1315700"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16</xdr:col>
      <xdr:colOff>304800</xdr:colOff>
      <xdr:row>0</xdr:row>
      <xdr:rowOff>142875</xdr:rowOff>
    </xdr:to>
    <xdr:sp macro="" textlink="">
      <xdr:nvSpPr>
        <xdr:cNvPr id="3" name="Rectangle 2"/>
        <xdr:cNvSpPr/>
      </xdr:nvSpPr>
      <xdr:spPr>
        <a:xfrm>
          <a:off x="11306175" y="57150"/>
          <a:ext cx="90487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4" name="Rectangle 3"/>
        <xdr:cNvSpPr/>
      </xdr:nvSpPr>
      <xdr:spPr>
        <a:xfrm>
          <a:off x="10258425"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16</xdr:col>
      <xdr:colOff>485775</xdr:colOff>
      <xdr:row>0</xdr:row>
      <xdr:rowOff>142875</xdr:rowOff>
    </xdr:to>
    <xdr:sp macro="" textlink="">
      <xdr:nvSpPr>
        <xdr:cNvPr id="5" name="Rectangle 4"/>
        <xdr:cNvSpPr/>
      </xdr:nvSpPr>
      <xdr:spPr>
        <a:xfrm>
          <a:off x="10248900" y="57150"/>
          <a:ext cx="108585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0725150"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17</xdr:col>
      <xdr:colOff>57150</xdr:colOff>
      <xdr:row>0</xdr:row>
      <xdr:rowOff>142875</xdr:rowOff>
    </xdr:to>
    <xdr:sp macro="" textlink="">
      <xdr:nvSpPr>
        <xdr:cNvPr id="3" name="Rectangle 2"/>
        <xdr:cNvSpPr/>
      </xdr:nvSpPr>
      <xdr:spPr>
        <a:xfrm>
          <a:off x="10715625" y="57150"/>
          <a:ext cx="126682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0515600"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17</xdr:col>
      <xdr:colOff>247650</xdr:colOff>
      <xdr:row>0</xdr:row>
      <xdr:rowOff>142875</xdr:rowOff>
    </xdr:to>
    <xdr:sp macro="" textlink="">
      <xdr:nvSpPr>
        <xdr:cNvPr id="3" name="Rectangle 2"/>
        <xdr:cNvSpPr/>
      </xdr:nvSpPr>
      <xdr:spPr>
        <a:xfrm>
          <a:off x="10506075" y="57150"/>
          <a:ext cx="145732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5" name="Rectangle 4"/>
        <xdr:cNvSpPr/>
      </xdr:nvSpPr>
      <xdr:spPr>
        <a:xfrm>
          <a:off x="11306175"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17</xdr:col>
      <xdr:colOff>419100</xdr:colOff>
      <xdr:row>0</xdr:row>
      <xdr:rowOff>142875</xdr:rowOff>
    </xdr:to>
    <xdr:sp macro="" textlink="">
      <xdr:nvSpPr>
        <xdr:cNvPr id="6" name="Rectangle 5"/>
        <xdr:cNvSpPr/>
      </xdr:nvSpPr>
      <xdr:spPr>
        <a:xfrm>
          <a:off x="11296650" y="57150"/>
          <a:ext cx="1628775"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1944350"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17</xdr:col>
      <xdr:colOff>600075</xdr:colOff>
      <xdr:row>0</xdr:row>
      <xdr:rowOff>142875</xdr:rowOff>
    </xdr:to>
    <xdr:sp macro="" textlink="">
      <xdr:nvSpPr>
        <xdr:cNvPr id="3" name="Rectangle 2"/>
        <xdr:cNvSpPr/>
      </xdr:nvSpPr>
      <xdr:spPr>
        <a:xfrm>
          <a:off x="11934825" y="57150"/>
          <a:ext cx="180975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10944225"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18</xdr:col>
      <xdr:colOff>180975</xdr:colOff>
      <xdr:row>0</xdr:row>
      <xdr:rowOff>142875</xdr:rowOff>
    </xdr:to>
    <xdr:sp macro="" textlink="">
      <xdr:nvSpPr>
        <xdr:cNvPr id="3" name="Rectangle 2"/>
        <xdr:cNvSpPr/>
      </xdr:nvSpPr>
      <xdr:spPr>
        <a:xfrm>
          <a:off x="10934700" y="57150"/>
          <a:ext cx="200025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0</xdr:row>
      <xdr:rowOff>57150</xdr:rowOff>
    </xdr:from>
    <xdr:to>
      <xdr:col>18</xdr:col>
      <xdr:colOff>180975</xdr:colOff>
      <xdr:row>0</xdr:row>
      <xdr:rowOff>142875</xdr:rowOff>
    </xdr:to>
    <xdr:sp macro="" textlink="">
      <xdr:nvSpPr>
        <xdr:cNvPr id="3" name="Rectangle 2"/>
        <xdr:cNvSpPr/>
      </xdr:nvSpPr>
      <xdr:spPr>
        <a:xfrm>
          <a:off x="13649325" y="57150"/>
          <a:ext cx="3190875"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19050</xdr:colOff>
      <xdr:row>0</xdr:row>
      <xdr:rowOff>57150</xdr:rowOff>
    </xdr:from>
    <xdr:to>
      <xdr:col>17</xdr:col>
      <xdr:colOff>609600</xdr:colOff>
      <xdr:row>0</xdr:row>
      <xdr:rowOff>142875</xdr:rowOff>
    </xdr:to>
    <xdr:sp macro="" textlink="">
      <xdr:nvSpPr>
        <xdr:cNvPr id="2" name="Rectangle 1"/>
        <xdr:cNvSpPr/>
      </xdr:nvSpPr>
      <xdr:spPr>
        <a:xfrm>
          <a:off x="13658850" y="57150"/>
          <a:ext cx="2152650" cy="85725"/>
        </a:xfrm>
        <a:prstGeom prst="rect">
          <a:avLst/>
        </a:prstGeom>
        <a:solidFill>
          <a:srgbClr val="4F81BD"/>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57150</xdr:rowOff>
    </xdr:from>
    <xdr:to>
      <xdr:col>19</xdr:col>
      <xdr:colOff>590550</xdr:colOff>
      <xdr:row>0</xdr:row>
      <xdr:rowOff>142875</xdr:rowOff>
    </xdr:to>
    <xdr:sp macro="" textlink="">
      <xdr:nvSpPr>
        <xdr:cNvPr id="2" name="Rectangle 1"/>
        <xdr:cNvSpPr/>
      </xdr:nvSpPr>
      <xdr:spPr>
        <a:xfrm>
          <a:off x="9801225" y="57150"/>
          <a:ext cx="300990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15</xdr:col>
      <xdr:colOff>9525</xdr:colOff>
      <xdr:row>0</xdr:row>
      <xdr:rowOff>57150</xdr:rowOff>
    </xdr:from>
    <xdr:to>
      <xdr:col>18</xdr:col>
      <xdr:colOff>523875</xdr:colOff>
      <xdr:row>0</xdr:row>
      <xdr:rowOff>142875</xdr:rowOff>
    </xdr:to>
    <xdr:sp macro="" textlink="">
      <xdr:nvSpPr>
        <xdr:cNvPr id="3" name="Rectangle 2"/>
        <xdr:cNvSpPr/>
      </xdr:nvSpPr>
      <xdr:spPr>
        <a:xfrm>
          <a:off x="9791700" y="57150"/>
          <a:ext cx="234315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1000125</xdr:colOff>
      <xdr:row>0</xdr:row>
      <xdr:rowOff>142875</xdr:rowOff>
    </xdr:to>
    <xdr:sp macro="" textlink="">
      <xdr:nvSpPr>
        <xdr:cNvPr id="2" name="Rectangle 1"/>
        <xdr:cNvSpPr/>
      </xdr:nvSpPr>
      <xdr:spPr>
        <a:xfrm>
          <a:off x="10782300" y="57150"/>
          <a:ext cx="3057525"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11</xdr:col>
      <xdr:colOff>9525</xdr:colOff>
      <xdr:row>0</xdr:row>
      <xdr:rowOff>57150</xdr:rowOff>
    </xdr:from>
    <xdr:to>
      <xdr:col>13</xdr:col>
      <xdr:colOff>447675</xdr:colOff>
      <xdr:row>0</xdr:row>
      <xdr:rowOff>142875</xdr:rowOff>
    </xdr:to>
    <xdr:sp macro="" textlink="">
      <xdr:nvSpPr>
        <xdr:cNvPr id="3" name="Rectangle 2"/>
        <xdr:cNvSpPr/>
      </xdr:nvSpPr>
      <xdr:spPr>
        <a:xfrm>
          <a:off x="10772775" y="57150"/>
          <a:ext cx="251460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15</xdr:col>
      <xdr:colOff>323850</xdr:colOff>
      <xdr:row>0</xdr:row>
      <xdr:rowOff>142875</xdr:rowOff>
    </xdr:to>
    <xdr:sp macro="" textlink="">
      <xdr:nvSpPr>
        <xdr:cNvPr id="2" name="Rectangle 1"/>
        <xdr:cNvSpPr/>
      </xdr:nvSpPr>
      <xdr:spPr>
        <a:xfrm>
          <a:off x="8801100" y="57150"/>
          <a:ext cx="306705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11</xdr:col>
      <xdr:colOff>9525</xdr:colOff>
      <xdr:row>0</xdr:row>
      <xdr:rowOff>57150</xdr:rowOff>
    </xdr:from>
    <xdr:to>
      <xdr:col>14</xdr:col>
      <xdr:colOff>561975</xdr:colOff>
      <xdr:row>0</xdr:row>
      <xdr:rowOff>142875</xdr:rowOff>
    </xdr:to>
    <xdr:sp macro="" textlink="">
      <xdr:nvSpPr>
        <xdr:cNvPr id="3" name="Rectangle 2"/>
        <xdr:cNvSpPr/>
      </xdr:nvSpPr>
      <xdr:spPr>
        <a:xfrm>
          <a:off x="8791575" y="57150"/>
          <a:ext cx="270510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14</xdr:col>
      <xdr:colOff>485775</xdr:colOff>
      <xdr:row>0</xdr:row>
      <xdr:rowOff>142875</xdr:rowOff>
    </xdr:to>
    <xdr:sp macro="" textlink="">
      <xdr:nvSpPr>
        <xdr:cNvPr id="2" name="Rectangle 1"/>
        <xdr:cNvSpPr/>
      </xdr:nvSpPr>
      <xdr:spPr>
        <a:xfrm>
          <a:off x="10439400" y="57150"/>
          <a:ext cx="3076575"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11</xdr:col>
      <xdr:colOff>9525</xdr:colOff>
      <xdr:row>0</xdr:row>
      <xdr:rowOff>57150</xdr:rowOff>
    </xdr:from>
    <xdr:to>
      <xdr:col>14</xdr:col>
      <xdr:colOff>295275</xdr:colOff>
      <xdr:row>0</xdr:row>
      <xdr:rowOff>142875</xdr:rowOff>
    </xdr:to>
    <xdr:sp macro="" textlink="">
      <xdr:nvSpPr>
        <xdr:cNvPr id="3" name="Rectangle 2"/>
        <xdr:cNvSpPr/>
      </xdr:nvSpPr>
      <xdr:spPr>
        <a:xfrm>
          <a:off x="10429875" y="57150"/>
          <a:ext cx="289560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0.55625</cdr:x>
      <cdr:y>0.09675</cdr:y>
    </cdr:from>
    <cdr:to>
      <cdr:x>0.79175</cdr:x>
      <cdr:y>0.36025</cdr:y>
    </cdr:to>
    <cdr:sp macro="" textlink="">
      <cdr:nvSpPr>
        <cdr:cNvPr id="2" name="TextBox 1"/>
        <cdr:cNvSpPr txBox="1"/>
      </cdr:nvSpPr>
      <cdr:spPr>
        <a:xfrm>
          <a:off x="5172075" y="581025"/>
          <a:ext cx="2190750" cy="1600200"/>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latin typeface="Arial" pitchFamily="34" charset="0"/>
              <a:cs typeface="Arial" pitchFamily="34" charset="0"/>
            </a:rPr>
            <a:t>Monetised</a:t>
          </a:r>
          <a:r>
            <a:rPr lang="en-GB" sz="1100" b="1" baseline="0">
              <a:latin typeface="Arial" pitchFamily="34" charset="0"/>
              <a:cs typeface="Arial" pitchFamily="34" charset="0"/>
            </a:rPr>
            <a:t> b</a:t>
          </a:r>
          <a:r>
            <a:rPr lang="en-GB" sz="1100" b="1">
              <a:latin typeface="Arial" pitchFamily="34" charset="0"/>
              <a:cs typeface="Arial" pitchFamily="34" charset="0"/>
            </a:rPr>
            <a:t>enefits only (excludes qualitative</a:t>
          </a:r>
          <a:r>
            <a:rPr lang="en-GB" sz="1100" b="1" baseline="0">
              <a:latin typeface="Arial" pitchFamily="34" charset="0"/>
              <a:cs typeface="Arial" pitchFamily="34" charset="0"/>
            </a:rPr>
            <a:t> benefits)</a:t>
          </a:r>
        </a:p>
        <a:p>
          <a:r>
            <a:rPr lang="en-GB" sz="1100" b="0">
              <a:solidFill>
                <a:srgbClr val="FF0000"/>
              </a:solidFill>
              <a:latin typeface="Arial" pitchFamily="34" charset="0"/>
              <a:cs typeface="Arial" pitchFamily="34" charset="0"/>
            </a:rPr>
            <a:t>Note:  all £ benefit values ignore the timing of benefits.  If benefits were to occur some time into the future they could be significantly smaller (in Present Value terms) than those presented here</a:t>
          </a:r>
        </a:p>
      </cdr:txBody>
    </cdr:sp>
  </cdr:relSizeAnchor>
  <cdr:relSizeAnchor xmlns:cdr="http://schemas.openxmlformats.org/drawingml/2006/chartDrawing">
    <cdr:from>
      <cdr:x>0.11825</cdr:x>
      <cdr:y>0.11675</cdr:y>
    </cdr:from>
    <cdr:to>
      <cdr:x>0.35375</cdr:x>
      <cdr:y>0.30925</cdr:y>
    </cdr:to>
    <cdr:sp macro="" textlink="">
      <cdr:nvSpPr>
        <cdr:cNvPr id="3" name="TextBox 1"/>
        <cdr:cNvSpPr txBox="1"/>
      </cdr:nvSpPr>
      <cdr:spPr>
        <a:xfrm>
          <a:off x="1095375" y="704850"/>
          <a:ext cx="2190750" cy="1171575"/>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solidFill>
                <a:srgbClr val="FF0000"/>
              </a:solidFill>
              <a:latin typeface="Arial" pitchFamily="34" charset="0"/>
              <a:cs typeface="Arial" pitchFamily="34" charset="0"/>
            </a:rPr>
            <a:t>These benefits are for one IDB only.  It is not appropriate to add benefits from IDBs as this is likely to significantly under-estimate cumulative benefits</a:t>
          </a:r>
          <a:endParaRPr lang="en-GB" sz="1100" b="1" baseline="0">
            <a:solidFill>
              <a:srgbClr val="FF0000"/>
            </a:solidFill>
            <a:latin typeface="Arial" pitchFamily="34" charset="0"/>
            <a:cs typeface="Arial" pitchFamily="34" charset="0"/>
          </a:endParaRP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57150</xdr:rowOff>
    </xdr:from>
    <xdr:to>
      <xdr:col>18</xdr:col>
      <xdr:colOff>38100</xdr:colOff>
      <xdr:row>0</xdr:row>
      <xdr:rowOff>142875</xdr:rowOff>
    </xdr:to>
    <xdr:sp macro="" textlink="">
      <xdr:nvSpPr>
        <xdr:cNvPr id="2" name="Rectangle 1"/>
        <xdr:cNvSpPr/>
      </xdr:nvSpPr>
      <xdr:spPr>
        <a:xfrm>
          <a:off x="8782050" y="57150"/>
          <a:ext cx="3067050" cy="85725"/>
        </a:xfrm>
        <a:prstGeom prst="rect">
          <a:avLst/>
        </a:prstGeom>
        <a:solidFill>
          <a:srgbClr val="EEECE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13</xdr:col>
      <xdr:colOff>9525</xdr:colOff>
      <xdr:row>0</xdr:row>
      <xdr:rowOff>57150</xdr:rowOff>
    </xdr:from>
    <xdr:to>
      <xdr:col>18</xdr:col>
      <xdr:colOff>28575</xdr:colOff>
      <xdr:row>0</xdr:row>
      <xdr:rowOff>142875</xdr:rowOff>
    </xdr:to>
    <xdr:sp macro="" textlink="">
      <xdr:nvSpPr>
        <xdr:cNvPr id="3" name="Rectangle 2"/>
        <xdr:cNvSpPr/>
      </xdr:nvSpPr>
      <xdr:spPr>
        <a:xfrm>
          <a:off x="8772525" y="57150"/>
          <a:ext cx="3067050" cy="85725"/>
        </a:xfrm>
        <a:prstGeom prst="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0.7465</cdr:x>
      <cdr:y>0.698</cdr:y>
    </cdr:from>
    <cdr:to>
      <cdr:x>0.982</cdr:x>
      <cdr:y>0.97475</cdr:y>
    </cdr:to>
    <cdr:sp macro="" textlink="">
      <cdr:nvSpPr>
        <cdr:cNvPr id="3" name="TextBox 1"/>
        <cdr:cNvSpPr txBox="1"/>
      </cdr:nvSpPr>
      <cdr:spPr>
        <a:xfrm>
          <a:off x="6943725" y="4238625"/>
          <a:ext cx="2190750" cy="16859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latin typeface="Arial" pitchFamily="34" charset="0"/>
              <a:cs typeface="Arial" pitchFamily="34" charset="0"/>
            </a:rPr>
            <a:t>Monetised</a:t>
          </a:r>
          <a:r>
            <a:rPr lang="en-GB" sz="1100" b="1" baseline="0">
              <a:latin typeface="Arial" pitchFamily="34" charset="0"/>
              <a:cs typeface="Arial" pitchFamily="34" charset="0"/>
            </a:rPr>
            <a:t> b</a:t>
          </a:r>
          <a:r>
            <a:rPr lang="en-GB" sz="1100" b="1">
              <a:latin typeface="Arial" pitchFamily="34" charset="0"/>
              <a:cs typeface="Arial" pitchFamily="34" charset="0"/>
            </a:rPr>
            <a:t>enefits only (excludes qualitative</a:t>
          </a:r>
          <a:r>
            <a:rPr lang="en-GB" sz="1100" b="1" baseline="0">
              <a:latin typeface="Arial" pitchFamily="34" charset="0"/>
              <a:cs typeface="Arial" pitchFamily="34" charset="0"/>
            </a:rPr>
            <a:t> benefits)</a:t>
          </a:r>
        </a:p>
        <a:p>
          <a:r>
            <a:rPr lang="en-GB" sz="1100" b="0">
              <a:solidFill>
                <a:srgbClr val="FF0000"/>
              </a:solidFill>
              <a:latin typeface="Arial" pitchFamily="34" charset="0"/>
              <a:cs typeface="Arial" pitchFamily="34" charset="0"/>
            </a:rPr>
            <a:t>Note:  benefit values ignore the timing of benefits.  If benefits were to occur some time into the future they could be significantly smaller (in Present Value terms) than those used to estimate the proportion of benefits by beneficiary</a:t>
          </a:r>
        </a:p>
      </cdr:txBody>
    </cdr:sp>
  </cdr:relSizeAnchor>
  <cdr:relSizeAnchor xmlns:cdr="http://schemas.openxmlformats.org/drawingml/2006/chartDrawing">
    <cdr:from>
      <cdr:x>0.0265</cdr:x>
      <cdr:y>0.1605</cdr:y>
    </cdr:from>
    <cdr:to>
      <cdr:x>0.22375</cdr:x>
      <cdr:y>0.35375</cdr:y>
    </cdr:to>
    <cdr:sp macro="" textlink="">
      <cdr:nvSpPr>
        <cdr:cNvPr id="7" name="TextBox 6"/>
        <cdr:cNvSpPr txBox="1"/>
      </cdr:nvSpPr>
      <cdr:spPr>
        <a:xfrm>
          <a:off x="238125" y="971550"/>
          <a:ext cx="1838325" cy="1171575"/>
        </a:xfrm>
        <a:prstGeom prst="rect">
          <a:avLst/>
        </a:prstGeom>
        <a:ln>
          <a:noFill/>
        </a:ln>
      </cdr:spPr>
      <cdr:txBody>
        <a:bodyPr vertOverflow="clip" wrap="square" rtlCol="0"/>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rgbClr val="FF0000"/>
              </a:solidFill>
              <a:effectLst/>
              <a:latin typeface="+mn-lt"/>
              <a:ea typeface="+mn-ea"/>
              <a:cs typeface="+mn-cs"/>
            </a:rPr>
            <a:t>These benefits are for one IDB only.  It is not appropriate to add benefits from IDBs as this is likely to significantly under-estimate cumulative benefits</a:t>
          </a:r>
          <a:endParaRPr lang="en-GB">
            <a:solidFill>
              <a:srgbClr val="FF0000"/>
            </a:solidFill>
            <a:effectLst/>
          </a:endParaRPr>
        </a:p>
        <a:p>
          <a:endParaRPr lang="en-GB" sz="1100"/>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0.14625</cdr:y>
    </cdr:from>
    <cdr:to>
      <cdr:x>0.23925</cdr:x>
      <cdr:y>0.48725</cdr:y>
    </cdr:to>
    <cdr:sp macro="" textlink="">
      <cdr:nvSpPr>
        <cdr:cNvPr id="2" name="TextBox 1"/>
        <cdr:cNvSpPr txBox="1"/>
      </cdr:nvSpPr>
      <cdr:spPr>
        <a:xfrm>
          <a:off x="28575" y="885825"/>
          <a:ext cx="2190750" cy="2076450"/>
        </a:xfrm>
        <a:prstGeom prst="rect">
          <a:avLst/>
        </a:prstGeom>
        <a:ln>
          <a:noFill/>
        </a:ln>
      </cdr:spPr>
      <cdr:txBody>
        <a:bodyPr vertOverflow="clip" wrap="square" rtlCol="0"/>
        <a:lstStyle/>
        <a:p>
          <a:r>
            <a:rPr lang="en-GB" sz="1100" b="1">
              <a:latin typeface="Arial" pitchFamily="34" charset="0"/>
              <a:cs typeface="Arial" pitchFamily="34" charset="0"/>
            </a:rPr>
            <a:t>Monetised</a:t>
          </a:r>
          <a:r>
            <a:rPr lang="en-GB" sz="1100" b="1" baseline="0">
              <a:latin typeface="Arial" pitchFamily="34" charset="0"/>
              <a:cs typeface="Arial" pitchFamily="34" charset="0"/>
            </a:rPr>
            <a:t> d</a:t>
          </a:r>
          <a:r>
            <a:rPr lang="en-GB" sz="1100" b="1">
              <a:latin typeface="Arial" pitchFamily="34" charset="0"/>
              <a:cs typeface="Arial" pitchFamily="34" charset="0"/>
            </a:rPr>
            <a:t>amages only (excludes qualitative damages)</a:t>
          </a:r>
        </a:p>
        <a:p>
          <a:pPr marL="0" marR="0" indent="0" defTabSz="914400" eaLnBrk="1" fontAlgn="auto" latinLnBrk="0" hangingPunct="1">
            <a:lnSpc>
              <a:spcPct val="100000"/>
            </a:lnSpc>
            <a:spcBef>
              <a:spcPts val="0"/>
            </a:spcBef>
            <a:spcAft>
              <a:spcPts val="0"/>
            </a:spcAft>
            <a:buClrTx/>
            <a:buSzTx/>
            <a:buFontTx/>
            <a:buNone/>
            <a:tabLst/>
            <a:defRPr/>
          </a:pPr>
          <a:r>
            <a:rPr lang="en-GB" sz="1100" b="0">
              <a:effectLst/>
              <a:latin typeface="+mn-lt"/>
              <a:ea typeface="+mn-ea"/>
              <a:cs typeface="+mn-cs"/>
            </a:rPr>
            <a:t>Note:  damage values ignore the timing of impacts.  If damages were to occur some time into the future they could be significantly smaller (in Present Value terms) than those used to estimate the proportion of damages by category</a:t>
          </a:r>
          <a:endParaRPr lang="en-GB">
            <a:effectLst/>
          </a:endParaRPr>
        </a:p>
        <a:p>
          <a:endParaRPr lang="en-GB" sz="1100" b="1">
            <a:latin typeface="Arial" pitchFamily="34" charset="0"/>
            <a:cs typeface="Arial" pitchFamily="34" charset="0"/>
          </a:endParaRPr>
        </a:p>
      </cdr:txBody>
    </cdr:sp>
  </cdr:relSizeAnchor>
  <cdr:relSizeAnchor xmlns:cdr="http://schemas.openxmlformats.org/drawingml/2006/chartDrawing">
    <cdr:from>
      <cdr:x>0.00975</cdr:x>
      <cdr:y>0.43975</cdr:y>
    </cdr:from>
    <cdr:to>
      <cdr:x>0.208</cdr:x>
      <cdr:y>0.6175</cdr:y>
    </cdr:to>
    <cdr:sp macro="" textlink="">
      <cdr:nvSpPr>
        <cdr:cNvPr id="4" name="TextBox 3"/>
        <cdr:cNvSpPr txBox="1"/>
      </cdr:nvSpPr>
      <cdr:spPr>
        <a:xfrm>
          <a:off x="85725" y="2667000"/>
          <a:ext cx="1847850" cy="1076325"/>
        </a:xfrm>
        <a:prstGeom prst="rect">
          <a:avLst/>
        </a:prstGeom>
        <a:ln>
          <a:noFill/>
        </a:ln>
      </cdr:spPr>
      <cdr:txBody>
        <a:bodyPr vertOverflow="clip" wrap="square" rtlCol="0"/>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rgbClr val="FF0000"/>
              </a:solidFill>
              <a:effectLst/>
              <a:latin typeface="+mn-lt"/>
              <a:ea typeface="+mn-ea"/>
              <a:cs typeface="+mn-cs"/>
            </a:rPr>
            <a:t>These damages are for one IDB only.  It is not appropriate to add damages from IDBs as this is likely to significantly under-estimate cumulative damages</a:t>
          </a:r>
          <a:endParaRPr lang="en-GB">
            <a:solidFill>
              <a:srgbClr val="FF0000"/>
            </a:solidFill>
            <a:effectLst/>
          </a:endParaRPr>
        </a:p>
        <a:p>
          <a:endParaRPr lang="en-GB" sz="1100"/>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0.64175</cdr:x>
      <cdr:y>0.09675</cdr:y>
    </cdr:from>
    <cdr:to>
      <cdr:x>0.87725</cdr:x>
      <cdr:y>0.36025</cdr:y>
    </cdr:to>
    <cdr:sp macro="" textlink="">
      <cdr:nvSpPr>
        <cdr:cNvPr id="2" name="TextBox 1"/>
        <cdr:cNvSpPr txBox="1"/>
      </cdr:nvSpPr>
      <cdr:spPr>
        <a:xfrm>
          <a:off x="5962650" y="581025"/>
          <a:ext cx="2190750" cy="1600200"/>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latin typeface="Arial" pitchFamily="34" charset="0"/>
              <a:cs typeface="Arial" pitchFamily="34" charset="0"/>
            </a:rPr>
            <a:t>Monetised</a:t>
          </a:r>
          <a:r>
            <a:rPr lang="en-GB" sz="1100" b="1" baseline="0">
              <a:latin typeface="Arial" pitchFamily="34" charset="0"/>
              <a:cs typeface="Arial" pitchFamily="34" charset="0"/>
            </a:rPr>
            <a:t> b</a:t>
          </a:r>
          <a:r>
            <a:rPr lang="en-GB" sz="1100" b="1">
              <a:latin typeface="Arial" pitchFamily="34" charset="0"/>
              <a:cs typeface="Arial" pitchFamily="34" charset="0"/>
            </a:rPr>
            <a:t>enefits only (excludes qualitative</a:t>
          </a:r>
          <a:r>
            <a:rPr lang="en-GB" sz="1100" b="1" baseline="0">
              <a:latin typeface="Arial" pitchFamily="34" charset="0"/>
              <a:cs typeface="Arial" pitchFamily="34" charset="0"/>
            </a:rPr>
            <a:t> benefits)</a:t>
          </a:r>
        </a:p>
        <a:p>
          <a:r>
            <a:rPr lang="en-GB" sz="1100" b="0">
              <a:solidFill>
                <a:srgbClr val="FF0000"/>
              </a:solidFill>
              <a:latin typeface="Arial" pitchFamily="34" charset="0"/>
              <a:cs typeface="Arial" pitchFamily="34" charset="0"/>
            </a:rPr>
            <a:t>Note:  all £ benefit values ignore the timing of benefits.  If benefits were to occur some time into the future they could be significantly smaller (in Present Value terms) than those presented here</a:t>
          </a:r>
        </a:p>
      </cdr:txBody>
    </cdr:sp>
  </cdr:relSizeAnchor>
  <cdr:relSizeAnchor xmlns:cdr="http://schemas.openxmlformats.org/drawingml/2006/chartDrawing">
    <cdr:from>
      <cdr:x>0.1055</cdr:x>
      <cdr:y>0.10475</cdr:y>
    </cdr:from>
    <cdr:to>
      <cdr:x>0.341</cdr:x>
      <cdr:y>0.29725</cdr:y>
    </cdr:to>
    <cdr:sp macro="" textlink="">
      <cdr:nvSpPr>
        <cdr:cNvPr id="3" name="TextBox 1"/>
        <cdr:cNvSpPr txBox="1"/>
      </cdr:nvSpPr>
      <cdr:spPr>
        <a:xfrm>
          <a:off x="981075" y="628650"/>
          <a:ext cx="2190750" cy="1171575"/>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solidFill>
                <a:srgbClr val="FF0000"/>
              </a:solidFill>
              <a:latin typeface="Arial" pitchFamily="34" charset="0"/>
              <a:cs typeface="Arial" pitchFamily="34" charset="0"/>
            </a:rPr>
            <a:t>These benefits are for one IDB only.  It is not appropriate to add benefits from IDBs as this is likely to significantly under-estimate cumulative benefits</a:t>
          </a:r>
          <a:endParaRPr lang="en-GB" sz="1100" b="1" baseline="0">
            <a:solidFill>
              <a:srgbClr val="FF0000"/>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2"/>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drawing" Target="../drawings/drawing25.xml" /></Relationships>
</file>

<file path=xl/worksheets/_rels/sheet24.xml.rels><?xml version="1.0" encoding="utf-8" standalone="yes"?><Relationships xmlns="http://schemas.openxmlformats.org/package/2006/relationships"><Relationship Id="rId1" Type="http://schemas.openxmlformats.org/officeDocument/2006/relationships/hyperlink" Target="http://www.decc.gov.uk/assets/decc/11/cutting-emissions/carbon-valuation/3136-guide-carbon-valuation-methodology.pdf" TargetMode="External" /><Relationship Id="rId2" Type="http://schemas.openxmlformats.org/officeDocument/2006/relationships/drawing" Target="../drawings/drawing26.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M51"/>
  <sheetViews>
    <sheetView tabSelected="1" zoomScale="85" zoomScaleNormal="85" workbookViewId="0" topLeftCell="A1"/>
  </sheetViews>
  <sheetFormatPr defaultColWidth="9.140625" defaultRowHeight="15"/>
  <cols>
    <col min="1" max="1" width="27.28125" style="213" customWidth="1"/>
    <col min="2" max="2" width="5.00390625" style="213" customWidth="1"/>
    <col min="3" max="16384" width="9.140625" style="213" customWidth="1"/>
  </cols>
  <sheetData>
    <row r="1" ht="15">
      <c r="A1" s="235" t="s">
        <v>258</v>
      </c>
    </row>
    <row r="3" s="237" customFormat="1" ht="15">
      <c r="A3" s="236" t="s">
        <v>435</v>
      </c>
    </row>
    <row r="4" ht="15">
      <c r="A4" s="213" t="s">
        <v>793</v>
      </c>
    </row>
    <row r="5" spans="1:13" ht="15">
      <c r="A5" s="274" t="s">
        <v>794</v>
      </c>
      <c r="B5" s="274"/>
      <c r="C5" s="274"/>
      <c r="D5" s="274"/>
      <c r="E5" s="274"/>
      <c r="F5" s="274"/>
      <c r="G5" s="274"/>
      <c r="H5" s="274"/>
      <c r="I5" s="274"/>
      <c r="J5" s="274"/>
      <c r="K5" s="274"/>
      <c r="L5" s="274"/>
      <c r="M5" s="274"/>
    </row>
    <row r="6" spans="1:13" ht="15">
      <c r="A6" s="274" t="s">
        <v>801</v>
      </c>
      <c r="B6" s="274"/>
      <c r="C6" s="274"/>
      <c r="D6" s="274"/>
      <c r="E6" s="274"/>
      <c r="F6" s="274"/>
      <c r="G6" s="274"/>
      <c r="H6" s="274"/>
      <c r="I6" s="274"/>
      <c r="J6" s="274"/>
      <c r="K6" s="274"/>
      <c r="L6" s="274"/>
      <c r="M6" s="274"/>
    </row>
    <row r="7" ht="15">
      <c r="A7" s="213" t="s">
        <v>422</v>
      </c>
    </row>
    <row r="9" ht="15">
      <c r="A9" s="235" t="s">
        <v>426</v>
      </c>
    </row>
    <row r="10" ht="15">
      <c r="A10" s="213" t="s">
        <v>425</v>
      </c>
    </row>
    <row r="11" ht="15">
      <c r="A11" s="213" t="s">
        <v>578</v>
      </c>
    </row>
    <row r="12" ht="15">
      <c r="A12" s="213" t="s">
        <v>576</v>
      </c>
    </row>
    <row r="13" ht="15">
      <c r="A13" s="213" t="s">
        <v>423</v>
      </c>
    </row>
    <row r="14" ht="15">
      <c r="A14" s="213" t="s">
        <v>424</v>
      </c>
    </row>
    <row r="16" ht="15">
      <c r="A16" s="235" t="s">
        <v>427</v>
      </c>
    </row>
    <row r="17" ht="15">
      <c r="A17" s="213" t="s">
        <v>428</v>
      </c>
    </row>
    <row r="18" ht="15">
      <c r="A18" s="213" t="s">
        <v>429</v>
      </c>
    </row>
    <row r="19" ht="15">
      <c r="A19" s="213" t="s">
        <v>430</v>
      </c>
    </row>
    <row r="21" ht="15">
      <c r="A21" s="235" t="s">
        <v>431</v>
      </c>
    </row>
    <row r="22" ht="15">
      <c r="A22" s="213" t="s">
        <v>982</v>
      </c>
    </row>
    <row r="23" ht="15">
      <c r="A23" s="213" t="s">
        <v>432</v>
      </c>
    </row>
    <row r="24" ht="15">
      <c r="A24" s="213" t="s">
        <v>433</v>
      </c>
    </row>
    <row r="25" ht="15">
      <c r="A25" s="213" t="s">
        <v>434</v>
      </c>
    </row>
    <row r="27" spans="1:4" s="237" customFormat="1" ht="15">
      <c r="A27" s="236" t="s">
        <v>436</v>
      </c>
      <c r="C27" s="492" t="s">
        <v>988</v>
      </c>
      <c r="D27" s="492"/>
    </row>
    <row r="28" ht="15">
      <c r="A28" s="213" t="s">
        <v>990</v>
      </c>
    </row>
    <row r="29" spans="1:3" ht="15">
      <c r="A29" s="238" t="s">
        <v>437</v>
      </c>
      <c r="C29" s="213" t="s">
        <v>575</v>
      </c>
    </row>
    <row r="30" spans="1:3" ht="15">
      <c r="A30" s="238" t="s">
        <v>438</v>
      </c>
      <c r="C30" s="213" t="s">
        <v>439</v>
      </c>
    </row>
    <row r="31" spans="1:3" ht="15">
      <c r="A31" s="238" t="s">
        <v>440</v>
      </c>
      <c r="C31" s="213" t="s">
        <v>441</v>
      </c>
    </row>
    <row r="32" spans="1:3" ht="15">
      <c r="A32" s="238" t="s">
        <v>442</v>
      </c>
      <c r="C32" s="213" t="s">
        <v>577</v>
      </c>
    </row>
    <row r="33" ht="15">
      <c r="C33" s="213" t="s">
        <v>444</v>
      </c>
    </row>
    <row r="34" spans="1:3" ht="15">
      <c r="A34" s="238" t="s">
        <v>443</v>
      </c>
      <c r="C34" s="213" t="s">
        <v>910</v>
      </c>
    </row>
    <row r="35" ht="15">
      <c r="C35" s="213" t="s">
        <v>445</v>
      </c>
    </row>
    <row r="36" ht="15">
      <c r="C36" s="213" t="s">
        <v>446</v>
      </c>
    </row>
    <row r="37" spans="1:3" ht="15">
      <c r="A37" s="238" t="s">
        <v>559</v>
      </c>
      <c r="C37" s="213" t="s">
        <v>911</v>
      </c>
    </row>
    <row r="39" s="236" customFormat="1" ht="15">
      <c r="A39" s="236" t="s">
        <v>447</v>
      </c>
    </row>
    <row r="40" ht="15">
      <c r="A40" s="213" t="s">
        <v>448</v>
      </c>
    </row>
    <row r="41" ht="15">
      <c r="A41" s="213" t="s">
        <v>449</v>
      </c>
    </row>
    <row r="45" ht="15">
      <c r="A45" s="235" t="s">
        <v>989</v>
      </c>
    </row>
    <row r="51" ht="15">
      <c r="G51" s="493"/>
    </row>
    <row r="54" ht="12.75" customHeight="1"/>
  </sheetData>
  <sheetProtection sheet="1" objects="1" scenarios="1"/>
  <hyperlinks>
    <hyperlink ref="A29" location="'Summary of area'!A1" display="Summary of area"/>
    <hyperlink ref="A30" location="'Describe and quantify assets'!A1" display="Describe and quantify assets"/>
    <hyperlink ref="A31" location="'Describe baseline'!A1" display="Describe baseline"/>
    <hyperlink ref="A32" location="'OUTPUT-all'!A1" display="OUTPUT"/>
    <hyperlink ref="A34" location="'Calculation Worksheets'!A1" display="Calculation worksheets"/>
    <hyperlink ref="A37" location="'Summary by significance'!A1" display="Summary Charts and Tables"/>
    <hyperlink ref="C27:D27" location="Instructions!A47" display="Go to FLOWCHART"/>
  </hyperlinks>
  <printOptions/>
  <pageMargins left="0.7" right="0.7" top="0.75" bottom="0.75" header="0.3" footer="0.3"/>
  <pageSetup fitToHeight="1" fitToWidth="1" horizontalDpi="600" verticalDpi="600" orientation="landscape" paperSize="9" scale="7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Q34"/>
  <sheetViews>
    <sheetView workbookViewId="0" topLeftCell="A1">
      <selection activeCell="N21" sqref="N21"/>
    </sheetView>
  </sheetViews>
  <sheetFormatPr defaultColWidth="9.140625" defaultRowHeight="15"/>
  <cols>
    <col min="1" max="1" width="11.140625" style="93" customWidth="1"/>
    <col min="2" max="2" width="17.7109375" style="93" customWidth="1"/>
    <col min="3" max="3" width="17.8515625" style="448" bestFit="1" customWidth="1"/>
    <col min="4" max="4" width="18.421875" style="448" bestFit="1" customWidth="1"/>
    <col min="5" max="5" width="17.57421875" style="448" bestFit="1" customWidth="1"/>
    <col min="6" max="6" width="18.140625" style="448" bestFit="1" customWidth="1"/>
    <col min="7" max="7" width="18.140625" style="448" customWidth="1"/>
    <col min="8" max="8" width="16.00390625" style="448" customWidth="1"/>
    <col min="9" max="9" width="16.00390625" style="463" customWidth="1"/>
    <col min="10" max="10" width="16.00390625" style="448" customWidth="1"/>
    <col min="11" max="11" width="13.7109375" style="93" customWidth="1"/>
    <col min="12" max="12" width="12.8515625" style="450" customWidth="1"/>
    <col min="13" max="13" width="16.8515625" style="450" customWidth="1"/>
    <col min="14" max="14" width="17.8515625" style="450" bestFit="1" customWidth="1"/>
    <col min="15" max="15" width="18.421875" style="450" bestFit="1" customWidth="1"/>
    <col min="16" max="16" width="17.57421875" style="450" bestFit="1" customWidth="1"/>
    <col min="17" max="17" width="18.140625" style="450" bestFit="1" customWidth="1"/>
    <col min="18" max="16384" width="9.140625" style="93" customWidth="1"/>
  </cols>
  <sheetData>
    <row r="1" spans="2:17" ht="30.75" customHeight="1">
      <c r="B1" s="697" t="s">
        <v>553</v>
      </c>
      <c r="C1" s="698"/>
      <c r="D1" s="698"/>
      <c r="E1" s="698"/>
      <c r="F1" s="698"/>
      <c r="G1" s="698"/>
      <c r="H1" s="590"/>
      <c r="I1" s="461"/>
      <c r="J1" s="419" t="s">
        <v>893</v>
      </c>
      <c r="M1" s="695"/>
      <c r="N1" s="696"/>
      <c r="O1" s="696"/>
      <c r="P1" s="696"/>
      <c r="Q1" s="696"/>
    </row>
    <row r="2" spans="2:17" ht="15">
      <c r="B2" s="253" t="s">
        <v>817</v>
      </c>
      <c r="C2" s="416" t="s">
        <v>246</v>
      </c>
      <c r="D2" s="416" t="s">
        <v>245</v>
      </c>
      <c r="E2" s="416" t="s">
        <v>552</v>
      </c>
      <c r="F2" s="416" t="s">
        <v>551</v>
      </c>
      <c r="G2" s="456" t="s">
        <v>891</v>
      </c>
      <c r="H2" s="418" t="s">
        <v>895</v>
      </c>
      <c r="I2" s="454"/>
      <c r="J2" s="458" t="s">
        <v>817</v>
      </c>
      <c r="K2" s="447" t="s">
        <v>892</v>
      </c>
      <c r="L2" s="447" t="s">
        <v>894</v>
      </c>
      <c r="M2" s="418" t="s">
        <v>552</v>
      </c>
      <c r="N2" s="418" t="s">
        <v>551</v>
      </c>
      <c r="O2" s="451"/>
      <c r="P2" s="451"/>
      <c r="Q2" s="451"/>
    </row>
    <row r="3" spans="1:17" ht="15">
      <c r="A3" s="449">
        <f aca="true" t="shared" si="0" ref="A3:A21">_xlfn.RANK.EQ(G3,$G$3:$G$21,0)</f>
        <v>1</v>
      </c>
      <c r="B3" s="252" t="s">
        <v>770</v>
      </c>
      <c r="C3" s="255">
        <f>ROUND(SUMIF(Carbon!$F$33,"&gt;0",Carbon!$F$33),3-LEN(INT(SUMIF(Carbon!$F$33,"&gt;0",Carbon!$F$33))))</f>
        <v>0</v>
      </c>
      <c r="D3" s="255">
        <f>ROUND(SUMIF(Carbon!$F$33,"&lt;0",Carbon!$F$33),3-LEN(INT(SUMIF(Carbon!$F$33,"&lt;0",Carbon!$F$33))))</f>
        <v>0</v>
      </c>
      <c r="E3" s="256">
        <f>IF(ISERROR(C3/$C$21),0,C3/$C$21)</f>
        <v>0</v>
      </c>
      <c r="F3" s="256">
        <f>IF(ISERROR(D3/$D$21),0,D3/$D$21)</f>
        <v>0</v>
      </c>
      <c r="G3" s="457">
        <f>C3*'Summary of area'!D31</f>
        <v>0</v>
      </c>
      <c r="H3" s="255">
        <f>D3*'Summary of area'!D31</f>
        <v>0</v>
      </c>
      <c r="I3" s="462"/>
      <c r="J3" s="459" t="s">
        <v>770</v>
      </c>
      <c r="K3" s="455">
        <f>C3-G3</f>
        <v>0</v>
      </c>
      <c r="L3" s="455">
        <f>D3-H3</f>
        <v>0</v>
      </c>
      <c r="M3" s="256">
        <f>IF(ISERROR(K3/$K$21),0,K3/$K$21)</f>
        <v>0</v>
      </c>
      <c r="N3" s="256">
        <f>IF(ISERROR(L3/$L$21),0,L3/$L$21)</f>
        <v>0</v>
      </c>
      <c r="O3" s="452"/>
      <c r="P3" s="453"/>
      <c r="Q3" s="453"/>
    </row>
    <row r="4" spans="1:17" ht="30">
      <c r="A4" s="449">
        <f t="shared" si="0"/>
        <v>1</v>
      </c>
      <c r="B4" s="252" t="s">
        <v>271</v>
      </c>
      <c r="C4" s="255">
        <f>ROUND(SUMIF('Water levels-Residential'!$H$64,"&gt;0",'Water levels-Residential'!H64),3-LEN(INT(SUMIF('Water levels-Residential'!H64,"&gt;0",'Water levels-Residential'!H64))))</f>
        <v>0</v>
      </c>
      <c r="D4" s="255">
        <f>ROUND(SUMIF('Water levels-Residential'!H64,"&lt;0",'Water levels-Residential'!H64),3-LEN(INT(SUMIF('Water levels-Residential'!H64,"&lt;0",'Water levels-Residential'!H64))))</f>
        <v>0</v>
      </c>
      <c r="E4" s="256">
        <f aca="true" t="shared" si="1" ref="E4:E20">IF(ISERROR(C4/$C$21),0,C4/$C$21)</f>
        <v>0</v>
      </c>
      <c r="F4" s="256">
        <f aca="true" t="shared" si="2" ref="F4:F20">IF(ISERROR(D4/$D$21),0,D4/$D$21)</f>
        <v>0</v>
      </c>
      <c r="G4" s="457">
        <f>C4*'Summary of area'!D32</f>
        <v>0</v>
      </c>
      <c r="H4" s="457">
        <f>D4*'Summary of area'!D32</f>
        <v>0</v>
      </c>
      <c r="I4" s="462"/>
      <c r="J4" s="459" t="s">
        <v>271</v>
      </c>
      <c r="K4" s="455">
        <f aca="true" t="shared" si="3" ref="K4:K21">C4-G4</f>
        <v>0</v>
      </c>
      <c r="L4" s="455">
        <f aca="true" t="shared" si="4" ref="L4:L21">D4-H4</f>
        <v>0</v>
      </c>
      <c r="M4" s="256">
        <f aca="true" t="shared" si="5" ref="M4:M21">IF(ISERROR(K4/$K$21),0,K4/$K$21)</f>
        <v>0</v>
      </c>
      <c r="N4" s="256">
        <f aca="true" t="shared" si="6" ref="N4:N21">IF(ISERROR(L4/$L$21),0,L4/$L$21)</f>
        <v>0</v>
      </c>
      <c r="O4" s="452"/>
      <c r="P4" s="453"/>
      <c r="Q4" s="453"/>
    </row>
    <row r="5" spans="1:17" ht="30">
      <c r="A5" s="449">
        <f t="shared" si="0"/>
        <v>1</v>
      </c>
      <c r="B5" s="252" t="s">
        <v>284</v>
      </c>
      <c r="C5" s="255">
        <f>ROUND(SUMIF('Water levels-Business'!H98,"&gt;0",'Water levels-Business'!H98),3-LEN(INT(SUMIF('Water levels-Business'!H98,"&gt;0",'Water levels-Business'!H98))))</f>
        <v>0</v>
      </c>
      <c r="D5" s="255">
        <f>ROUND(SUMIF('Water levels-Business'!H98,"&lt;0",'Water levels-Business'!H98),3-LEN(INT(SUMIF('Water levels-Business'!H98,"&lt;0",'Water levels-Business'!H98))))</f>
        <v>0</v>
      </c>
      <c r="E5" s="256">
        <f t="shared" si="1"/>
        <v>0</v>
      </c>
      <c r="F5" s="256">
        <f t="shared" si="2"/>
        <v>0</v>
      </c>
      <c r="G5" s="457">
        <f>C5*'Summary of area'!D33</f>
        <v>0</v>
      </c>
      <c r="H5" s="457">
        <f>D5*'Summary of area'!D33</f>
        <v>0</v>
      </c>
      <c r="I5" s="462"/>
      <c r="J5" s="459" t="s">
        <v>284</v>
      </c>
      <c r="K5" s="455">
        <f t="shared" si="3"/>
        <v>0</v>
      </c>
      <c r="L5" s="455">
        <f t="shared" si="4"/>
        <v>0</v>
      </c>
      <c r="M5" s="256">
        <f t="shared" si="5"/>
        <v>0</v>
      </c>
      <c r="N5" s="256">
        <f t="shared" si="6"/>
        <v>0</v>
      </c>
      <c r="O5" s="452"/>
      <c r="P5" s="453"/>
      <c r="Q5" s="453"/>
    </row>
    <row r="6" spans="1:17" ht="30">
      <c r="A6" s="449">
        <f t="shared" si="0"/>
        <v>1</v>
      </c>
      <c r="B6" s="252" t="s">
        <v>561</v>
      </c>
      <c r="C6" s="255">
        <f>ROUND(SUMIF('Water levels-Social Infra'!H180,"&gt;0",'Water levels-Social Infra'!H180),3-LEN(INT(SUMIF('Water levels-Social Infra'!H180,"&gt;0",'Water levels-Social Infra'!H180))))</f>
        <v>0</v>
      </c>
      <c r="D6" s="255">
        <f>ROUND(SUMIF('Water levels-Social Infra'!H180,"&lt;0",'Water levels-Social Infra'!H180),3-LEN(INT(SUMIF('Water levels-Social Infra'!H180,"&lt;0",'Water levels-Social Infra'!H180))))</f>
        <v>0</v>
      </c>
      <c r="E6" s="256">
        <f t="shared" si="1"/>
        <v>0</v>
      </c>
      <c r="F6" s="256">
        <f t="shared" si="2"/>
        <v>0</v>
      </c>
      <c r="G6" s="457">
        <f>C6*'Summary of area'!D34</f>
        <v>0</v>
      </c>
      <c r="H6" s="457">
        <f>D6*'Summary of area'!D34</f>
        <v>0</v>
      </c>
      <c r="I6" s="462"/>
      <c r="J6" s="459" t="s">
        <v>561</v>
      </c>
      <c r="K6" s="455">
        <f t="shared" si="3"/>
        <v>0</v>
      </c>
      <c r="L6" s="455">
        <f t="shared" si="4"/>
        <v>0</v>
      </c>
      <c r="M6" s="256">
        <f t="shared" si="5"/>
        <v>0</v>
      </c>
      <c r="N6" s="256">
        <f t="shared" si="6"/>
        <v>0</v>
      </c>
      <c r="O6" s="452"/>
      <c r="P6" s="453"/>
      <c r="Q6" s="453"/>
    </row>
    <row r="7" spans="1:17" ht="30">
      <c r="A7" s="449">
        <f t="shared" si="0"/>
        <v>1</v>
      </c>
      <c r="B7" s="252" t="s">
        <v>562</v>
      </c>
      <c r="C7" s="255">
        <f>ROUND(SUMIF('Water levels-Emergency'!H163,"&gt;0",'Water levels-Emergency'!H163),3-LEN(INT(SUMIF('Water levels-Emergency'!H163,"&gt;0",'Water levels-Emergency'!H163))))</f>
        <v>0</v>
      </c>
      <c r="D7" s="255">
        <f>ROUND(SUMIF('Water levels-Emergency'!H163,"&lt;0",'Water levels-Emergency'!H163),3-LEN(INT(SUMIF('Water levels-Emergency'!H163,"&lt;0",'Water levels-Emergency'!H163))))</f>
        <v>0</v>
      </c>
      <c r="E7" s="256">
        <f t="shared" si="1"/>
        <v>0</v>
      </c>
      <c r="F7" s="256">
        <f t="shared" si="2"/>
        <v>0</v>
      </c>
      <c r="G7" s="457">
        <f>C7*'Summary of area'!D35</f>
        <v>0</v>
      </c>
      <c r="H7" s="457">
        <f>D7*'Summary of area'!D35</f>
        <v>0</v>
      </c>
      <c r="I7" s="462"/>
      <c r="J7" s="459" t="s">
        <v>562</v>
      </c>
      <c r="K7" s="455">
        <f t="shared" si="3"/>
        <v>0</v>
      </c>
      <c r="L7" s="455">
        <f t="shared" si="4"/>
        <v>0</v>
      </c>
      <c r="M7" s="256">
        <f t="shared" si="5"/>
        <v>0</v>
      </c>
      <c r="N7" s="256">
        <f t="shared" si="6"/>
        <v>0</v>
      </c>
      <c r="O7" s="452"/>
      <c r="P7" s="453"/>
      <c r="Q7" s="453"/>
    </row>
    <row r="8" spans="1:17" ht="15">
      <c r="A8" s="449">
        <f t="shared" si="0"/>
        <v>1</v>
      </c>
      <c r="B8" s="252" t="s">
        <v>563</v>
      </c>
      <c r="C8" s="255">
        <f>ROUND(SUMIF('Water levels-Utilities'!H200,"&gt;0",'Water levels-Utilities'!H200),3-LEN(INT(SUMIF('Water levels-Utilities'!H200,"&gt;0",'Water levels-Utilities'!H200))))</f>
        <v>0</v>
      </c>
      <c r="D8" s="255">
        <f>ROUND(SUMIF('Water levels-Utilities'!H200,"&lt;0",'Water levels-Utilities'!H200),3-LEN(INT(SUMIF('Water levels-Utilities'!H200,"&lt;0",'Water levels-Utilities'!H200))))</f>
        <v>0</v>
      </c>
      <c r="E8" s="256">
        <f t="shared" si="1"/>
        <v>0</v>
      </c>
      <c r="F8" s="256">
        <f t="shared" si="2"/>
        <v>0</v>
      </c>
      <c r="G8" s="457">
        <f>C8*'Summary of area'!D36</f>
        <v>0</v>
      </c>
      <c r="H8" s="457">
        <f>D8*'Summary of area'!D36</f>
        <v>0</v>
      </c>
      <c r="I8" s="462"/>
      <c r="J8" s="459" t="s">
        <v>563</v>
      </c>
      <c r="K8" s="455">
        <f t="shared" si="3"/>
        <v>0</v>
      </c>
      <c r="L8" s="455">
        <f t="shared" si="4"/>
        <v>0</v>
      </c>
      <c r="M8" s="256">
        <f t="shared" si="5"/>
        <v>0</v>
      </c>
      <c r="N8" s="256">
        <f t="shared" si="6"/>
        <v>0</v>
      </c>
      <c r="O8" s="452"/>
      <c r="P8" s="453"/>
      <c r="Q8" s="453"/>
    </row>
    <row r="9" spans="1:17" ht="30">
      <c r="A9" s="449">
        <f t="shared" si="0"/>
        <v>1</v>
      </c>
      <c r="B9" s="252" t="s">
        <v>819</v>
      </c>
      <c r="C9" s="255">
        <f>ROUND(SUMIF('Water levels-Transport (road)'!H224,"&gt;0",'Water levels-Transport (road)'!H224),3-LEN(INT(SUMIF('Water levels-Transport (road)'!H224,"&gt;0",'Water levels-Transport (road)'!H224))))</f>
        <v>0</v>
      </c>
      <c r="D9" s="255">
        <f>ROUND(SUMIF('Water levels-Transport (road)'!H224,"&lt;0",'Water levels-Transport (road)'!H224),3-LEN(INT(SUMIF('Water levels-Transport (road)'!H224,"&lt;0",'Water levels-Transport (road)'!H224))))</f>
        <v>0</v>
      </c>
      <c r="E9" s="256">
        <f t="shared" si="1"/>
        <v>0</v>
      </c>
      <c r="F9" s="256">
        <f t="shared" si="2"/>
        <v>0</v>
      </c>
      <c r="G9" s="457">
        <f>C9*'Summary of area'!D37</f>
        <v>0</v>
      </c>
      <c r="H9" s="457">
        <f>D9*'Summary of area'!D37</f>
        <v>0</v>
      </c>
      <c r="I9" s="462"/>
      <c r="J9" s="459" t="s">
        <v>819</v>
      </c>
      <c r="K9" s="455">
        <f t="shared" si="3"/>
        <v>0</v>
      </c>
      <c r="L9" s="455">
        <f t="shared" si="4"/>
        <v>0</v>
      </c>
      <c r="M9" s="256">
        <f t="shared" si="5"/>
        <v>0</v>
      </c>
      <c r="N9" s="256">
        <f t="shared" si="6"/>
        <v>0</v>
      </c>
      <c r="O9" s="452"/>
      <c r="P9" s="453"/>
      <c r="Q9" s="453"/>
    </row>
    <row r="10" spans="1:17" ht="30">
      <c r="A10" s="449">
        <f t="shared" si="0"/>
        <v>1</v>
      </c>
      <c r="B10" s="252" t="s">
        <v>820</v>
      </c>
      <c r="C10" s="255">
        <f>ROUND(SUMIF('Water levels-Transport (road)'!$H$225,"&gt;0",'Water levels-Transport (road)'!$H$225),3-LEN(INT(SUMIF('Water levels-Transport (road)'!$H$225,"&gt;0",'Water levels-Transport (road)'!$H$225))))</f>
        <v>0</v>
      </c>
      <c r="D10" s="255">
        <f>ROUND(SUMIF('Water levels-Transport (road)'!$H$225,"&lt;0",'Water levels-Transport (road)'!$H$225),3-LEN(INT(SUMIF('Water levels-Transport (road)'!$H$225,"&lt;0",'Water levels-Transport (road)'!$H$225))))</f>
        <v>0</v>
      </c>
      <c r="E10" s="256">
        <f t="shared" si="1"/>
        <v>0</v>
      </c>
      <c r="F10" s="256">
        <f t="shared" si="2"/>
        <v>0</v>
      </c>
      <c r="G10" s="457">
        <f>C10*'Summary of area'!D37</f>
        <v>0</v>
      </c>
      <c r="H10" s="457">
        <f>D10*'Summary of area'!D37</f>
        <v>0</v>
      </c>
      <c r="I10" s="462"/>
      <c r="J10" s="459" t="s">
        <v>820</v>
      </c>
      <c r="K10" s="455">
        <f t="shared" si="3"/>
        <v>0</v>
      </c>
      <c r="L10" s="455">
        <f t="shared" si="4"/>
        <v>0</v>
      </c>
      <c r="M10" s="256">
        <f t="shared" si="5"/>
        <v>0</v>
      </c>
      <c r="N10" s="256">
        <f t="shared" si="6"/>
        <v>0</v>
      </c>
      <c r="O10" s="452"/>
      <c r="P10" s="453"/>
      <c r="Q10" s="453"/>
    </row>
    <row r="11" spans="1:17" ht="30">
      <c r="A11" s="449">
        <f t="shared" si="0"/>
        <v>1</v>
      </c>
      <c r="B11" s="252" t="s">
        <v>818</v>
      </c>
      <c r="C11" s="255">
        <f>ROUND(SUMIF('Water levels-Transport (rail)'!H173,"&gt;0",'Water levels-Transport (rail)'!$H$173),3-LEN(INT(SUMIF('Water levels-Transport (rail)'!$H$173,"&gt;0",'Water levels-Transport (rail)'!$H$173))))</f>
        <v>0</v>
      </c>
      <c r="D11" s="255">
        <f>ROUND(SUMIF('Water levels-Transport (rail)'!$H$173,"&lt;0",'Water levels-Transport (rail)'!$H$173),3-LEN(INT(SUMIF('Water levels-Transport (rail)'!$H$173,"&lt;0",'Water levels-Transport (rail)'!$H$173))))</f>
        <v>0</v>
      </c>
      <c r="E11" s="256">
        <f t="shared" si="1"/>
        <v>0</v>
      </c>
      <c r="F11" s="256">
        <f t="shared" si="2"/>
        <v>0</v>
      </c>
      <c r="G11" s="457">
        <f>C11*'Summary of area'!D38</f>
        <v>0</v>
      </c>
      <c r="H11" s="457">
        <f>D11*'Summary of area'!D38</f>
        <v>0</v>
      </c>
      <c r="I11" s="462"/>
      <c r="J11" s="459" t="s">
        <v>818</v>
      </c>
      <c r="K11" s="455">
        <f t="shared" si="3"/>
        <v>0</v>
      </c>
      <c r="L11" s="455">
        <f t="shared" si="4"/>
        <v>0</v>
      </c>
      <c r="M11" s="256">
        <f t="shared" si="5"/>
        <v>0</v>
      </c>
      <c r="N11" s="256">
        <f t="shared" si="6"/>
        <v>0</v>
      </c>
      <c r="O11" s="452"/>
      <c r="P11" s="453"/>
      <c r="Q11" s="453"/>
    </row>
    <row r="12" spans="1:17" ht="30">
      <c r="A12" s="449">
        <f t="shared" si="0"/>
        <v>1</v>
      </c>
      <c r="B12" s="252" t="s">
        <v>821</v>
      </c>
      <c r="C12" s="255">
        <f>ROUND(SUMIF('Water levels-Transport (rail)'!$H$175,"&gt;0",'Water levels-Transport (rail)'!$H$175),3-LEN(INT(SUMIF('Water levels-Transport (rail)'!$H$175,"&gt;0",'Water levels-Transport (rail)'!$H$175))))</f>
        <v>0</v>
      </c>
      <c r="D12" s="255">
        <f>ROUND(SUMIF('Water levels-Transport (rail)'!$H$175,"&lt;0",'Water levels-Transport (rail)'!$H$175),3-LEN(INT(SUMIF('Water levels-Transport (rail)'!$H$175,"&lt;0",'Water levels-Transport (rail)'!$H$175))))</f>
        <v>0</v>
      </c>
      <c r="E12" s="256">
        <f t="shared" si="1"/>
        <v>0</v>
      </c>
      <c r="F12" s="256">
        <f t="shared" si="2"/>
        <v>0</v>
      </c>
      <c r="G12" s="457">
        <f>C12*'Summary of area'!D38</f>
        <v>0</v>
      </c>
      <c r="H12" s="457">
        <f>D12*'Summary of area'!D38</f>
        <v>0</v>
      </c>
      <c r="I12" s="462"/>
      <c r="J12" s="459" t="s">
        <v>821</v>
      </c>
      <c r="K12" s="455">
        <f t="shared" si="3"/>
        <v>0</v>
      </c>
      <c r="L12" s="455">
        <f t="shared" si="4"/>
        <v>0</v>
      </c>
      <c r="M12" s="256">
        <f t="shared" si="5"/>
        <v>0</v>
      </c>
      <c r="N12" s="256">
        <f t="shared" si="6"/>
        <v>0</v>
      </c>
      <c r="O12" s="452"/>
      <c r="P12" s="453"/>
      <c r="Q12" s="453"/>
    </row>
    <row r="13" spans="1:17" ht="15">
      <c r="A13" s="449">
        <f t="shared" si="0"/>
        <v>1</v>
      </c>
      <c r="B13" s="252" t="s">
        <v>779</v>
      </c>
      <c r="C13" s="255">
        <f>ROUND(SUMIF('Food production'!$H$267,"&gt;0",'Food production'!$H$267),3-LEN(INT(SUMIF('Food production'!$H$267,"&gt;0",'Food production'!$H$267))))</f>
        <v>0</v>
      </c>
      <c r="D13" s="255">
        <f>ROUND(SUMIF('Food production'!$H$267,"&lt;0",'Food production'!$H$267),3-LEN(INT(SUMIF('Food production'!$H$267,"&lt;0",'Food production'!$H$267))))</f>
        <v>0</v>
      </c>
      <c r="E13" s="256">
        <f t="shared" si="1"/>
        <v>0</v>
      </c>
      <c r="F13" s="256">
        <f t="shared" si="2"/>
        <v>0</v>
      </c>
      <c r="G13" s="457">
        <f>C13*'Summary of area'!D39</f>
        <v>0</v>
      </c>
      <c r="H13" s="457">
        <f>D13*'Summary of area'!D39</f>
        <v>0</v>
      </c>
      <c r="I13" s="462"/>
      <c r="J13" s="459" t="s">
        <v>779</v>
      </c>
      <c r="K13" s="455">
        <f t="shared" si="3"/>
        <v>0</v>
      </c>
      <c r="L13" s="455">
        <f t="shared" si="4"/>
        <v>0</v>
      </c>
      <c r="M13" s="256">
        <f t="shared" si="5"/>
        <v>0</v>
      </c>
      <c r="N13" s="256">
        <f t="shared" si="6"/>
        <v>0</v>
      </c>
      <c r="O13" s="452"/>
      <c r="P13" s="453"/>
      <c r="Q13" s="453"/>
    </row>
    <row r="14" spans="1:17" ht="15">
      <c r="A14" s="449">
        <f t="shared" si="0"/>
        <v>1</v>
      </c>
      <c r="B14" s="252" t="s">
        <v>657</v>
      </c>
      <c r="C14" s="255">
        <f>ROUND(SUMIF('Energy (direct)'!$H$96,"&gt;0",'Energy (direct)'!$H$96),3-LEN(INT(SUMIF('Energy (direct)'!$H$96,"&gt;0",'Energy (direct)'!$H$96))))</f>
        <v>0</v>
      </c>
      <c r="D14" s="255">
        <f>ROUND(SUMIF('Energy (direct)'!$H$96,"&lt;0",'Energy (direct)'!$H$96),3-LEN(INT(SUMIF('Energy (direct)'!$H$96,"&lt;0",'Energy (direct)'!$H$96))))</f>
        <v>0</v>
      </c>
      <c r="E14" s="256">
        <f t="shared" si="1"/>
        <v>0</v>
      </c>
      <c r="F14" s="256">
        <f t="shared" si="2"/>
        <v>0</v>
      </c>
      <c r="G14" s="457">
        <f>C14*'Summary of area'!D40</f>
        <v>0</v>
      </c>
      <c r="H14" s="457">
        <f>D14*'Summary of area'!D40</f>
        <v>0</v>
      </c>
      <c r="I14" s="462"/>
      <c r="J14" s="459" t="s">
        <v>657</v>
      </c>
      <c r="K14" s="455">
        <f t="shared" si="3"/>
        <v>0</v>
      </c>
      <c r="L14" s="455">
        <f t="shared" si="4"/>
        <v>0</v>
      </c>
      <c r="M14" s="256">
        <f t="shared" si="5"/>
        <v>0</v>
      </c>
      <c r="N14" s="256">
        <f t="shared" si="6"/>
        <v>0</v>
      </c>
      <c r="O14" s="452"/>
      <c r="P14" s="453"/>
      <c r="Q14" s="453"/>
    </row>
    <row r="15" spans="1:17" ht="15">
      <c r="A15" s="449">
        <f t="shared" si="0"/>
        <v>1</v>
      </c>
      <c r="B15" s="252" t="s">
        <v>822</v>
      </c>
      <c r="C15" s="255">
        <f>ROUND(SUMIF('Energy (indirect)'!$K$169,"&gt;0",'Energy (indirect)'!$K$169),3-LEN(INT(SUMIF('Energy (indirect)'!$K$169,"&gt;0",'Energy (indirect)'!$K$169))))</f>
        <v>0</v>
      </c>
      <c r="D15" s="255">
        <f>ROUND(SUMIF('Energy (indirect)'!$K$169,"&lt;0",'Energy (indirect)'!$K$169),3-LEN(INT(SUMIF('Energy (indirect)'!$K$169,"&lt;0",'Energy (indirect)'!$K$169))))</f>
        <v>0</v>
      </c>
      <c r="E15" s="256">
        <f t="shared" si="1"/>
        <v>0</v>
      </c>
      <c r="F15" s="256">
        <f t="shared" si="2"/>
        <v>0</v>
      </c>
      <c r="G15" s="457">
        <f>C15*'Summary of area'!D41</f>
        <v>0</v>
      </c>
      <c r="H15" s="457">
        <f>D15*'Summary of area'!D41</f>
        <v>0</v>
      </c>
      <c r="I15" s="462"/>
      <c r="J15" s="459" t="s">
        <v>822</v>
      </c>
      <c r="K15" s="455">
        <f t="shared" si="3"/>
        <v>0</v>
      </c>
      <c r="L15" s="455">
        <f t="shared" si="4"/>
        <v>0</v>
      </c>
      <c r="M15" s="256">
        <f t="shared" si="5"/>
        <v>0</v>
      </c>
      <c r="N15" s="256">
        <f t="shared" si="6"/>
        <v>0</v>
      </c>
      <c r="O15" s="452"/>
      <c r="P15" s="453"/>
      <c r="Q15" s="453"/>
    </row>
    <row r="16" spans="1:17" ht="45">
      <c r="A16" s="449">
        <f t="shared" si="0"/>
        <v>1</v>
      </c>
      <c r="B16" s="252" t="s">
        <v>791</v>
      </c>
      <c r="C16" s="255">
        <f>ROUND(SUMIF('Designated biodiversity sites'!$H$134,"&gt;0",'Designated biodiversity sites'!$H$134),3-LEN(INT(SUMIF('Designated biodiversity sites'!$H$134,"&gt;0",'Designated biodiversity sites'!$H$134))))</f>
        <v>0</v>
      </c>
      <c r="D16" s="255">
        <f>ROUND(SUMIF('Designated biodiversity sites'!$H$134,"&lt;0",'Designated biodiversity sites'!$H$134),3-LEN(INT(SUMIF('Designated biodiversity sites'!$H$134,"&lt;0",'Designated biodiversity sites'!$H$134))))</f>
        <v>0</v>
      </c>
      <c r="E16" s="256">
        <f t="shared" si="1"/>
        <v>0</v>
      </c>
      <c r="F16" s="256">
        <f t="shared" si="2"/>
        <v>0</v>
      </c>
      <c r="G16" s="457">
        <f>C16*'Summary of area'!D42</f>
        <v>0</v>
      </c>
      <c r="H16" s="457">
        <f>D16*'Summary of area'!D42</f>
        <v>0</v>
      </c>
      <c r="I16" s="462"/>
      <c r="J16" s="459" t="s">
        <v>791</v>
      </c>
      <c r="K16" s="455">
        <f t="shared" si="3"/>
        <v>0</v>
      </c>
      <c r="L16" s="455">
        <f t="shared" si="4"/>
        <v>0</v>
      </c>
      <c r="M16" s="256">
        <f t="shared" si="5"/>
        <v>0</v>
      </c>
      <c r="N16" s="256">
        <f t="shared" si="6"/>
        <v>0</v>
      </c>
      <c r="O16" s="452"/>
      <c r="P16" s="453"/>
      <c r="Q16" s="453"/>
    </row>
    <row r="17" spans="1:17" ht="45">
      <c r="A17" s="449">
        <f t="shared" si="0"/>
        <v>1</v>
      </c>
      <c r="B17" s="252" t="s">
        <v>890</v>
      </c>
      <c r="C17" s="255">
        <f>ROUND(SUMIF('Biodiversity - non-designated'!$O$79,"&gt;0",'Biodiversity - non-designated'!$O$79),3-LEN(INT(SUMIF('Biodiversity - non-designated'!$O$79,"&gt;0",'Biodiversity - non-designated'!$O$79))))</f>
        <v>0</v>
      </c>
      <c r="D17" s="255">
        <f>ROUND(SUMIF('Biodiversity - non-designated'!$O$79,"&lt;0",'Biodiversity - non-designated'!$O$79),3-LEN(INT(SUMIF('Biodiversity - non-designated'!$O$79,"&lt;0",'Biodiversity - non-designated'!$O$79))))</f>
        <v>0</v>
      </c>
      <c r="E17" s="256">
        <f t="shared" si="1"/>
        <v>0</v>
      </c>
      <c r="F17" s="256">
        <f t="shared" si="2"/>
        <v>0</v>
      </c>
      <c r="G17" s="457">
        <f>C17*'Summary of area'!D43</f>
        <v>0</v>
      </c>
      <c r="H17" s="457">
        <f>D17*'Summary of area'!D43</f>
        <v>0</v>
      </c>
      <c r="I17" s="462"/>
      <c r="J17" s="459" t="s">
        <v>890</v>
      </c>
      <c r="K17" s="455">
        <f t="shared" si="3"/>
        <v>0</v>
      </c>
      <c r="L17" s="455">
        <f t="shared" si="4"/>
        <v>0</v>
      </c>
      <c r="M17" s="256">
        <f t="shared" si="5"/>
        <v>0</v>
      </c>
      <c r="N17" s="256">
        <f t="shared" si="6"/>
        <v>0</v>
      </c>
      <c r="O17" s="452"/>
      <c r="P17" s="453"/>
      <c r="Q17" s="453"/>
    </row>
    <row r="18" spans="1:17" ht="15">
      <c r="A18" s="449">
        <f t="shared" si="0"/>
        <v>1</v>
      </c>
      <c r="B18" s="252" t="s">
        <v>257</v>
      </c>
      <c r="C18" s="255">
        <f>ROUND(SUMIF('Water supply'!$K$155:K156,"&gt;0",'Water supply'!$K$155:K156),3-LEN(INT(SUMIF('Water supply'!$K$155:K156,"&gt;0",'Water supply'!$K$155:K156))))</f>
        <v>0</v>
      </c>
      <c r="D18" s="255">
        <f>ROUND(SUMIF('Water supply'!$K$155:$K$156,"&lt;0",'Water supply'!$K$155:$K$156),3-LEN(INT(SUMIF('Water supply'!$K$155:$K$156,"&lt;0",'Water supply'!$K$155:$K$156))))</f>
        <v>0</v>
      </c>
      <c r="E18" s="256">
        <f t="shared" si="1"/>
        <v>0</v>
      </c>
      <c r="F18" s="256">
        <f t="shared" si="2"/>
        <v>0</v>
      </c>
      <c r="G18" s="457">
        <f>C18*'Summary of area'!D44</f>
        <v>0</v>
      </c>
      <c r="H18" s="457">
        <f>D18*'Summary of area'!D44</f>
        <v>0</v>
      </c>
      <c r="I18" s="462"/>
      <c r="J18" s="459" t="s">
        <v>257</v>
      </c>
      <c r="K18" s="455">
        <f t="shared" si="3"/>
        <v>0</v>
      </c>
      <c r="L18" s="455">
        <f t="shared" si="4"/>
        <v>0</v>
      </c>
      <c r="M18" s="256">
        <f t="shared" si="5"/>
        <v>0</v>
      </c>
      <c r="N18" s="256">
        <f t="shared" si="6"/>
        <v>0</v>
      </c>
      <c r="O18" s="452"/>
      <c r="P18" s="453"/>
      <c r="Q18" s="453"/>
    </row>
    <row r="19" spans="1:17" ht="30">
      <c r="A19" s="449">
        <f t="shared" si="0"/>
        <v>1</v>
      </c>
      <c r="B19" s="252" t="s">
        <v>16</v>
      </c>
      <c r="C19" s="255">
        <f>ROUND(SUMIF('Recreation and tourism'!$K$120,"&gt;0",'Recreation and tourism'!$K$120),3-LEN(INT(SUMIF('Recreation and tourism'!$K$120,"&gt;0",'Recreation and tourism'!$K$120))))</f>
        <v>0</v>
      </c>
      <c r="D19" s="255">
        <f>ROUND(SUMIF('Recreation and tourism'!$K$120,"&lt;0",'Recreation and tourism'!$K$120),3-LEN(INT(SUMIF('Recreation and tourism'!$K$120,"&lt;0",'Recreation and tourism'!$K$120))))</f>
        <v>0</v>
      </c>
      <c r="E19" s="256">
        <f t="shared" si="1"/>
        <v>0</v>
      </c>
      <c r="F19" s="256">
        <f t="shared" si="2"/>
        <v>0</v>
      </c>
      <c r="G19" s="457">
        <f>C19*'Summary of area'!D45</f>
        <v>0</v>
      </c>
      <c r="H19" s="457">
        <f>D19*'Summary of area'!D45</f>
        <v>0</v>
      </c>
      <c r="I19" s="462"/>
      <c r="J19" s="459" t="s">
        <v>16</v>
      </c>
      <c r="K19" s="455">
        <f t="shared" si="3"/>
        <v>0</v>
      </c>
      <c r="L19" s="455">
        <f t="shared" si="4"/>
        <v>0</v>
      </c>
      <c r="M19" s="256">
        <f t="shared" si="5"/>
        <v>0</v>
      </c>
      <c r="N19" s="256">
        <f t="shared" si="6"/>
        <v>0</v>
      </c>
      <c r="O19" s="452"/>
      <c r="P19" s="453"/>
      <c r="Q19" s="453"/>
    </row>
    <row r="20" spans="1:17" ht="15">
      <c r="A20" s="449">
        <f t="shared" si="0"/>
        <v>1</v>
      </c>
      <c r="B20" s="252" t="s">
        <v>372</v>
      </c>
      <c r="C20" s="255">
        <f>ROUND(SUMIF(Heritage!$K$232,"&gt;0",Heritage!$K$232),3-LEN(INT(SUMIF(Heritage!$K$232,"&gt;0",Heritage!$K$232))))</f>
        <v>0</v>
      </c>
      <c r="D20" s="255">
        <f>ROUND(SUMIF(Heritage!$K$232,"&lt;0",Heritage!$K$232),3-LEN(INT(SUMIF(Heritage!$K$232,"&lt;0",Heritage!$K$232))))</f>
        <v>0</v>
      </c>
      <c r="E20" s="256">
        <f t="shared" si="1"/>
        <v>0</v>
      </c>
      <c r="F20" s="256">
        <f t="shared" si="2"/>
        <v>0</v>
      </c>
      <c r="G20" s="457">
        <f>C20*'Summary of area'!D46</f>
        <v>0</v>
      </c>
      <c r="H20" s="457">
        <f>D20*'Summary of area'!D46</f>
        <v>0</v>
      </c>
      <c r="I20" s="462"/>
      <c r="J20" s="459" t="s">
        <v>372</v>
      </c>
      <c r="K20" s="455">
        <f t="shared" si="3"/>
        <v>0</v>
      </c>
      <c r="L20" s="455">
        <f t="shared" si="4"/>
        <v>0</v>
      </c>
      <c r="M20" s="256">
        <f t="shared" si="5"/>
        <v>0</v>
      </c>
      <c r="N20" s="256">
        <f t="shared" si="6"/>
        <v>0</v>
      </c>
      <c r="O20" s="452"/>
      <c r="P20" s="453"/>
      <c r="Q20" s="453"/>
    </row>
    <row r="21" spans="1:17" ht="19.5" customHeight="1">
      <c r="A21" s="449">
        <f t="shared" si="0"/>
        <v>1</v>
      </c>
      <c r="B21" s="254" t="s">
        <v>554</v>
      </c>
      <c r="C21" s="255">
        <f aca="true" t="shared" si="7" ref="C21:H21">ROUND(SUM(C3:C20),3-LEN(INT(SUM(C3:C20))))</f>
        <v>0</v>
      </c>
      <c r="D21" s="255">
        <f t="shared" si="7"/>
        <v>0</v>
      </c>
      <c r="E21" s="256">
        <f t="shared" si="7"/>
        <v>0</v>
      </c>
      <c r="F21" s="256">
        <f t="shared" si="7"/>
        <v>0</v>
      </c>
      <c r="G21" s="457">
        <f t="shared" si="7"/>
        <v>0</v>
      </c>
      <c r="H21" s="457">
        <f t="shared" si="7"/>
        <v>0</v>
      </c>
      <c r="I21" s="462"/>
      <c r="J21" s="460" t="s">
        <v>554</v>
      </c>
      <c r="K21" s="455">
        <f t="shared" si="3"/>
        <v>0</v>
      </c>
      <c r="L21" s="455">
        <f t="shared" si="4"/>
        <v>0</v>
      </c>
      <c r="M21" s="256">
        <f t="shared" si="5"/>
        <v>0</v>
      </c>
      <c r="N21" s="256">
        <f t="shared" si="6"/>
        <v>0</v>
      </c>
      <c r="O21" s="452"/>
      <c r="P21" s="453"/>
      <c r="Q21" s="453"/>
    </row>
    <row r="22" spans="2:17" ht="45">
      <c r="B22" s="254" t="s">
        <v>627</v>
      </c>
      <c r="C22" s="255">
        <f>ROUND(C21-G21,3-LEN(INT(C21=G21)))</f>
        <v>0</v>
      </c>
      <c r="D22" s="255">
        <f>ROUND(SUM(D3:D20),3-LEN(INT(SUM(D3:D20))))</f>
        <v>0</v>
      </c>
      <c r="E22" s="256">
        <f>ROUND(SUM(E3:E19),3-LEN(INT(SUM(E3:E19))))</f>
        <v>0</v>
      </c>
      <c r="F22" s="256">
        <f>ROUND(SUM(F3:F19),3-LEN(INT(SUM(F3:F19))))</f>
        <v>0</v>
      </c>
      <c r="G22" s="457">
        <f>0</f>
        <v>0</v>
      </c>
      <c r="H22" s="457">
        <f>0</f>
        <v>0</v>
      </c>
      <c r="I22" s="462"/>
      <c r="J22" s="467" t="s">
        <v>896</v>
      </c>
      <c r="K22" s="468">
        <f>K21+L21</f>
        <v>0</v>
      </c>
      <c r="L22" s="469" t="s">
        <v>897</v>
      </c>
      <c r="M22" s="470"/>
      <c r="N22" s="471"/>
      <c r="O22" s="452"/>
      <c r="P22" s="453"/>
      <c r="Q22" s="453"/>
    </row>
    <row r="23" ht="15">
      <c r="B23" s="91" t="s">
        <v>633</v>
      </c>
    </row>
    <row r="24" spans="2:7" ht="15">
      <c r="B24" s="91"/>
      <c r="C24" s="416" t="s">
        <v>268</v>
      </c>
      <c r="D24" s="416" t="s">
        <v>235</v>
      </c>
      <c r="E24" s="416" t="s">
        <v>269</v>
      </c>
      <c r="F24" s="416" t="s">
        <v>242</v>
      </c>
      <c r="G24" s="464"/>
    </row>
    <row r="25" spans="2:7" ht="15">
      <c r="B25" s="251" t="s">
        <v>266</v>
      </c>
      <c r="C25" s="257">
        <f>COUNTIFS('OUTPUT-all'!$Y$5:$Y$113,$B25,'OUTPUT-all'!$X$5:$X$113,C$24)</f>
        <v>0</v>
      </c>
      <c r="D25" s="257">
        <f>COUNTIFS('OUTPUT-all'!$Y$5:$Y$113,$B25,'OUTPUT-all'!$X$5:$X$113,D$24)</f>
        <v>0</v>
      </c>
      <c r="E25" s="257">
        <f>COUNTIFS('OUTPUT-all'!$Y$5:$Y$113,$B25,'OUTPUT-all'!$X$5:$X$113,E$24)</f>
        <v>0</v>
      </c>
      <c r="F25" s="257">
        <f>SUM(C25:E25)</f>
        <v>0</v>
      </c>
      <c r="G25" s="465"/>
    </row>
    <row r="26" spans="2:7" ht="15">
      <c r="B26" s="251" t="s">
        <v>59</v>
      </c>
      <c r="C26" s="257">
        <f>COUNTIFS('OUTPUT-all'!$Y$5:$Y$113,$B26,'OUTPUT-all'!$X$5:$X$113,C$24)</f>
        <v>0</v>
      </c>
      <c r="D26" s="257">
        <f>COUNTIFS('OUTPUT-all'!$Y$5:$Y$113,$B26,'OUTPUT-all'!$X$5:$X$113,D$24)</f>
        <v>0</v>
      </c>
      <c r="E26" s="257">
        <f>COUNTIFS('OUTPUT-all'!$Y$5:$Y$113,$B26,'OUTPUT-all'!$X$5:$X$113,E$24)</f>
        <v>0</v>
      </c>
      <c r="F26" s="257">
        <f aca="true" t="shared" si="8" ref="F26:F28">SUM(C26:E26)</f>
        <v>0</v>
      </c>
      <c r="G26" s="465"/>
    </row>
    <row r="27" spans="2:7" ht="15">
      <c r="B27" s="251" t="s">
        <v>267</v>
      </c>
      <c r="C27" s="257">
        <f>COUNTIFS('OUTPUT-all'!$Y$5:$Y$113,$B27,'OUTPUT-all'!$X$5:$X$113,C$24)</f>
        <v>0</v>
      </c>
      <c r="D27" s="257">
        <f>COUNTIFS('OUTPUT-all'!$Y$5:$Y$113,$B27,'OUTPUT-all'!$X$5:$X$113,D$24)</f>
        <v>0</v>
      </c>
      <c r="E27" s="257">
        <f>COUNTIFS('OUTPUT-all'!$Y$5:$Y$113,$B27,'OUTPUT-all'!$X$5:$X$113,E$24)</f>
        <v>0</v>
      </c>
      <c r="F27" s="257">
        <f t="shared" si="8"/>
        <v>0</v>
      </c>
      <c r="G27" s="465"/>
    </row>
    <row r="28" spans="2:7" ht="15">
      <c r="B28" s="251" t="s">
        <v>218</v>
      </c>
      <c r="C28" s="257">
        <f>COUNTIFS('OUTPUT-all'!$Y$5:$Y$113,$B28,'OUTPUT-all'!$X$5:$X$113,C$24)</f>
        <v>0</v>
      </c>
      <c r="D28" s="257">
        <f>COUNTIFS('OUTPUT-all'!$Y$5:$Y$113,$B28,'OUTPUT-all'!$X$5:$X$113,D$24)</f>
        <v>0</v>
      </c>
      <c r="E28" s="257">
        <f>COUNTIFS('OUTPUT-all'!$Y$5:$Y$113,$B28,'OUTPUT-all'!$X$5:$X$113,E$24)</f>
        <v>0</v>
      </c>
      <c r="F28" s="257">
        <f t="shared" si="8"/>
        <v>0</v>
      </c>
      <c r="G28" s="465"/>
    </row>
    <row r="29" spans="2:7" ht="15">
      <c r="B29" s="253" t="s">
        <v>634</v>
      </c>
      <c r="C29" s="257">
        <f>SUM(C25:C28)</f>
        <v>0</v>
      </c>
      <c r="D29" s="257">
        <f aca="true" t="shared" si="9" ref="D29:E29">SUM(D25:D28)</f>
        <v>0</v>
      </c>
      <c r="E29" s="257">
        <f t="shared" si="9"/>
        <v>0</v>
      </c>
      <c r="F29" s="257">
        <f>SUM(F25:F28)</f>
        <v>0</v>
      </c>
      <c r="G29" s="465"/>
    </row>
    <row r="30" spans="6:7" ht="15">
      <c r="F30" s="295"/>
      <c r="G30" s="466"/>
    </row>
    <row r="31" ht="15">
      <c r="B31" s="344" t="s">
        <v>783</v>
      </c>
    </row>
    <row r="32" ht="15">
      <c r="B32" s="344" t="s">
        <v>784</v>
      </c>
    </row>
    <row r="34" spans="2:5" ht="45.75" customHeight="1">
      <c r="B34" s="645" t="str">
        <f>"Benefits for "&amp;'Summary of area'!C3&amp;" only.  It is not appropriate to add benefits from IDBs as this is likely to significantly under-estimate cumulative benefits"</f>
        <v>Benefits for  only.  It is not appropriate to add benefits from IDBs as this is likely to significantly under-estimate cumulative benefits</v>
      </c>
      <c r="C34" s="646"/>
      <c r="D34" s="646"/>
      <c r="E34" s="646"/>
    </row>
  </sheetData>
  <sheetProtection sheet="1" objects="1" scenarios="1"/>
  <mergeCells count="3">
    <mergeCell ref="M1:Q1"/>
    <mergeCell ref="B34:E34"/>
    <mergeCell ref="B1:H1"/>
  </mergeCells>
  <conditionalFormatting sqref="B21:B22 B3:B18">
    <cfRule type="cellIs" priority="9" dxfId="0" operator="equal">
      <formula>"Y"</formula>
    </cfRule>
  </conditionalFormatting>
  <conditionalFormatting sqref="B19:B20">
    <cfRule type="cellIs" priority="8" dxfId="0" operator="equal">
      <formula>"Y"</formula>
    </cfRule>
  </conditionalFormatting>
  <conditionalFormatting sqref="B34">
    <cfRule type="cellIs" priority="6" dxfId="2" operator="lessThan">
      <formula>-0.1</formula>
    </cfRule>
    <cfRule type="cellIs" priority="7" dxfId="8" operator="greaterThan">
      <formula>0.1</formula>
    </cfRule>
  </conditionalFormatting>
  <conditionalFormatting sqref="B34">
    <cfRule type="cellIs" priority="5" dxfId="7" operator="greaterThan">
      <formula>1000000000</formula>
    </cfRule>
  </conditionalFormatting>
  <conditionalFormatting sqref="M22">
    <cfRule type="cellIs" priority="4" dxfId="0" operator="equal">
      <formula>"Y"</formula>
    </cfRule>
  </conditionalFormatting>
  <conditionalFormatting sqref="J21 J3:J18">
    <cfRule type="cellIs" priority="2" dxfId="0" operator="equal">
      <formula>"Y"</formula>
    </cfRule>
  </conditionalFormatting>
  <conditionalFormatting sqref="J19:J20">
    <cfRule type="cellIs" priority="1" dxfId="0" operator="equal">
      <formula>"Y"</formula>
    </cfRule>
  </conditionalFormatting>
  <printOptions/>
  <pageMargins left="0.7" right="0.7" top="0.75" bottom="0.75" header="0.3" footer="0.3"/>
  <pageSetup fitToHeight="1" fitToWidth="1" horizontalDpi="600" verticalDpi="600" orientation="portrait" paperSize="9" scale="9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H31"/>
  <sheetViews>
    <sheetView workbookViewId="0" topLeftCell="A1"/>
  </sheetViews>
  <sheetFormatPr defaultColWidth="9.140625" defaultRowHeight="15"/>
  <cols>
    <col min="1" max="1" width="26.8515625" style="213" customWidth="1"/>
    <col min="2" max="2" width="53.00390625" style="213" customWidth="1"/>
    <col min="3" max="16384" width="9.140625" style="213" customWidth="1"/>
  </cols>
  <sheetData>
    <row r="1" ht="15">
      <c r="A1" s="235" t="s">
        <v>584</v>
      </c>
    </row>
    <row r="3" spans="1:3" ht="15">
      <c r="A3" s="213" t="s">
        <v>585</v>
      </c>
      <c r="C3" s="213" t="s">
        <v>993</v>
      </c>
    </row>
    <row r="5" spans="1:3" s="163" customFormat="1" ht="15">
      <c r="A5" s="163" t="s">
        <v>560</v>
      </c>
      <c r="B5" s="273" t="s">
        <v>271</v>
      </c>
      <c r="C5" s="163" t="s">
        <v>994</v>
      </c>
    </row>
    <row r="6" spans="2:3" s="163" customFormat="1" ht="15">
      <c r="B6" s="273" t="s">
        <v>284</v>
      </c>
      <c r="C6" s="163" t="s">
        <v>994</v>
      </c>
    </row>
    <row r="7" spans="2:3" s="163" customFormat="1" ht="15">
      <c r="B7" s="273" t="s">
        <v>561</v>
      </c>
      <c r="C7" s="163" t="s">
        <v>994</v>
      </c>
    </row>
    <row r="8" spans="2:3" s="163" customFormat="1" ht="15">
      <c r="B8" s="273" t="s">
        <v>562</v>
      </c>
      <c r="C8" s="163" t="s">
        <v>994</v>
      </c>
    </row>
    <row r="9" spans="2:3" s="163" customFormat="1" ht="15">
      <c r="B9" s="273" t="s">
        <v>563</v>
      </c>
      <c r="C9" s="163" t="s">
        <v>994</v>
      </c>
    </row>
    <row r="10" spans="2:3" s="163" customFormat="1" ht="15">
      <c r="B10" s="273" t="s">
        <v>347</v>
      </c>
      <c r="C10" s="163" t="s">
        <v>995</v>
      </c>
    </row>
    <row r="11" spans="2:3" s="163" customFormat="1" ht="15">
      <c r="B11" s="273" t="s">
        <v>655</v>
      </c>
      <c r="C11" s="163" t="s">
        <v>995</v>
      </c>
    </row>
    <row r="12" spans="1:3" s="163" customFormat="1" ht="15">
      <c r="A12" s="273" t="s">
        <v>573</v>
      </c>
      <c r="B12" s="273" t="s">
        <v>983</v>
      </c>
      <c r="C12" s="163" t="s">
        <v>996</v>
      </c>
    </row>
    <row r="13" spans="1:3" s="161" customFormat="1" ht="15">
      <c r="A13" s="159" t="s">
        <v>674</v>
      </c>
      <c r="B13" s="159" t="s">
        <v>677</v>
      </c>
      <c r="C13" s="161" t="s">
        <v>998</v>
      </c>
    </row>
    <row r="14" spans="1:3" s="161" customFormat="1" ht="15">
      <c r="A14" s="159" t="s">
        <v>675</v>
      </c>
      <c r="B14" s="159" t="s">
        <v>676</v>
      </c>
      <c r="C14" s="161" t="s">
        <v>996</v>
      </c>
    </row>
    <row r="15" spans="1:3" s="163" customFormat="1" ht="15">
      <c r="A15" s="273" t="s">
        <v>791</v>
      </c>
      <c r="B15" s="273" t="s">
        <v>792</v>
      </c>
      <c r="C15" s="163" t="s">
        <v>996</v>
      </c>
    </row>
    <row r="16" spans="1:3" s="163" customFormat="1" ht="15">
      <c r="A16" s="273" t="s">
        <v>900</v>
      </c>
      <c r="B16" s="273" t="s">
        <v>901</v>
      </c>
      <c r="C16" s="163" t="s">
        <v>996</v>
      </c>
    </row>
    <row r="17" spans="1:3" s="163" customFormat="1" ht="15">
      <c r="A17" s="273" t="s">
        <v>565</v>
      </c>
      <c r="B17" s="273" t="s">
        <v>564</v>
      </c>
      <c r="C17" s="163" t="s">
        <v>996</v>
      </c>
    </row>
    <row r="18" spans="1:3" s="161" customFormat="1" ht="15">
      <c r="A18" s="159" t="s">
        <v>566</v>
      </c>
      <c r="B18" s="159" t="s">
        <v>567</v>
      </c>
      <c r="C18" s="161" t="s">
        <v>994</v>
      </c>
    </row>
    <row r="19" spans="1:3" s="161" customFormat="1" ht="15">
      <c r="A19" s="159" t="s">
        <v>568</v>
      </c>
      <c r="B19" s="159" t="s">
        <v>569</v>
      </c>
      <c r="C19" s="161" t="s">
        <v>994</v>
      </c>
    </row>
    <row r="20" spans="1:3" s="161" customFormat="1" ht="15">
      <c r="A20" s="159" t="s">
        <v>372</v>
      </c>
      <c r="B20" s="159" t="s">
        <v>570</v>
      </c>
      <c r="C20" s="161" t="s">
        <v>994</v>
      </c>
    </row>
    <row r="21" spans="1:3" s="161" customFormat="1" ht="15">
      <c r="A21" s="159" t="s">
        <v>571</v>
      </c>
      <c r="B21" s="159" t="s">
        <v>572</v>
      </c>
      <c r="C21" s="161" t="s">
        <v>997</v>
      </c>
    </row>
    <row r="26" spans="1:8" ht="30" customHeight="1">
      <c r="A26" s="699"/>
      <c r="B26" s="592"/>
      <c r="C26" s="592"/>
      <c r="D26" s="592"/>
      <c r="E26" s="592"/>
      <c r="F26" s="592"/>
      <c r="G26" s="592"/>
      <c r="H26" s="592"/>
    </row>
    <row r="28" spans="1:8" ht="32.25" customHeight="1">
      <c r="A28" s="699"/>
      <c r="B28" s="592"/>
      <c r="C28" s="592"/>
      <c r="D28" s="592"/>
      <c r="E28" s="592"/>
      <c r="F28" s="592"/>
      <c r="G28" s="592"/>
      <c r="H28" s="592"/>
    </row>
    <row r="30" ht="15">
      <c r="A30" s="274"/>
    </row>
    <row r="31" ht="15">
      <c r="A31" s="274"/>
    </row>
  </sheetData>
  <sheetProtection sheet="1" objects="1" scenarios="1"/>
  <mergeCells count="2">
    <mergeCell ref="A26:H26"/>
    <mergeCell ref="A28:H28"/>
  </mergeCells>
  <hyperlinks>
    <hyperlink ref="A17:B17" location="Carbon!A1" display="Carbon:"/>
    <hyperlink ref="B5" location="'Water levels-Residential'!A1" display="Residential properties"/>
    <hyperlink ref="B6" location="'Water levels-Business'!A1" display="Business properties"/>
    <hyperlink ref="B7" location="'Water levels-Social Infra'!A1" display="Social infrastructure"/>
    <hyperlink ref="B8" location="'Water levels-Emergency'!A1" display="Emergency services"/>
    <hyperlink ref="B9" location="'Water levels-Utilities'!A1" display="Utilities"/>
    <hyperlink ref="B10" location="'Water levels-Transport (road)'!A1" display="Transport (road)"/>
    <hyperlink ref="A12:B12" location="'Food production'!A1" display="Food production:"/>
    <hyperlink ref="A13:B13" location="Energy!A1" display="Energy:"/>
    <hyperlink ref="A15:B15" location="Biodiversity!A1" display="Biodiversity"/>
    <hyperlink ref="A18:B18" location="'Water supply'!A1" display="Water supply:"/>
    <hyperlink ref="A19:B19" location="'Recreation and tourism'!A1" display="Recreation and tourism:"/>
    <hyperlink ref="A20:B20" location="Heritage!A1" display="Heritage"/>
    <hyperlink ref="A21:B21" location="Jobs!A1" display="Jobs"/>
    <hyperlink ref="A13" location="'Energy (direct)'!A1" display="Energy (direct):"/>
    <hyperlink ref="A14" location="'Energy (indirect)'!A1" display="Energy (indirect):"/>
    <hyperlink ref="B13" location="'Energy (direct)'!A1" display="Power stations and power lines"/>
    <hyperlink ref="B14" location="'Energy (indirect)'!A1" display="Consumer energy use"/>
    <hyperlink ref="B11" location="'Water levels-Transport (rail)'!A1" display="Transport (rail)"/>
    <hyperlink ref="A15" location="'Designated biodiversity sites'!A1" display="Designated biodiversity sites"/>
    <hyperlink ref="B15" location="'Designated biodiversity sites'!A1" display="International, national, and local designations"/>
    <hyperlink ref="A16" location="'Biodiversity - non-designated'!A1" display="Other biodiversity sites"/>
    <hyperlink ref="B16" location="'Biodiversity - non-designated'!A1" display="Non-designated biodiversity and watercourses"/>
  </hyperlinks>
  <printOptions/>
  <pageMargins left="0.7" right="0.7" top="0.75" bottom="0.75" header="0.3" footer="0.3"/>
  <pageSetup fitToHeight="1" fitToWidth="1" horizontalDpi="600" verticalDpi="600" orientation="landscape" paperSize="9" scale="8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64"/>
  <sheetViews>
    <sheetView zoomScale="70" zoomScaleNormal="70" workbookViewId="0" topLeftCell="A1"/>
  </sheetViews>
  <sheetFormatPr defaultColWidth="9.140625" defaultRowHeight="15"/>
  <cols>
    <col min="1" max="1" width="9.140625" style="163" customWidth="1"/>
    <col min="2" max="2" width="9.8515625" style="163" customWidth="1"/>
    <col min="3" max="3" width="9.140625" style="163" customWidth="1"/>
    <col min="4" max="13" width="12.28125" style="163" customWidth="1"/>
    <col min="14" max="16384" width="9.140625" style="163" customWidth="1"/>
  </cols>
  <sheetData>
    <row r="1" spans="1:20" ht="15">
      <c r="A1" s="164" t="s">
        <v>270</v>
      </c>
      <c r="B1" s="165"/>
      <c r="C1" s="165"/>
      <c r="D1" s="162"/>
      <c r="E1" s="165"/>
      <c r="F1" s="166" t="s">
        <v>260</v>
      </c>
      <c r="I1" s="704" t="s">
        <v>271</v>
      </c>
      <c r="J1" s="704"/>
      <c r="K1" s="705"/>
      <c r="L1" s="472"/>
      <c r="M1" s="176" t="s">
        <v>992</v>
      </c>
      <c r="N1" s="176">
        <v>1</v>
      </c>
      <c r="O1" s="176" t="s">
        <v>991</v>
      </c>
      <c r="P1" s="707"/>
      <c r="Q1" s="590"/>
      <c r="R1" s="590"/>
      <c r="S1" s="590"/>
      <c r="T1" s="590"/>
    </row>
    <row r="2" spans="5:6" ht="15">
      <c r="E2" s="163" t="s">
        <v>262</v>
      </c>
      <c r="F2" s="163" t="s">
        <v>481</v>
      </c>
    </row>
    <row r="3" spans="3:13" ht="15">
      <c r="C3" s="171" t="s">
        <v>271</v>
      </c>
      <c r="D3" s="169">
        <v>1</v>
      </c>
      <c r="E3" s="169">
        <v>0.5</v>
      </c>
      <c r="F3" s="169">
        <v>0.2</v>
      </c>
      <c r="G3" s="169">
        <v>0.1</v>
      </c>
      <c r="H3" s="169">
        <v>0.04</v>
      </c>
      <c r="I3" s="169">
        <v>0.02</v>
      </c>
      <c r="J3" s="407">
        <v>0.0133</v>
      </c>
      <c r="K3" s="169">
        <v>0.01</v>
      </c>
      <c r="L3" s="170">
        <v>0.005</v>
      </c>
      <c r="M3" s="170">
        <v>0.001</v>
      </c>
    </row>
    <row r="4" spans="3:15" ht="15">
      <c r="C4" s="169">
        <v>1</v>
      </c>
      <c r="D4" s="550"/>
      <c r="E4" s="550"/>
      <c r="F4" s="550"/>
      <c r="G4" s="550"/>
      <c r="H4" s="550"/>
      <c r="I4" s="550"/>
      <c r="J4" s="550"/>
      <c r="K4" s="550"/>
      <c r="L4" s="550"/>
      <c r="M4" s="550"/>
      <c r="O4" s="163" t="s">
        <v>504</v>
      </c>
    </row>
    <row r="5" spans="2:15" ht="15">
      <c r="B5" s="591" t="s">
        <v>294</v>
      </c>
      <c r="C5" s="169">
        <v>0.5</v>
      </c>
      <c r="D5" s="550"/>
      <c r="E5" s="550"/>
      <c r="F5" s="550"/>
      <c r="G5" s="550"/>
      <c r="H5" s="550"/>
      <c r="I5" s="550"/>
      <c r="J5" s="550"/>
      <c r="K5" s="550"/>
      <c r="L5" s="550"/>
      <c r="M5" s="550"/>
      <c r="O5" s="163" t="s">
        <v>602</v>
      </c>
    </row>
    <row r="6" spans="2:15" ht="15">
      <c r="B6" s="592"/>
      <c r="C6" s="169">
        <v>0.2</v>
      </c>
      <c r="D6" s="550"/>
      <c r="E6" s="550"/>
      <c r="F6" s="550"/>
      <c r="G6" s="550"/>
      <c r="H6" s="550"/>
      <c r="I6" s="550"/>
      <c r="J6" s="550"/>
      <c r="K6" s="550"/>
      <c r="L6" s="550"/>
      <c r="M6" s="550"/>
      <c r="O6" s="163" t="s">
        <v>277</v>
      </c>
    </row>
    <row r="7" spans="3:15" ht="15">
      <c r="C7" s="169">
        <v>0.1</v>
      </c>
      <c r="D7" s="550"/>
      <c r="E7" s="550"/>
      <c r="F7" s="550"/>
      <c r="G7" s="550"/>
      <c r="H7" s="550"/>
      <c r="I7" s="550"/>
      <c r="J7" s="550"/>
      <c r="K7" s="550"/>
      <c r="L7" s="550"/>
      <c r="M7" s="550"/>
      <c r="O7" s="163" t="s">
        <v>603</v>
      </c>
    </row>
    <row r="8" spans="3:13" ht="15">
      <c r="C8" s="169">
        <v>0.04</v>
      </c>
      <c r="D8" s="550"/>
      <c r="E8" s="550"/>
      <c r="F8" s="550"/>
      <c r="G8" s="550"/>
      <c r="H8" s="550"/>
      <c r="I8" s="550"/>
      <c r="J8" s="550"/>
      <c r="K8" s="550"/>
      <c r="L8" s="550"/>
      <c r="M8" s="550"/>
    </row>
    <row r="9" spans="3:13" ht="15">
      <c r="C9" s="169">
        <v>0.02</v>
      </c>
      <c r="D9" s="550"/>
      <c r="E9" s="550"/>
      <c r="F9" s="550"/>
      <c r="G9" s="550"/>
      <c r="H9" s="550"/>
      <c r="I9" s="550"/>
      <c r="J9" s="550"/>
      <c r="K9" s="550"/>
      <c r="L9" s="550"/>
      <c r="M9" s="550"/>
    </row>
    <row r="10" spans="3:13" s="487" customFormat="1" ht="15">
      <c r="C10" s="407">
        <v>0.0133</v>
      </c>
      <c r="D10" s="551"/>
      <c r="E10" s="551"/>
      <c r="F10" s="551"/>
      <c r="G10" s="551"/>
      <c r="H10" s="551"/>
      <c r="I10" s="551"/>
      <c r="J10" s="551"/>
      <c r="K10" s="551"/>
      <c r="L10" s="551"/>
      <c r="M10" s="551"/>
    </row>
    <row r="11" spans="3:13" ht="15">
      <c r="C11" s="169">
        <v>0.01</v>
      </c>
      <c r="D11" s="550"/>
      <c r="E11" s="550"/>
      <c r="F11" s="550"/>
      <c r="G11" s="550"/>
      <c r="H11" s="550"/>
      <c r="I11" s="550"/>
      <c r="J11" s="550"/>
      <c r="K11" s="550"/>
      <c r="L11" s="550"/>
      <c r="M11" s="550"/>
    </row>
    <row r="12" spans="3:13" ht="15">
      <c r="C12" s="170">
        <v>0.005</v>
      </c>
      <c r="D12" s="550"/>
      <c r="E12" s="550"/>
      <c r="F12" s="550"/>
      <c r="G12" s="550"/>
      <c r="H12" s="550"/>
      <c r="I12" s="550"/>
      <c r="J12" s="550"/>
      <c r="K12" s="550"/>
      <c r="L12" s="550"/>
      <c r="M12" s="550"/>
    </row>
    <row r="13" spans="3:13" ht="15">
      <c r="C13" s="170">
        <v>0.001</v>
      </c>
      <c r="D13" s="550"/>
      <c r="E13" s="550"/>
      <c r="F13" s="550"/>
      <c r="G13" s="550"/>
      <c r="H13" s="550"/>
      <c r="I13" s="550"/>
      <c r="J13" s="550"/>
      <c r="K13" s="550"/>
      <c r="L13" s="550"/>
      <c r="M13" s="550"/>
    </row>
    <row r="15" spans="4:13" ht="15">
      <c r="D15" s="169">
        <v>1</v>
      </c>
      <c r="E15" s="169">
        <v>0.5</v>
      </c>
      <c r="F15" s="169">
        <v>0.2</v>
      </c>
      <c r="G15" s="169">
        <v>0.1</v>
      </c>
      <c r="H15" s="169">
        <v>0.04</v>
      </c>
      <c r="I15" s="169">
        <v>0.02</v>
      </c>
      <c r="J15" s="407">
        <v>0.0133</v>
      </c>
      <c r="K15" s="169">
        <v>0.01</v>
      </c>
      <c r="L15" s="170">
        <v>0.005</v>
      </c>
      <c r="M15" s="170">
        <v>0.001</v>
      </c>
    </row>
    <row r="16" spans="4:13" ht="15">
      <c r="D16" s="553">
        <v>0.01</v>
      </c>
      <c r="E16" s="553">
        <v>0.02</v>
      </c>
      <c r="F16" s="553">
        <v>0.05</v>
      </c>
      <c r="G16" s="553">
        <v>0.1</v>
      </c>
      <c r="H16" s="553">
        <v>0.25</v>
      </c>
      <c r="I16" s="553">
        <v>0.8</v>
      </c>
      <c r="J16" s="553">
        <f>(K16-I16)*0.67+I16</f>
        <v>0.8871</v>
      </c>
      <c r="K16" s="553">
        <v>0.93</v>
      </c>
      <c r="L16" s="553">
        <f>(M16+K16)/2</f>
        <v>0.9650000000000001</v>
      </c>
      <c r="M16" s="553">
        <v>1</v>
      </c>
    </row>
    <row r="17" spans="3:13" ht="15">
      <c r="C17" s="275" t="s">
        <v>588</v>
      </c>
      <c r="D17" s="552"/>
      <c r="E17" s="189"/>
      <c r="F17" s="189"/>
      <c r="G17" s="189"/>
      <c r="H17" s="189"/>
      <c r="I17" s="189"/>
      <c r="J17" s="189"/>
      <c r="K17" s="189"/>
      <c r="L17" s="189"/>
      <c r="M17" s="189"/>
    </row>
    <row r="18" spans="1:14" ht="32.25" customHeight="1">
      <c r="A18" s="706" t="s">
        <v>589</v>
      </c>
      <c r="B18" s="592"/>
      <c r="C18" s="592"/>
      <c r="D18" s="278">
        <f aca="true" t="shared" si="0" ref="D18:I18">$D$17*D16</f>
        <v>0</v>
      </c>
      <c r="E18" s="278">
        <f t="shared" si="0"/>
        <v>0</v>
      </c>
      <c r="F18" s="278">
        <f t="shared" si="0"/>
        <v>0</v>
      </c>
      <c r="G18" s="278">
        <f t="shared" si="0"/>
        <v>0</v>
      </c>
      <c r="H18" s="278">
        <f t="shared" si="0"/>
        <v>0</v>
      </c>
      <c r="I18" s="278">
        <f t="shared" si="0"/>
        <v>0</v>
      </c>
      <c r="J18" s="278">
        <f aca="true" t="shared" si="1" ref="J18:M18">$D$17*J16</f>
        <v>0</v>
      </c>
      <c r="K18" s="278">
        <f t="shared" si="1"/>
        <v>0</v>
      </c>
      <c r="L18" s="278">
        <f t="shared" si="1"/>
        <v>0</v>
      </c>
      <c r="M18" s="278">
        <f t="shared" si="1"/>
        <v>0</v>
      </c>
      <c r="N18" s="163" t="s">
        <v>587</v>
      </c>
    </row>
    <row r="19" spans="1:13" ht="32.25" customHeight="1">
      <c r="A19" s="706" t="s">
        <v>604</v>
      </c>
      <c r="B19" s="591"/>
      <c r="C19" s="591"/>
      <c r="D19" s="278">
        <f>D18</f>
        <v>0</v>
      </c>
      <c r="E19" s="278">
        <f>E18-D18</f>
        <v>0</v>
      </c>
      <c r="F19" s="278">
        <f aca="true" t="shared" si="2" ref="F19:I19">F18-E18</f>
        <v>0</v>
      </c>
      <c r="G19" s="278">
        <f t="shared" si="2"/>
        <v>0</v>
      </c>
      <c r="H19" s="278">
        <f t="shared" si="2"/>
        <v>0</v>
      </c>
      <c r="I19" s="278">
        <f t="shared" si="2"/>
        <v>0</v>
      </c>
      <c r="J19" s="278">
        <f aca="true" t="shared" si="3" ref="J19">J18-I18</f>
        <v>0</v>
      </c>
      <c r="K19" s="278">
        <f aca="true" t="shared" si="4" ref="K19">K18-J18</f>
        <v>0</v>
      </c>
      <c r="L19" s="278">
        <f aca="true" t="shared" si="5" ref="L19">L18-K18</f>
        <v>0</v>
      </c>
      <c r="M19" s="278">
        <f aca="true" t="shared" si="6" ref="M19">M18-L18</f>
        <v>0</v>
      </c>
    </row>
    <row r="21" spans="3:13" ht="15">
      <c r="C21" s="298" t="s">
        <v>635</v>
      </c>
      <c r="D21" s="206">
        <v>1</v>
      </c>
      <c r="E21" s="206">
        <v>0.5</v>
      </c>
      <c r="F21" s="206">
        <v>0.2</v>
      </c>
      <c r="G21" s="206">
        <v>0.1</v>
      </c>
      <c r="H21" s="206">
        <v>0.04</v>
      </c>
      <c r="I21" s="206">
        <v>0.02</v>
      </c>
      <c r="J21" s="407">
        <v>0.0133</v>
      </c>
      <c r="K21" s="169">
        <v>0.01</v>
      </c>
      <c r="L21" s="170">
        <v>0.005</v>
      </c>
      <c r="M21" s="170">
        <v>0.001</v>
      </c>
    </row>
    <row r="22" spans="3:25" ht="30">
      <c r="C22" s="163" t="s">
        <v>377</v>
      </c>
      <c r="D22" s="554" t="s">
        <v>195</v>
      </c>
      <c r="E22" s="554" t="s">
        <v>195</v>
      </c>
      <c r="F22" s="554" t="s">
        <v>378</v>
      </c>
      <c r="G22" s="554" t="s">
        <v>378</v>
      </c>
      <c r="H22" s="554" t="s">
        <v>378</v>
      </c>
      <c r="I22" s="554" t="s">
        <v>378</v>
      </c>
      <c r="J22" s="554" t="s">
        <v>378</v>
      </c>
      <c r="K22" s="554" t="s">
        <v>378</v>
      </c>
      <c r="L22" s="554" t="s">
        <v>378</v>
      </c>
      <c r="M22" s="554" t="s">
        <v>378</v>
      </c>
      <c r="O22" s="591"/>
      <c r="P22" s="590"/>
      <c r="Q22" s="590"/>
      <c r="R22" s="590"/>
      <c r="S22" s="590"/>
      <c r="T22" s="590"/>
      <c r="U22" s="590"/>
      <c r="V22" s="590"/>
      <c r="W22" s="590"/>
      <c r="X22" s="590"/>
      <c r="Y22" s="590"/>
    </row>
    <row r="23" spans="4:25" ht="15">
      <c r="D23" s="296"/>
      <c r="E23" s="296"/>
      <c r="F23" s="296"/>
      <c r="G23" s="296"/>
      <c r="H23" s="296"/>
      <c r="I23" s="296"/>
      <c r="J23" s="397"/>
      <c r="K23" s="296"/>
      <c r="L23" s="397"/>
      <c r="M23" s="296"/>
      <c r="O23" s="296"/>
      <c r="P23" s="276"/>
      <c r="Q23" s="276"/>
      <c r="R23" s="276"/>
      <c r="S23" s="276"/>
      <c r="T23" s="276"/>
      <c r="U23" s="276"/>
      <c r="V23" s="276"/>
      <c r="W23" s="276"/>
      <c r="X23" s="276"/>
      <c r="Y23" s="276"/>
    </row>
    <row r="24" spans="3:7" ht="30">
      <c r="C24" s="298" t="s">
        <v>635</v>
      </c>
      <c r="D24" s="296" t="s">
        <v>195</v>
      </c>
      <c r="G24" s="296"/>
    </row>
    <row r="25" spans="3:10" ht="15">
      <c r="C25" s="298" t="s">
        <v>636</v>
      </c>
      <c r="D25" s="555">
        <v>250000</v>
      </c>
      <c r="E25" s="591" t="s">
        <v>637</v>
      </c>
      <c r="F25" s="591"/>
      <c r="G25" s="296"/>
      <c r="H25" s="168"/>
      <c r="I25" s="296"/>
      <c r="J25" s="397"/>
    </row>
    <row r="26" ht="15">
      <c r="D26" s="163" t="s">
        <v>386</v>
      </c>
    </row>
    <row r="27" ht="15">
      <c r="D27" s="163" t="s">
        <v>387</v>
      </c>
    </row>
    <row r="28" spans="1:5" ht="27.75" customHeight="1">
      <c r="A28" s="706" t="s">
        <v>639</v>
      </c>
      <c r="B28" s="592"/>
      <c r="C28" s="592"/>
      <c r="D28" s="162">
        <v>100</v>
      </c>
      <c r="E28" s="163" t="s">
        <v>391</v>
      </c>
    </row>
    <row r="29" spans="1:5" ht="15">
      <c r="A29" s="296"/>
      <c r="B29" s="296"/>
      <c r="C29" s="298" t="s">
        <v>390</v>
      </c>
      <c r="D29" s="162">
        <f>VLOOKUP(D28-1,Sheet1!A$15:C$114,3,FALSE)</f>
        <v>29.812545333317857</v>
      </c>
      <c r="E29" s="163" t="str">
        <f>"Sum of discount factors from year 0 to year "&amp;D28</f>
        <v>Sum of discount factors from year 0 to year 100</v>
      </c>
    </row>
    <row r="30" spans="3:5" ht="15">
      <c r="C30" s="298" t="s">
        <v>389</v>
      </c>
      <c r="D30" s="308">
        <f>D25/D29</f>
        <v>8385.731483336493</v>
      </c>
      <c r="E30" s="163" t="s">
        <v>643</v>
      </c>
    </row>
    <row r="31" spans="4:13" ht="15">
      <c r="D31" s="169">
        <v>1</v>
      </c>
      <c r="E31" s="169">
        <v>0.5</v>
      </c>
      <c r="F31" s="169">
        <v>0.2</v>
      </c>
      <c r="G31" s="169">
        <v>0.1</v>
      </c>
      <c r="H31" s="169">
        <v>0.04</v>
      </c>
      <c r="I31" s="169">
        <v>0.02</v>
      </c>
      <c r="J31" s="407">
        <v>0.0133</v>
      </c>
      <c r="K31" s="169">
        <v>0.01</v>
      </c>
      <c r="L31" s="170">
        <v>0.005</v>
      </c>
      <c r="M31" s="170">
        <v>0.001</v>
      </c>
    </row>
    <row r="32" spans="3:14" ht="15">
      <c r="C32" s="298" t="s">
        <v>638</v>
      </c>
      <c r="D32" s="199">
        <f aca="true" t="shared" si="7" ref="D32:I32">D33/$D$33</f>
        <v>1</v>
      </c>
      <c r="E32" s="199">
        <f t="shared" si="7"/>
        <v>0.8944928611162618</v>
      </c>
      <c r="F32" s="199">
        <f t="shared" si="7"/>
        <v>0.5777860189134063</v>
      </c>
      <c r="G32" s="199">
        <f t="shared" si="7"/>
        <v>0.29334322269608754</v>
      </c>
      <c r="H32" s="199">
        <f t="shared" si="7"/>
        <v>0.13777118486927498</v>
      </c>
      <c r="I32" s="199">
        <f t="shared" si="7"/>
        <v>0.058594474318561095</v>
      </c>
      <c r="J32" s="199">
        <f>(I32+K32)/2.5</f>
        <v>0.029297237159280547</v>
      </c>
      <c r="K32" s="409">
        <f>K33/$D$33</f>
        <v>0.014648618579640274</v>
      </c>
      <c r="L32" s="199">
        <v>0.01</v>
      </c>
      <c r="M32" s="199">
        <v>0</v>
      </c>
      <c r="N32" s="163" t="s">
        <v>605</v>
      </c>
    </row>
    <row r="33" spans="1:24" ht="29.25" customHeight="1">
      <c r="A33" s="706" t="s">
        <v>282</v>
      </c>
      <c r="B33" s="592"/>
      <c r="C33" s="592"/>
      <c r="D33" s="207">
        <v>5393</v>
      </c>
      <c r="E33" s="173">
        <v>4824</v>
      </c>
      <c r="F33" s="173">
        <v>3116</v>
      </c>
      <c r="G33" s="173">
        <v>1582</v>
      </c>
      <c r="H33" s="173">
        <v>743</v>
      </c>
      <c r="I33" s="173">
        <v>316</v>
      </c>
      <c r="J33" s="173">
        <f>(I33+K33)/2.5</f>
        <v>158</v>
      </c>
      <c r="K33" s="173">
        <v>79</v>
      </c>
      <c r="L33" s="173">
        <v>39</v>
      </c>
      <c r="M33" s="173">
        <v>0</v>
      </c>
      <c r="N33" s="591" t="s">
        <v>482</v>
      </c>
      <c r="O33" s="590"/>
      <c r="P33" s="590"/>
      <c r="Q33" s="590"/>
      <c r="R33" s="590"/>
      <c r="S33" s="590"/>
      <c r="T33" s="590"/>
      <c r="U33" s="590"/>
      <c r="V33" s="590"/>
      <c r="W33" s="590"/>
      <c r="X33" s="590"/>
    </row>
    <row r="34" spans="17:24" ht="15">
      <c r="Q34" s="168"/>
      <c r="R34" s="172"/>
      <c r="S34" s="172"/>
      <c r="T34" s="172"/>
      <c r="U34" s="172"/>
      <c r="V34" s="172"/>
      <c r="W34" s="172"/>
      <c r="X34" s="172"/>
    </row>
    <row r="35" spans="4:14" ht="15">
      <c r="D35" s="174">
        <v>1</v>
      </c>
      <c r="E35" s="174">
        <v>0.5</v>
      </c>
      <c r="F35" s="174">
        <v>0.2</v>
      </c>
      <c r="G35" s="174">
        <v>0.1</v>
      </c>
      <c r="H35" s="174">
        <v>0.04</v>
      </c>
      <c r="I35" s="174">
        <v>0.02</v>
      </c>
      <c r="J35" s="408">
        <v>0.0133</v>
      </c>
      <c r="K35" s="174">
        <v>0.01</v>
      </c>
      <c r="L35" s="175">
        <v>0.005</v>
      </c>
      <c r="M35" s="175">
        <v>0.001</v>
      </c>
      <c r="N35" s="176" t="s">
        <v>61</v>
      </c>
    </row>
    <row r="36" spans="3:14" ht="15">
      <c r="C36" s="198" t="s">
        <v>367</v>
      </c>
      <c r="D36" s="199">
        <f>D32</f>
        <v>1</v>
      </c>
      <c r="E36" s="199">
        <f aca="true" t="shared" si="8" ref="E36:M36">E32</f>
        <v>0.8944928611162618</v>
      </c>
      <c r="F36" s="199">
        <f t="shared" si="8"/>
        <v>0.5777860189134063</v>
      </c>
      <c r="G36" s="199">
        <f t="shared" si="8"/>
        <v>0.29334322269608754</v>
      </c>
      <c r="H36" s="199">
        <f t="shared" si="8"/>
        <v>0.13777118486927498</v>
      </c>
      <c r="I36" s="199">
        <f t="shared" si="8"/>
        <v>0.058594474318561095</v>
      </c>
      <c r="J36" s="199">
        <f>(I36+K36)/2.5</f>
        <v>0.029297237159280547</v>
      </c>
      <c r="K36" s="199">
        <f t="shared" si="8"/>
        <v>0.014648618579640274</v>
      </c>
      <c r="L36" s="199">
        <f>(K36+M36)/2</f>
        <v>0.007324309289820137</v>
      </c>
      <c r="M36" s="199">
        <f t="shared" si="8"/>
        <v>0</v>
      </c>
      <c r="N36" s="197" t="s">
        <v>586</v>
      </c>
    </row>
    <row r="37" spans="1:14" ht="27.75" customHeight="1">
      <c r="A37" s="706" t="s">
        <v>640</v>
      </c>
      <c r="B37" s="592"/>
      <c r="C37" s="592"/>
      <c r="D37" s="200">
        <f>IF(D22="One-off loss",D33,$D30*D36)</f>
        <v>8385.731483336493</v>
      </c>
      <c r="E37" s="200">
        <f aca="true" t="shared" si="9" ref="E37:M37">IF(E22="One-off loss",E33,$D30*E36)</f>
        <v>7500.976947082373</v>
      </c>
      <c r="F37" s="200">
        <f t="shared" si="9"/>
        <v>3116</v>
      </c>
      <c r="G37" s="200">
        <f t="shared" si="9"/>
        <v>1582</v>
      </c>
      <c r="H37" s="200">
        <f t="shared" si="9"/>
        <v>743</v>
      </c>
      <c r="I37" s="200">
        <f t="shared" si="9"/>
        <v>316</v>
      </c>
      <c r="J37" s="200">
        <f t="shared" si="9"/>
        <v>158</v>
      </c>
      <c r="K37" s="200">
        <f t="shared" si="9"/>
        <v>79</v>
      </c>
      <c r="L37" s="200">
        <f t="shared" si="9"/>
        <v>39</v>
      </c>
      <c r="M37" s="200">
        <f t="shared" si="9"/>
        <v>0</v>
      </c>
      <c r="N37" s="197"/>
    </row>
    <row r="38" spans="5:24" ht="15">
      <c r="E38" s="163" t="s">
        <v>262</v>
      </c>
      <c r="F38" s="163" t="s">
        <v>280</v>
      </c>
      <c r="R38" s="168"/>
      <c r="S38" s="168"/>
      <c r="T38" s="168"/>
      <c r="U38" s="168"/>
      <c r="V38" s="168"/>
      <c r="W38" s="168"/>
      <c r="X38" s="168"/>
    </row>
    <row r="39" spans="3:13" ht="15">
      <c r="C39" s="171" t="s">
        <v>271</v>
      </c>
      <c r="D39" s="169">
        <v>1</v>
      </c>
      <c r="E39" s="169">
        <v>0.5</v>
      </c>
      <c r="F39" s="169">
        <v>0.2</v>
      </c>
      <c r="G39" s="169">
        <v>0.1</v>
      </c>
      <c r="H39" s="169">
        <v>0.04</v>
      </c>
      <c r="I39" s="169">
        <v>0.02</v>
      </c>
      <c r="J39" s="407">
        <v>0.0133</v>
      </c>
      <c r="K39" s="169">
        <v>0.01</v>
      </c>
      <c r="L39" s="170">
        <v>0.005</v>
      </c>
      <c r="M39" s="170">
        <v>0.001</v>
      </c>
    </row>
    <row r="40" spans="3:14" ht="15">
      <c r="C40" s="169">
        <v>1</v>
      </c>
      <c r="D40" s="173">
        <f>IF($D33-D33&lt;0,0,$D33-D33)</f>
        <v>0</v>
      </c>
      <c r="E40" s="173">
        <f aca="true" t="shared" si="10" ref="E40:M40">IF($D33-E33&lt;0,0,$D33-E33)</f>
        <v>569</v>
      </c>
      <c r="F40" s="173">
        <f t="shared" si="10"/>
        <v>2277</v>
      </c>
      <c r="G40" s="173">
        <f t="shared" si="10"/>
        <v>3811</v>
      </c>
      <c r="H40" s="173">
        <f t="shared" si="10"/>
        <v>4650</v>
      </c>
      <c r="I40" s="173">
        <f t="shared" si="10"/>
        <v>5077</v>
      </c>
      <c r="J40" s="173">
        <f t="shared" si="10"/>
        <v>5235</v>
      </c>
      <c r="K40" s="173">
        <f t="shared" si="10"/>
        <v>5314</v>
      </c>
      <c r="L40" s="173">
        <f t="shared" si="10"/>
        <v>5354</v>
      </c>
      <c r="M40" s="173">
        <f t="shared" si="10"/>
        <v>5393</v>
      </c>
      <c r="N40" s="163" t="s">
        <v>113</v>
      </c>
    </row>
    <row r="41" spans="2:13" ht="15">
      <c r="B41" s="163" t="s">
        <v>261</v>
      </c>
      <c r="C41" s="169">
        <v>0.5</v>
      </c>
      <c r="D41" s="173">
        <f>IF($E33-D33&gt;0,0,$E33-D33)</f>
        <v>-569</v>
      </c>
      <c r="E41" s="173">
        <f aca="true" t="shared" si="11" ref="E41:M41">IF($E33-E33&lt;0,0,$E33-E33)</f>
        <v>0</v>
      </c>
      <c r="F41" s="173">
        <f t="shared" si="11"/>
        <v>1708</v>
      </c>
      <c r="G41" s="173">
        <f t="shared" si="11"/>
        <v>3242</v>
      </c>
      <c r="H41" s="173">
        <f t="shared" si="11"/>
        <v>4081</v>
      </c>
      <c r="I41" s="173">
        <f t="shared" si="11"/>
        <v>4508</v>
      </c>
      <c r="J41" s="173">
        <f t="shared" si="11"/>
        <v>4666</v>
      </c>
      <c r="K41" s="173">
        <f t="shared" si="11"/>
        <v>4745</v>
      </c>
      <c r="L41" s="173">
        <f t="shared" si="11"/>
        <v>4785</v>
      </c>
      <c r="M41" s="173">
        <f t="shared" si="11"/>
        <v>4824</v>
      </c>
    </row>
    <row r="42" spans="2:13" ht="15">
      <c r="B42" s="700" t="s">
        <v>281</v>
      </c>
      <c r="C42" s="169">
        <v>0.2</v>
      </c>
      <c r="D42" s="173">
        <f>IF($F33-D33&gt;0,0,$F33-D33)</f>
        <v>-2277</v>
      </c>
      <c r="E42" s="173">
        <f>IF($F33-E33&gt;0,0,$F33-E33)</f>
        <v>-1708</v>
      </c>
      <c r="F42" s="173">
        <f aca="true" t="shared" si="12" ref="F42">$F33-F33</f>
        <v>0</v>
      </c>
      <c r="G42" s="173">
        <f>IF($F33-G33&lt;0,0,$F33-G33)</f>
        <v>1534</v>
      </c>
      <c r="H42" s="173">
        <f aca="true" t="shared" si="13" ref="H42:M42">IF($F33-H33&lt;0,0,$F33-H33)</f>
        <v>2373</v>
      </c>
      <c r="I42" s="173">
        <f t="shared" si="13"/>
        <v>2800</v>
      </c>
      <c r="J42" s="173">
        <f t="shared" si="13"/>
        <v>2958</v>
      </c>
      <c r="K42" s="173">
        <f t="shared" si="13"/>
        <v>3037</v>
      </c>
      <c r="L42" s="173">
        <f t="shared" si="13"/>
        <v>3077</v>
      </c>
      <c r="M42" s="173">
        <f t="shared" si="13"/>
        <v>3116</v>
      </c>
    </row>
    <row r="43" spans="2:13" ht="15">
      <c r="B43" s="701"/>
      <c r="C43" s="169">
        <v>0.1</v>
      </c>
      <c r="D43" s="173">
        <f>IF($G33-D33&gt;0,0,$G33-D33)</f>
        <v>-3811</v>
      </c>
      <c r="E43" s="173">
        <f aca="true" t="shared" si="14" ref="E43:F43">IF($G33-E33&gt;0,0,$G33-E33)</f>
        <v>-3242</v>
      </c>
      <c r="F43" s="173">
        <f t="shared" si="14"/>
        <v>-1534</v>
      </c>
      <c r="G43" s="173">
        <f aca="true" t="shared" si="15" ref="G43">$G33-G33</f>
        <v>0</v>
      </c>
      <c r="H43" s="173">
        <f>IF($G33-H33&lt;0,0,$G33-H33)</f>
        <v>839</v>
      </c>
      <c r="I43" s="173">
        <f aca="true" t="shared" si="16" ref="I43:M43">IF($G33-I33&lt;0,0,$G33-I33)</f>
        <v>1266</v>
      </c>
      <c r="J43" s="173">
        <f t="shared" si="16"/>
        <v>1424</v>
      </c>
      <c r="K43" s="173">
        <f t="shared" si="16"/>
        <v>1503</v>
      </c>
      <c r="L43" s="173">
        <f t="shared" si="16"/>
        <v>1543</v>
      </c>
      <c r="M43" s="173">
        <f t="shared" si="16"/>
        <v>1582</v>
      </c>
    </row>
    <row r="44" spans="2:13" ht="15">
      <c r="B44" s="701"/>
      <c r="C44" s="169">
        <v>0.04</v>
      </c>
      <c r="D44" s="173">
        <f>IF($H33-D33&gt;0,0,$H33-D33)</f>
        <v>-4650</v>
      </c>
      <c r="E44" s="173">
        <f aca="true" t="shared" si="17" ref="E44:G44">IF($H33-E33&gt;0,0,$H33-E33)</f>
        <v>-4081</v>
      </c>
      <c r="F44" s="173">
        <f t="shared" si="17"/>
        <v>-2373</v>
      </c>
      <c r="G44" s="173">
        <f t="shared" si="17"/>
        <v>-839</v>
      </c>
      <c r="H44" s="173">
        <f aca="true" t="shared" si="18" ref="H44">$H33-H33</f>
        <v>0</v>
      </c>
      <c r="I44" s="173">
        <f>IF($H33-I33&lt;0,0,$H33-I33)</f>
        <v>427</v>
      </c>
      <c r="J44" s="173">
        <f aca="true" t="shared" si="19" ref="J44:M44">IF($H33-J33&lt;0,0,$H33-J33)</f>
        <v>585</v>
      </c>
      <c r="K44" s="173">
        <f t="shared" si="19"/>
        <v>664</v>
      </c>
      <c r="L44" s="173">
        <f t="shared" si="19"/>
        <v>704</v>
      </c>
      <c r="M44" s="173">
        <f t="shared" si="19"/>
        <v>743</v>
      </c>
    </row>
    <row r="45" spans="2:13" ht="15">
      <c r="B45" s="701"/>
      <c r="C45" s="169">
        <v>0.02</v>
      </c>
      <c r="D45" s="173">
        <f>IF($I33-D33&gt;0,0,$I33-D33)</f>
        <v>-5077</v>
      </c>
      <c r="E45" s="173">
        <f aca="true" t="shared" si="20" ref="E45:H45">IF($I33-E33&gt;0,0,$I33-E33)</f>
        <v>-4508</v>
      </c>
      <c r="F45" s="173">
        <f t="shared" si="20"/>
        <v>-2800</v>
      </c>
      <c r="G45" s="173">
        <f t="shared" si="20"/>
        <v>-1266</v>
      </c>
      <c r="H45" s="173">
        <f t="shared" si="20"/>
        <v>-427</v>
      </c>
      <c r="I45" s="173">
        <f aca="true" t="shared" si="21" ref="I45">$I33-I33</f>
        <v>0</v>
      </c>
      <c r="J45" s="173">
        <f>IF($I33-J33&lt;0,0,$I33-J33)</f>
        <v>158</v>
      </c>
      <c r="K45" s="173">
        <f aca="true" t="shared" si="22" ref="K45:M45">IF($I33-K33&lt;0,0,$I33-K33)</f>
        <v>237</v>
      </c>
      <c r="L45" s="173">
        <f t="shared" si="22"/>
        <v>277</v>
      </c>
      <c r="M45" s="173">
        <f t="shared" si="22"/>
        <v>316</v>
      </c>
    </row>
    <row r="46" spans="2:13" ht="15">
      <c r="B46" s="701"/>
      <c r="C46" s="407">
        <v>0.0133</v>
      </c>
      <c r="D46" s="173">
        <f>IF($J33-D33&gt;0,0,$J33-D33)</f>
        <v>-5235</v>
      </c>
      <c r="E46" s="173">
        <f aca="true" t="shared" si="23" ref="E46:I46">IF($J33-E33&gt;0,0,$J33-E33)</f>
        <v>-4666</v>
      </c>
      <c r="F46" s="173">
        <f t="shared" si="23"/>
        <v>-2958</v>
      </c>
      <c r="G46" s="173">
        <f t="shared" si="23"/>
        <v>-1424</v>
      </c>
      <c r="H46" s="173">
        <f t="shared" si="23"/>
        <v>-585</v>
      </c>
      <c r="I46" s="173">
        <f t="shared" si="23"/>
        <v>-158</v>
      </c>
      <c r="J46" s="173">
        <f aca="true" t="shared" si="24" ref="J46">$J33-J33</f>
        <v>0</v>
      </c>
      <c r="K46" s="173">
        <f>IF($J33-K33&lt;0,0,$J33-K33)</f>
        <v>79</v>
      </c>
      <c r="L46" s="173">
        <f aca="true" t="shared" si="25" ref="L46:M46">IF($J33-L33&lt;0,0,$J33-L33)</f>
        <v>119</v>
      </c>
      <c r="M46" s="173">
        <f t="shared" si="25"/>
        <v>158</v>
      </c>
    </row>
    <row r="47" spans="2:13" ht="15">
      <c r="B47" s="701"/>
      <c r="C47" s="169">
        <v>0.01</v>
      </c>
      <c r="D47" s="173">
        <f>IF($K33-D33&gt;0,0,$K33-D33)</f>
        <v>-5314</v>
      </c>
      <c r="E47" s="173">
        <f aca="true" t="shared" si="26" ref="E47:J47">IF($K33-E33&gt;0,0,$K33-E33)</f>
        <v>-4745</v>
      </c>
      <c r="F47" s="173">
        <f t="shared" si="26"/>
        <v>-3037</v>
      </c>
      <c r="G47" s="173">
        <f t="shared" si="26"/>
        <v>-1503</v>
      </c>
      <c r="H47" s="173">
        <f t="shared" si="26"/>
        <v>-664</v>
      </c>
      <c r="I47" s="173">
        <f t="shared" si="26"/>
        <v>-237</v>
      </c>
      <c r="J47" s="173">
        <f t="shared" si="26"/>
        <v>-79</v>
      </c>
      <c r="K47" s="173">
        <f aca="true" t="shared" si="27" ref="K47">$K33-K33</f>
        <v>0</v>
      </c>
      <c r="L47" s="173">
        <f>IF($K33-L33&lt;0,0,$K33-L33)</f>
        <v>40</v>
      </c>
      <c r="M47" s="173">
        <f>IF($K33-M33&lt;0,0,$K33-M33)</f>
        <v>79</v>
      </c>
    </row>
    <row r="48" spans="2:13" ht="15">
      <c r="B48" s="701"/>
      <c r="C48" s="170">
        <v>0.005</v>
      </c>
      <c r="D48" s="173">
        <f>IF($L33-D33&gt;0,0,$L33-D33)</f>
        <v>-5354</v>
      </c>
      <c r="E48" s="173">
        <f aca="true" t="shared" si="28" ref="E48:K48">IF($L33-E33&gt;0,0,$L33-E33)</f>
        <v>-4785</v>
      </c>
      <c r="F48" s="173">
        <f t="shared" si="28"/>
        <v>-3077</v>
      </c>
      <c r="G48" s="173">
        <f t="shared" si="28"/>
        <v>-1543</v>
      </c>
      <c r="H48" s="173">
        <f t="shared" si="28"/>
        <v>-704</v>
      </c>
      <c r="I48" s="173">
        <f t="shared" si="28"/>
        <v>-277</v>
      </c>
      <c r="J48" s="173">
        <f t="shared" si="28"/>
        <v>-119</v>
      </c>
      <c r="K48" s="173">
        <f t="shared" si="28"/>
        <v>-40</v>
      </c>
      <c r="L48" s="173">
        <f aca="true" t="shared" si="29" ref="L48">$L33-L33</f>
        <v>0</v>
      </c>
      <c r="M48" s="173">
        <f>IF($L33-M33&lt;0,0,$L33-M33)</f>
        <v>39</v>
      </c>
    </row>
    <row r="49" spans="2:13" ht="15">
      <c r="B49" s="701"/>
      <c r="C49" s="170">
        <v>0.001</v>
      </c>
      <c r="D49" s="173">
        <f>IF($M33-D33&gt;0,0,$M33-D33)</f>
        <v>-5393</v>
      </c>
      <c r="E49" s="173">
        <f aca="true" t="shared" si="30" ref="E49:M49">IF($M33-E33&gt;0,0,$M33-E33)</f>
        <v>-4824</v>
      </c>
      <c r="F49" s="173">
        <f t="shared" si="30"/>
        <v>-3116</v>
      </c>
      <c r="G49" s="173">
        <f t="shared" si="30"/>
        <v>-1582</v>
      </c>
      <c r="H49" s="173">
        <f t="shared" si="30"/>
        <v>-743</v>
      </c>
      <c r="I49" s="173">
        <f t="shared" si="30"/>
        <v>-316</v>
      </c>
      <c r="J49" s="173">
        <f t="shared" si="30"/>
        <v>-158</v>
      </c>
      <c r="K49" s="173">
        <f t="shared" si="30"/>
        <v>-79</v>
      </c>
      <c r="L49" s="173">
        <f t="shared" si="30"/>
        <v>-39</v>
      </c>
      <c r="M49" s="173">
        <f t="shared" si="30"/>
        <v>0</v>
      </c>
    </row>
    <row r="51" spans="5:6" ht="15">
      <c r="E51" s="163" t="s">
        <v>262</v>
      </c>
      <c r="F51" s="163" t="s">
        <v>280</v>
      </c>
    </row>
    <row r="52" spans="3:13" ht="15">
      <c r="C52" s="171" t="s">
        <v>271</v>
      </c>
      <c r="D52" s="169">
        <v>1</v>
      </c>
      <c r="E52" s="169">
        <v>0.5</v>
      </c>
      <c r="F52" s="169">
        <v>0.2</v>
      </c>
      <c r="G52" s="169">
        <v>0.1</v>
      </c>
      <c r="H52" s="169">
        <v>0.04</v>
      </c>
      <c r="I52" s="169">
        <v>0.02</v>
      </c>
      <c r="J52" s="407">
        <v>0.0133</v>
      </c>
      <c r="K52" s="169">
        <v>0.01</v>
      </c>
      <c r="L52" s="170">
        <v>0.005</v>
      </c>
      <c r="M52" s="170">
        <v>0.001</v>
      </c>
    </row>
    <row r="53" spans="3:13" ht="15">
      <c r="C53" s="169">
        <v>1</v>
      </c>
      <c r="D53" s="173">
        <f>D4*D40</f>
        <v>0</v>
      </c>
      <c r="E53" s="173">
        <f aca="true" t="shared" si="31" ref="E53:M53">E4*E40</f>
        <v>0</v>
      </c>
      <c r="F53" s="173">
        <f t="shared" si="31"/>
        <v>0</v>
      </c>
      <c r="G53" s="173">
        <f t="shared" si="31"/>
        <v>0</v>
      </c>
      <c r="H53" s="173">
        <f t="shared" si="31"/>
        <v>0</v>
      </c>
      <c r="I53" s="173">
        <f t="shared" si="31"/>
        <v>0</v>
      </c>
      <c r="J53" s="173">
        <f t="shared" si="31"/>
        <v>0</v>
      </c>
      <c r="K53" s="173">
        <f t="shared" si="31"/>
        <v>0</v>
      </c>
      <c r="L53" s="173">
        <f t="shared" si="31"/>
        <v>0</v>
      </c>
      <c r="M53" s="173">
        <f t="shared" si="31"/>
        <v>0</v>
      </c>
    </row>
    <row r="54" spans="2:13" ht="15">
      <c r="B54" s="163" t="s">
        <v>261</v>
      </c>
      <c r="C54" s="169">
        <v>0.5</v>
      </c>
      <c r="D54" s="173">
        <f aca="true" t="shared" si="32" ref="D54:M54">D5*D41</f>
        <v>0</v>
      </c>
      <c r="E54" s="173">
        <f t="shared" si="32"/>
        <v>0</v>
      </c>
      <c r="F54" s="173">
        <f t="shared" si="32"/>
        <v>0</v>
      </c>
      <c r="G54" s="173">
        <f t="shared" si="32"/>
        <v>0</v>
      </c>
      <c r="H54" s="173">
        <f t="shared" si="32"/>
        <v>0</v>
      </c>
      <c r="I54" s="173">
        <f t="shared" si="32"/>
        <v>0</v>
      </c>
      <c r="J54" s="173">
        <f t="shared" si="32"/>
        <v>0</v>
      </c>
      <c r="K54" s="173">
        <f t="shared" si="32"/>
        <v>0</v>
      </c>
      <c r="L54" s="173">
        <f t="shared" si="32"/>
        <v>0</v>
      </c>
      <c r="M54" s="173">
        <f t="shared" si="32"/>
        <v>0</v>
      </c>
    </row>
    <row r="55" spans="2:13" ht="15">
      <c r="B55" s="700" t="s">
        <v>281</v>
      </c>
      <c r="C55" s="169">
        <v>0.2</v>
      </c>
      <c r="D55" s="173">
        <f aca="true" t="shared" si="33" ref="D55:M55">D6*D42</f>
        <v>0</v>
      </c>
      <c r="E55" s="173">
        <f t="shared" si="33"/>
        <v>0</v>
      </c>
      <c r="F55" s="173">
        <f t="shared" si="33"/>
        <v>0</v>
      </c>
      <c r="G55" s="173">
        <f t="shared" si="33"/>
        <v>0</v>
      </c>
      <c r="H55" s="173">
        <f t="shared" si="33"/>
        <v>0</v>
      </c>
      <c r="I55" s="173">
        <f t="shared" si="33"/>
        <v>0</v>
      </c>
      <c r="J55" s="173">
        <f t="shared" si="33"/>
        <v>0</v>
      </c>
      <c r="K55" s="173">
        <f t="shared" si="33"/>
        <v>0</v>
      </c>
      <c r="L55" s="173">
        <f t="shared" si="33"/>
        <v>0</v>
      </c>
      <c r="M55" s="173">
        <f t="shared" si="33"/>
        <v>0</v>
      </c>
    </row>
    <row r="56" spans="2:13" ht="15">
      <c r="B56" s="701"/>
      <c r="C56" s="169">
        <v>0.1</v>
      </c>
      <c r="D56" s="173">
        <f aca="true" t="shared" si="34" ref="D56:M56">D7*D43</f>
        <v>0</v>
      </c>
      <c r="E56" s="173">
        <f t="shared" si="34"/>
        <v>0</v>
      </c>
      <c r="F56" s="173">
        <f t="shared" si="34"/>
        <v>0</v>
      </c>
      <c r="G56" s="173">
        <f t="shared" si="34"/>
        <v>0</v>
      </c>
      <c r="H56" s="173">
        <f t="shared" si="34"/>
        <v>0</v>
      </c>
      <c r="I56" s="173">
        <f t="shared" si="34"/>
        <v>0</v>
      </c>
      <c r="J56" s="173">
        <f t="shared" si="34"/>
        <v>0</v>
      </c>
      <c r="K56" s="173">
        <f t="shared" si="34"/>
        <v>0</v>
      </c>
      <c r="L56" s="173">
        <f t="shared" si="34"/>
        <v>0</v>
      </c>
      <c r="M56" s="173">
        <f t="shared" si="34"/>
        <v>0</v>
      </c>
    </row>
    <row r="57" spans="2:13" ht="15">
      <c r="B57" s="701"/>
      <c r="C57" s="169">
        <v>0.04</v>
      </c>
      <c r="D57" s="173">
        <f aca="true" t="shared" si="35" ref="D57:M57">D8*D44</f>
        <v>0</v>
      </c>
      <c r="E57" s="173">
        <f t="shared" si="35"/>
        <v>0</v>
      </c>
      <c r="F57" s="173">
        <f t="shared" si="35"/>
        <v>0</v>
      </c>
      <c r="G57" s="173">
        <f t="shared" si="35"/>
        <v>0</v>
      </c>
      <c r="H57" s="173">
        <f t="shared" si="35"/>
        <v>0</v>
      </c>
      <c r="I57" s="173">
        <f t="shared" si="35"/>
        <v>0</v>
      </c>
      <c r="J57" s="173">
        <f t="shared" si="35"/>
        <v>0</v>
      </c>
      <c r="K57" s="173">
        <f t="shared" si="35"/>
        <v>0</v>
      </c>
      <c r="L57" s="173">
        <f t="shared" si="35"/>
        <v>0</v>
      </c>
      <c r="M57" s="173">
        <f t="shared" si="35"/>
        <v>0</v>
      </c>
    </row>
    <row r="58" spans="2:13" ht="15">
      <c r="B58" s="701"/>
      <c r="C58" s="169">
        <v>0.02</v>
      </c>
      <c r="D58" s="173">
        <f aca="true" t="shared" si="36" ref="D58:M58">D9*D45</f>
        <v>0</v>
      </c>
      <c r="E58" s="173">
        <f t="shared" si="36"/>
        <v>0</v>
      </c>
      <c r="F58" s="173">
        <f t="shared" si="36"/>
        <v>0</v>
      </c>
      <c r="G58" s="173">
        <f t="shared" si="36"/>
        <v>0</v>
      </c>
      <c r="H58" s="173">
        <f t="shared" si="36"/>
        <v>0</v>
      </c>
      <c r="I58" s="173">
        <f t="shared" si="36"/>
        <v>0</v>
      </c>
      <c r="J58" s="173">
        <f t="shared" si="36"/>
        <v>0</v>
      </c>
      <c r="K58" s="173">
        <f t="shared" si="36"/>
        <v>0</v>
      </c>
      <c r="L58" s="173">
        <f t="shared" si="36"/>
        <v>0</v>
      </c>
      <c r="M58" s="173">
        <f t="shared" si="36"/>
        <v>0</v>
      </c>
    </row>
    <row r="59" spans="2:13" ht="15">
      <c r="B59" s="701"/>
      <c r="C59" s="407">
        <v>0.0133</v>
      </c>
      <c r="D59" s="173">
        <f aca="true" t="shared" si="37" ref="D59:M59">D10*D46</f>
        <v>0</v>
      </c>
      <c r="E59" s="173">
        <f t="shared" si="37"/>
        <v>0</v>
      </c>
      <c r="F59" s="173">
        <f t="shared" si="37"/>
        <v>0</v>
      </c>
      <c r="G59" s="173">
        <f t="shared" si="37"/>
        <v>0</v>
      </c>
      <c r="H59" s="173">
        <f t="shared" si="37"/>
        <v>0</v>
      </c>
      <c r="I59" s="173">
        <f t="shared" si="37"/>
        <v>0</v>
      </c>
      <c r="J59" s="173">
        <f t="shared" si="37"/>
        <v>0</v>
      </c>
      <c r="K59" s="173">
        <f t="shared" si="37"/>
        <v>0</v>
      </c>
      <c r="L59" s="173">
        <f t="shared" si="37"/>
        <v>0</v>
      </c>
      <c r="M59" s="173">
        <f t="shared" si="37"/>
        <v>0</v>
      </c>
    </row>
    <row r="60" spans="2:13" ht="15">
      <c r="B60" s="701"/>
      <c r="C60" s="169">
        <v>0.01</v>
      </c>
      <c r="D60" s="173">
        <f aca="true" t="shared" si="38" ref="D60:M60">D11*D47</f>
        <v>0</v>
      </c>
      <c r="E60" s="173">
        <f t="shared" si="38"/>
        <v>0</v>
      </c>
      <c r="F60" s="173">
        <f t="shared" si="38"/>
        <v>0</v>
      </c>
      <c r="G60" s="173">
        <f t="shared" si="38"/>
        <v>0</v>
      </c>
      <c r="H60" s="173">
        <f t="shared" si="38"/>
        <v>0</v>
      </c>
      <c r="I60" s="173">
        <f t="shared" si="38"/>
        <v>0</v>
      </c>
      <c r="J60" s="173">
        <f t="shared" si="38"/>
        <v>0</v>
      </c>
      <c r="K60" s="173">
        <f t="shared" si="38"/>
        <v>0</v>
      </c>
      <c r="L60" s="173">
        <f t="shared" si="38"/>
        <v>0</v>
      </c>
      <c r="M60" s="173">
        <f t="shared" si="38"/>
        <v>0</v>
      </c>
    </row>
    <row r="61" spans="2:13" ht="15">
      <c r="B61" s="701"/>
      <c r="C61" s="170">
        <v>0.005</v>
      </c>
      <c r="D61" s="173">
        <f aca="true" t="shared" si="39" ref="D61:M61">D12*D48</f>
        <v>0</v>
      </c>
      <c r="E61" s="173">
        <f t="shared" si="39"/>
        <v>0</v>
      </c>
      <c r="F61" s="173">
        <f t="shared" si="39"/>
        <v>0</v>
      </c>
      <c r="G61" s="173">
        <f t="shared" si="39"/>
        <v>0</v>
      </c>
      <c r="H61" s="173">
        <f t="shared" si="39"/>
        <v>0</v>
      </c>
      <c r="I61" s="173">
        <f t="shared" si="39"/>
        <v>0</v>
      </c>
      <c r="J61" s="173">
        <f t="shared" si="39"/>
        <v>0</v>
      </c>
      <c r="K61" s="173">
        <f t="shared" si="39"/>
        <v>0</v>
      </c>
      <c r="L61" s="173">
        <f t="shared" si="39"/>
        <v>0</v>
      </c>
      <c r="M61" s="173">
        <f t="shared" si="39"/>
        <v>0</v>
      </c>
    </row>
    <row r="62" spans="2:13" ht="13.5" customHeight="1">
      <c r="B62" s="701"/>
      <c r="C62" s="170">
        <v>0.001</v>
      </c>
      <c r="D62" s="173">
        <f>D13*D49</f>
        <v>0</v>
      </c>
      <c r="E62" s="173">
        <f aca="true" t="shared" si="40" ref="E62:M62">E13*E49</f>
        <v>0</v>
      </c>
      <c r="F62" s="173">
        <f t="shared" si="40"/>
        <v>0</v>
      </c>
      <c r="G62" s="173">
        <f t="shared" si="40"/>
        <v>0</v>
      </c>
      <c r="H62" s="173">
        <f t="shared" si="40"/>
        <v>0</v>
      </c>
      <c r="I62" s="173">
        <f t="shared" si="40"/>
        <v>0</v>
      </c>
      <c r="J62" s="173">
        <f t="shared" si="40"/>
        <v>0</v>
      </c>
      <c r="K62" s="173">
        <f t="shared" si="40"/>
        <v>0</v>
      </c>
      <c r="L62" s="173">
        <f t="shared" si="40"/>
        <v>0</v>
      </c>
      <c r="M62" s="173">
        <f t="shared" si="40"/>
        <v>0</v>
      </c>
    </row>
    <row r="63" ht="15.75" thickBot="1"/>
    <row r="64" spans="4:15" ht="16.5" thickBot="1" thickTop="1">
      <c r="D64" s="702" t="str">
        <f>IF(SUM(D53:M62)&gt;0,"Total annual benefits",IF(SUM(D53:M62)&lt;0,"Total annual damages","Enter number of properties"))</f>
        <v>Enter number of properties</v>
      </c>
      <c r="E64" s="703"/>
      <c r="F64" s="703"/>
      <c r="G64" s="703"/>
      <c r="H64" s="186">
        <f>SUM(D53:M62)</f>
        <v>0</v>
      </c>
      <c r="I64" s="366" t="s">
        <v>804</v>
      </c>
      <c r="J64" s="406"/>
      <c r="K64" s="593" t="s">
        <v>811</v>
      </c>
      <c r="L64" s="593"/>
      <c r="M64" s="594"/>
      <c r="N64" s="594"/>
      <c r="O64" s="595"/>
    </row>
    <row r="65" ht="15.75" thickTop="1"/>
  </sheetData>
  <sheetProtection sheet="1" objects="1" scenarios="1"/>
  <mergeCells count="15">
    <mergeCell ref="B42:B49"/>
    <mergeCell ref="B55:B62"/>
    <mergeCell ref="D64:G64"/>
    <mergeCell ref="I1:K1"/>
    <mergeCell ref="B5:B6"/>
    <mergeCell ref="A37:C37"/>
    <mergeCell ref="A18:C18"/>
    <mergeCell ref="A19:C19"/>
    <mergeCell ref="K64:O64"/>
    <mergeCell ref="O22:Y22"/>
    <mergeCell ref="N33:X33"/>
    <mergeCell ref="A33:C33"/>
    <mergeCell ref="E25:F25"/>
    <mergeCell ref="A28:C28"/>
    <mergeCell ref="P1:T1"/>
  </mergeCells>
  <dataValidations count="2">
    <dataValidation type="list" allowBlank="1" showInputMessage="1" showErrorMessage="1" sqref="D22:M22">
      <formula1>"Permanent loss, One-off loss"</formula1>
    </dataValidation>
    <dataValidation type="list" allowBlank="1" showInputMessage="1" showErrorMessage="1" sqref="K64:O64">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82"/>
  <headerFooter>
    <oddHeader>&amp;C&amp;A</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98"/>
  <sheetViews>
    <sheetView workbookViewId="0" topLeftCell="A1"/>
  </sheetViews>
  <sheetFormatPr defaultColWidth="9.140625" defaultRowHeight="15"/>
  <cols>
    <col min="1" max="1" width="9.140625" style="163" customWidth="1"/>
    <col min="2" max="2" width="9.8515625" style="163" customWidth="1"/>
    <col min="3" max="3" width="9.140625" style="163" customWidth="1"/>
    <col min="4" max="13" width="12.28125" style="163" customWidth="1"/>
    <col min="14" max="16384" width="9.140625" style="163" customWidth="1"/>
  </cols>
  <sheetData>
    <row r="1" spans="1:20" ht="15">
      <c r="A1" s="164" t="s">
        <v>270</v>
      </c>
      <c r="B1" s="165"/>
      <c r="C1" s="165"/>
      <c r="D1" s="162"/>
      <c r="E1" s="165"/>
      <c r="F1" s="166" t="s">
        <v>260</v>
      </c>
      <c r="I1" s="704" t="s">
        <v>284</v>
      </c>
      <c r="J1" s="704"/>
      <c r="K1" s="705"/>
      <c r="L1" s="472"/>
      <c r="M1" s="176" t="s">
        <v>992</v>
      </c>
      <c r="N1" s="176">
        <v>2</v>
      </c>
      <c r="O1" s="176" t="s">
        <v>991</v>
      </c>
      <c r="P1" s="707"/>
      <c r="Q1" s="590"/>
      <c r="R1" s="590"/>
      <c r="S1" s="590"/>
      <c r="T1" s="590"/>
    </row>
    <row r="2" spans="5:6" ht="15">
      <c r="E2" s="163" t="s">
        <v>262</v>
      </c>
      <c r="F2" s="163" t="s">
        <v>483</v>
      </c>
    </row>
    <row r="3" spans="3:13" ht="15">
      <c r="C3" s="171" t="s">
        <v>283</v>
      </c>
      <c r="D3" s="169">
        <v>1</v>
      </c>
      <c r="E3" s="169">
        <v>0.5</v>
      </c>
      <c r="F3" s="169">
        <v>0.2</v>
      </c>
      <c r="G3" s="169">
        <v>0.1</v>
      </c>
      <c r="H3" s="169">
        <v>0.04</v>
      </c>
      <c r="I3" s="169">
        <v>0.02</v>
      </c>
      <c r="J3" s="407">
        <v>0.0133</v>
      </c>
      <c r="K3" s="169">
        <v>0.01</v>
      </c>
      <c r="L3" s="170">
        <v>0.005</v>
      </c>
      <c r="M3" s="170">
        <v>0.001</v>
      </c>
    </row>
    <row r="4" spans="3:15" ht="15">
      <c r="C4" s="169">
        <v>1</v>
      </c>
      <c r="D4" s="550"/>
      <c r="E4" s="550"/>
      <c r="F4" s="550"/>
      <c r="G4" s="550"/>
      <c r="H4" s="550"/>
      <c r="I4" s="550"/>
      <c r="J4" s="550"/>
      <c r="K4" s="550"/>
      <c r="L4" s="550"/>
      <c r="M4" s="550"/>
      <c r="O4" s="163" t="s">
        <v>505</v>
      </c>
    </row>
    <row r="5" spans="2:15" ht="15">
      <c r="B5" s="591" t="s">
        <v>294</v>
      </c>
      <c r="C5" s="169">
        <v>0.5</v>
      </c>
      <c r="D5" s="550"/>
      <c r="E5" s="550"/>
      <c r="F5" s="550"/>
      <c r="G5" s="550"/>
      <c r="H5" s="550"/>
      <c r="I5" s="550"/>
      <c r="J5" s="550"/>
      <c r="K5" s="550"/>
      <c r="L5" s="550"/>
      <c r="M5" s="550"/>
      <c r="O5" s="163" t="s">
        <v>292</v>
      </c>
    </row>
    <row r="6" spans="2:15" ht="15">
      <c r="B6" s="592"/>
      <c r="C6" s="169">
        <v>0.2</v>
      </c>
      <c r="D6" s="550"/>
      <c r="E6" s="550"/>
      <c r="F6" s="550"/>
      <c r="G6" s="550"/>
      <c r="H6" s="550"/>
      <c r="I6" s="550"/>
      <c r="J6" s="550"/>
      <c r="K6" s="550"/>
      <c r="L6" s="550"/>
      <c r="M6" s="550"/>
      <c r="O6" s="163" t="s">
        <v>915</v>
      </c>
    </row>
    <row r="7" spans="3:15" ht="15">
      <c r="C7" s="169">
        <v>0.1</v>
      </c>
      <c r="D7" s="550"/>
      <c r="E7" s="550"/>
      <c r="F7" s="550"/>
      <c r="G7" s="550"/>
      <c r="H7" s="550"/>
      <c r="I7" s="550"/>
      <c r="J7" s="550"/>
      <c r="K7" s="550"/>
      <c r="L7" s="550"/>
      <c r="M7" s="550"/>
      <c r="O7" s="163" t="s">
        <v>277</v>
      </c>
    </row>
    <row r="8" spans="3:15" ht="15">
      <c r="C8" s="169">
        <v>0.04</v>
      </c>
      <c r="D8" s="550"/>
      <c r="E8" s="550"/>
      <c r="F8" s="550"/>
      <c r="G8" s="550"/>
      <c r="H8" s="550"/>
      <c r="I8" s="550"/>
      <c r="J8" s="550"/>
      <c r="K8" s="550"/>
      <c r="L8" s="550"/>
      <c r="M8" s="550"/>
      <c r="O8" s="163" t="s">
        <v>606</v>
      </c>
    </row>
    <row r="9" spans="3:13" ht="15">
      <c r="C9" s="169">
        <v>0.02</v>
      </c>
      <c r="D9" s="550"/>
      <c r="E9" s="550"/>
      <c r="F9" s="550"/>
      <c r="G9" s="550"/>
      <c r="H9" s="550"/>
      <c r="I9" s="550"/>
      <c r="J9" s="550"/>
      <c r="K9" s="550"/>
      <c r="L9" s="550"/>
      <c r="M9" s="550"/>
    </row>
    <row r="10" spans="3:13" ht="15">
      <c r="C10" s="407">
        <v>0.0133</v>
      </c>
      <c r="D10" s="550"/>
      <c r="E10" s="550"/>
      <c r="F10" s="550"/>
      <c r="G10" s="550"/>
      <c r="H10" s="550"/>
      <c r="I10" s="550"/>
      <c r="J10" s="550"/>
      <c r="K10" s="550"/>
      <c r="L10" s="550"/>
      <c r="M10" s="550"/>
    </row>
    <row r="11" spans="3:13" ht="15">
      <c r="C11" s="169">
        <v>0.01</v>
      </c>
      <c r="D11" s="550"/>
      <c r="E11" s="550"/>
      <c r="F11" s="550"/>
      <c r="G11" s="550"/>
      <c r="H11" s="550"/>
      <c r="I11" s="550"/>
      <c r="J11" s="550"/>
      <c r="K11" s="550"/>
      <c r="L11" s="550"/>
      <c r="M11" s="550"/>
    </row>
    <row r="12" spans="3:13" ht="15">
      <c r="C12" s="170">
        <v>0.005</v>
      </c>
      <c r="D12" s="550"/>
      <c r="E12" s="550"/>
      <c r="F12" s="550"/>
      <c r="G12" s="550"/>
      <c r="H12" s="550"/>
      <c r="I12" s="550"/>
      <c r="J12" s="550"/>
      <c r="K12" s="550"/>
      <c r="L12" s="550"/>
      <c r="M12" s="550"/>
    </row>
    <row r="13" spans="3:13" ht="15">
      <c r="C13" s="170">
        <v>0.001</v>
      </c>
      <c r="D13" s="550"/>
      <c r="E13" s="550"/>
      <c r="F13" s="550"/>
      <c r="G13" s="550"/>
      <c r="H13" s="550"/>
      <c r="I13" s="550"/>
      <c r="J13" s="550"/>
      <c r="K13" s="550"/>
      <c r="L13" s="550"/>
      <c r="M13" s="550"/>
    </row>
    <row r="15" spans="4:13" ht="15">
      <c r="D15" s="169">
        <v>1</v>
      </c>
      <c r="E15" s="169">
        <v>0.5</v>
      </c>
      <c r="F15" s="169">
        <v>0.2</v>
      </c>
      <c r="G15" s="169">
        <v>0.1</v>
      </c>
      <c r="H15" s="169">
        <v>0.04</v>
      </c>
      <c r="I15" s="169">
        <v>0.02</v>
      </c>
      <c r="J15" s="407">
        <v>0.0133</v>
      </c>
      <c r="K15" s="169">
        <v>0.01</v>
      </c>
      <c r="L15" s="170">
        <v>0.005</v>
      </c>
      <c r="M15" s="170">
        <v>0.001</v>
      </c>
    </row>
    <row r="16" spans="4:13" ht="15">
      <c r="D16" s="553">
        <v>0.01</v>
      </c>
      <c r="E16" s="553">
        <v>0.02</v>
      </c>
      <c r="F16" s="553">
        <v>0.05</v>
      </c>
      <c r="G16" s="553">
        <v>0.1</v>
      </c>
      <c r="H16" s="553">
        <v>0.25</v>
      </c>
      <c r="I16" s="553">
        <v>0.8</v>
      </c>
      <c r="J16" s="553">
        <f>(K16-I16)*0.67+I16</f>
        <v>0.8871</v>
      </c>
      <c r="K16" s="553">
        <v>0.93</v>
      </c>
      <c r="L16" s="553">
        <f>(M16+K16)/2</f>
        <v>0.9650000000000001</v>
      </c>
      <c r="M16" s="553">
        <v>1</v>
      </c>
    </row>
    <row r="17" spans="3:13" ht="15">
      <c r="C17" s="275" t="s">
        <v>594</v>
      </c>
      <c r="D17" s="552"/>
      <c r="E17" s="189"/>
      <c r="F17" s="189"/>
      <c r="G17" s="189"/>
      <c r="H17" s="189"/>
      <c r="I17" s="189"/>
      <c r="J17" s="189"/>
      <c r="K17" s="189"/>
      <c r="L17" s="189"/>
      <c r="M17" s="189"/>
    </row>
    <row r="18" spans="1:14" ht="32.25" customHeight="1">
      <c r="A18" s="706" t="s">
        <v>595</v>
      </c>
      <c r="B18" s="592"/>
      <c r="C18" s="592"/>
      <c r="D18" s="278">
        <f aca="true" t="shared" si="0" ref="D18:I18">$D$17*D16</f>
        <v>0</v>
      </c>
      <c r="E18" s="278">
        <f t="shared" si="0"/>
        <v>0</v>
      </c>
      <c r="F18" s="278">
        <f t="shared" si="0"/>
        <v>0</v>
      </c>
      <c r="G18" s="278">
        <f t="shared" si="0"/>
        <v>0</v>
      </c>
      <c r="H18" s="278">
        <f t="shared" si="0"/>
        <v>0</v>
      </c>
      <c r="I18" s="278">
        <f t="shared" si="0"/>
        <v>0</v>
      </c>
      <c r="J18" s="278">
        <f aca="true" t="shared" si="1" ref="J18:M18">$D$17*J16</f>
        <v>0</v>
      </c>
      <c r="K18" s="278">
        <f t="shared" si="1"/>
        <v>0</v>
      </c>
      <c r="L18" s="278">
        <f t="shared" si="1"/>
        <v>0</v>
      </c>
      <c r="M18" s="278">
        <f t="shared" si="1"/>
        <v>0</v>
      </c>
      <c r="N18" s="163" t="s">
        <v>587</v>
      </c>
    </row>
    <row r="19" spans="1:13" ht="32.25" customHeight="1">
      <c r="A19" s="706" t="s">
        <v>607</v>
      </c>
      <c r="B19" s="591"/>
      <c r="C19" s="591"/>
      <c r="D19" s="278">
        <f>D18</f>
        <v>0</v>
      </c>
      <c r="E19" s="278">
        <f>E18-D18</f>
        <v>0</v>
      </c>
      <c r="F19" s="278">
        <f aca="true" t="shared" si="2" ref="F19:M19">F18-E18</f>
        <v>0</v>
      </c>
      <c r="G19" s="278">
        <f t="shared" si="2"/>
        <v>0</v>
      </c>
      <c r="H19" s="278">
        <f t="shared" si="2"/>
        <v>0</v>
      </c>
      <c r="I19" s="278">
        <f t="shared" si="2"/>
        <v>0</v>
      </c>
      <c r="J19" s="278">
        <f t="shared" si="2"/>
        <v>0</v>
      </c>
      <c r="K19" s="278">
        <f t="shared" si="2"/>
        <v>0</v>
      </c>
      <c r="L19" s="278">
        <f t="shared" si="2"/>
        <v>0</v>
      </c>
      <c r="M19" s="278">
        <f t="shared" si="2"/>
        <v>0</v>
      </c>
    </row>
    <row r="21" spans="3:13" ht="15">
      <c r="C21" s="298" t="s">
        <v>641</v>
      </c>
      <c r="D21" s="206">
        <v>1</v>
      </c>
      <c r="E21" s="206">
        <v>0.5</v>
      </c>
      <c r="F21" s="206">
        <v>0.2</v>
      </c>
      <c r="G21" s="206">
        <v>0.1</v>
      </c>
      <c r="H21" s="206">
        <v>0.04</v>
      </c>
      <c r="I21" s="206">
        <v>0.02</v>
      </c>
      <c r="J21" s="407">
        <v>0.0133</v>
      </c>
      <c r="K21" s="169">
        <v>0.01</v>
      </c>
      <c r="L21" s="170">
        <v>0.005</v>
      </c>
      <c r="M21" s="170">
        <v>0.001</v>
      </c>
    </row>
    <row r="22" spans="3:25" ht="30">
      <c r="C22" s="163" t="s">
        <v>377</v>
      </c>
      <c r="D22" s="554" t="s">
        <v>195</v>
      </c>
      <c r="E22" s="554" t="s">
        <v>195</v>
      </c>
      <c r="F22" s="554" t="s">
        <v>378</v>
      </c>
      <c r="G22" s="554" t="s">
        <v>378</v>
      </c>
      <c r="H22" s="554" t="s">
        <v>378</v>
      </c>
      <c r="I22" s="554" t="s">
        <v>378</v>
      </c>
      <c r="J22" s="554" t="s">
        <v>378</v>
      </c>
      <c r="K22" s="554" t="s">
        <v>378</v>
      </c>
      <c r="L22" s="554" t="s">
        <v>378</v>
      </c>
      <c r="M22" s="554" t="s">
        <v>378</v>
      </c>
      <c r="O22" s="591"/>
      <c r="P22" s="590"/>
      <c r="Q22" s="590"/>
      <c r="R22" s="590"/>
      <c r="S22" s="590"/>
      <c r="T22" s="590"/>
      <c r="U22" s="590"/>
      <c r="V22" s="590"/>
      <c r="W22" s="590"/>
      <c r="X22" s="590"/>
      <c r="Y22" s="590"/>
    </row>
    <row r="23" spans="4:25" ht="15">
      <c r="D23" s="296"/>
      <c r="E23" s="296"/>
      <c r="F23" s="296"/>
      <c r="G23" s="296"/>
      <c r="H23" s="296"/>
      <c r="I23" s="296"/>
      <c r="J23" s="397"/>
      <c r="K23" s="296"/>
      <c r="L23" s="397"/>
      <c r="M23" s="296"/>
      <c r="O23" s="296"/>
      <c r="P23" s="276"/>
      <c r="Q23" s="276"/>
      <c r="R23" s="276"/>
      <c r="S23" s="276"/>
      <c r="T23" s="276"/>
      <c r="U23" s="276"/>
      <c r="V23" s="276"/>
      <c r="W23" s="276"/>
      <c r="X23" s="276"/>
      <c r="Y23" s="276"/>
    </row>
    <row r="24" spans="3:7" ht="30">
      <c r="C24" s="298" t="str">
        <f>C21</f>
        <v>BUSINESS PROPERTIES</v>
      </c>
      <c r="D24" s="296" t="s">
        <v>195</v>
      </c>
      <c r="G24" s="296"/>
    </row>
    <row r="25" spans="3:10" ht="15">
      <c r="C25" s="375" t="s">
        <v>107</v>
      </c>
      <c r="D25" s="555">
        <v>250000</v>
      </c>
      <c r="E25" s="276" t="s">
        <v>642</v>
      </c>
      <c r="F25" s="276"/>
      <c r="G25" s="296"/>
      <c r="H25" s="168"/>
      <c r="I25" s="296"/>
      <c r="J25" s="397"/>
    </row>
    <row r="26" spans="3:10" ht="15">
      <c r="C26" s="298" t="s">
        <v>108</v>
      </c>
      <c r="D26" s="555"/>
      <c r="E26" s="276" t="s">
        <v>645</v>
      </c>
      <c r="F26" s="276"/>
      <c r="G26" s="296"/>
      <c r="H26" s="168"/>
      <c r="I26" s="296"/>
      <c r="J26" s="397"/>
    </row>
    <row r="27" spans="3:10" ht="15">
      <c r="C27" s="298" t="s">
        <v>109</v>
      </c>
      <c r="D27" s="555"/>
      <c r="E27" s="276" t="s">
        <v>646</v>
      </c>
      <c r="F27" s="276"/>
      <c r="G27" s="296"/>
      <c r="H27" s="168"/>
      <c r="I27" s="296"/>
      <c r="J27" s="397"/>
    </row>
    <row r="28" spans="3:10" ht="15">
      <c r="C28" s="298" t="s">
        <v>110</v>
      </c>
      <c r="D28" s="555"/>
      <c r="E28" s="276" t="s">
        <v>647</v>
      </c>
      <c r="F28" s="276"/>
      <c r="G28" s="296"/>
      <c r="H28" s="168"/>
      <c r="I28" s="296"/>
      <c r="J28" s="397"/>
    </row>
    <row r="29" spans="3:10" ht="15">
      <c r="C29" s="298" t="s">
        <v>111</v>
      </c>
      <c r="D29" s="555"/>
      <c r="E29" s="276" t="s">
        <v>648</v>
      </c>
      <c r="F29" s="276"/>
      <c r="G29" s="296"/>
      <c r="H29" s="168"/>
      <c r="I29" s="296"/>
      <c r="J29" s="397"/>
    </row>
    <row r="30" spans="3:5" ht="15">
      <c r="C30" s="298" t="s">
        <v>112</v>
      </c>
      <c r="D30" s="555"/>
      <c r="E30" s="276" t="s">
        <v>649</v>
      </c>
    </row>
    <row r="31" spans="3:4" ht="15">
      <c r="C31" s="298"/>
      <c r="D31" s="163" t="s">
        <v>386</v>
      </c>
    </row>
    <row r="32" ht="15">
      <c r="D32" s="163" t="s">
        <v>387</v>
      </c>
    </row>
    <row r="33" spans="1:5" ht="27.75" customHeight="1">
      <c r="A33" s="706" t="s">
        <v>639</v>
      </c>
      <c r="B33" s="592"/>
      <c r="C33" s="592"/>
      <c r="D33" s="556">
        <v>25</v>
      </c>
      <c r="E33" s="163" t="s">
        <v>391</v>
      </c>
    </row>
    <row r="34" spans="1:5" ht="15">
      <c r="A34" s="296"/>
      <c r="B34" s="296"/>
      <c r="C34" s="298" t="s">
        <v>390</v>
      </c>
      <c r="D34" s="162">
        <f>VLOOKUP(D33-1,Sheet1!A$15:C$114,3,FALSE)</f>
        <v>17.058367603016084</v>
      </c>
      <c r="E34" s="163" t="str">
        <f>"Sum of discount factors from year 0 to year "&amp;D33</f>
        <v>Sum of discount factors from year 0 to year 25</v>
      </c>
    </row>
    <row r="35" spans="1:5" ht="15">
      <c r="A35" s="329"/>
      <c r="B35" s="329"/>
      <c r="C35" s="330" t="s">
        <v>785</v>
      </c>
      <c r="D35" s="178">
        <v>0.5</v>
      </c>
      <c r="E35" s="163" t="s">
        <v>786</v>
      </c>
    </row>
    <row r="36" spans="3:5" ht="15">
      <c r="C36" s="298" t="s">
        <v>389</v>
      </c>
      <c r="D36" s="308">
        <f>D25/D34/E53-D25/D34/E53*D35</f>
        <v>17.60372637562664</v>
      </c>
      <c r="E36" s="163" t="s">
        <v>644</v>
      </c>
    </row>
    <row r="37" spans="3:5" ht="15">
      <c r="C37" s="298" t="s">
        <v>108</v>
      </c>
      <c r="D37" s="308">
        <f>D26/D34-D26/D34*D35</f>
        <v>0</v>
      </c>
      <c r="E37" s="163" t="s">
        <v>644</v>
      </c>
    </row>
    <row r="38" spans="3:5" ht="15">
      <c r="C38" s="298" t="s">
        <v>109</v>
      </c>
      <c r="D38" s="308">
        <f>D27/D34-D27/D34*D35</f>
        <v>0</v>
      </c>
      <c r="E38" s="163" t="s">
        <v>644</v>
      </c>
    </row>
    <row r="39" spans="3:5" ht="15">
      <c r="C39" s="298" t="s">
        <v>110</v>
      </c>
      <c r="D39" s="308">
        <f>D28/D34-D28/D34*D35</f>
        <v>0</v>
      </c>
      <c r="E39" s="163" t="s">
        <v>644</v>
      </c>
    </row>
    <row r="40" spans="3:5" ht="15">
      <c r="C40" s="298" t="s">
        <v>111</v>
      </c>
      <c r="D40" s="308">
        <f>D29/D34-D29/D34*D35</f>
        <v>0</v>
      </c>
      <c r="E40" s="163" t="s">
        <v>644</v>
      </c>
    </row>
    <row r="41" spans="3:5" ht="15">
      <c r="C41" s="298" t="s">
        <v>112</v>
      </c>
      <c r="D41" s="308">
        <f>D30/D34-D30/D34*D35</f>
        <v>0</v>
      </c>
      <c r="E41" s="163" t="s">
        <v>644</v>
      </c>
    </row>
    <row r="42" spans="3:4" ht="15">
      <c r="C42" s="298"/>
      <c r="D42" s="309"/>
    </row>
    <row r="43" spans="2:13" ht="33" customHeight="1">
      <c r="B43" s="591" t="s">
        <v>282</v>
      </c>
      <c r="C43" s="590"/>
      <c r="D43" s="169">
        <v>1</v>
      </c>
      <c r="E43" s="169">
        <v>0.5</v>
      </c>
      <c r="F43" s="169">
        <v>0.2</v>
      </c>
      <c r="G43" s="169">
        <v>0.1</v>
      </c>
      <c r="H43" s="169">
        <v>0.04</v>
      </c>
      <c r="I43" s="169">
        <v>0.02</v>
      </c>
      <c r="J43" s="407">
        <v>0.0133</v>
      </c>
      <c r="K43" s="169">
        <v>0.01</v>
      </c>
      <c r="L43" s="170">
        <v>0.005</v>
      </c>
      <c r="M43" s="170">
        <v>0.001</v>
      </c>
    </row>
    <row r="44" spans="2:14" ht="15">
      <c r="B44" s="242"/>
      <c r="C44" s="276"/>
      <c r="D44" s="199">
        <f>D45/$D$45</f>
        <v>1</v>
      </c>
      <c r="E44" s="199">
        <f aca="true" t="shared" si="3" ref="E44">E45/$D$45</f>
        <v>1</v>
      </c>
      <c r="F44" s="199">
        <f>IF(F45/$D$45&gt;1,0.72,F45/$D$45)</f>
        <v>0.72</v>
      </c>
      <c r="G44" s="199">
        <f>IF(G45/$D$45&gt;1,0.42,IF(G45/$F$45&gt;=F44,0.42,G45/$F$45))</f>
        <v>0.5882230666038492</v>
      </c>
      <c r="H44" s="199">
        <f>IF(H45/$D$45&gt;1,0.23,IF(H45/$F$45&gt;=G44,0.23,H45/$F$45))</f>
        <v>0.3190324601806128</v>
      </c>
      <c r="I44" s="199">
        <f>IF(I45/$D$45&gt;1,0.11,IF(I45/$F$45&gt;=H44,0.11,I45/$F$45))</f>
        <v>0.15058386858767778</v>
      </c>
      <c r="J44" s="199">
        <f>IF(J45/$D$45&gt;1,0.03,IF(J45/$F$45&gt;=I44,0.03,J45/$F$45))</f>
        <v>0.07548650722667177</v>
      </c>
      <c r="K44" s="199">
        <f>IF(K45/$D$45&gt;1,0.03,IF(K45/$F$45&gt;=J44,0.03,K45/$F$45))</f>
        <v>0.03813239947900169</v>
      </c>
      <c r="L44" s="199">
        <f>IF(L45/$D$45&gt;1,0.01,IF(L45/$F$45&gt;=K44,0.01,L45/$F$45))</f>
        <v>0.017864723005257294</v>
      </c>
      <c r="M44" s="199">
        <f>IF(M45/$D$45&gt;1,0,IF(M45/$F$45&gt;=L44,0,M45/$F$45))</f>
        <v>0</v>
      </c>
      <c r="N44" s="163" t="s">
        <v>608</v>
      </c>
    </row>
    <row r="45" spans="3:15" ht="15">
      <c r="C45" s="171" t="s">
        <v>107</v>
      </c>
      <c r="D45" s="179">
        <f aca="true" t="shared" si="4" ref="D45:M45">IF(D22="One-off loss",D46*$G$54+D47*$G$55+D48*$G$56+D49*$G$57+D50*$G$58,$D36)</f>
        <v>17.60372637562664</v>
      </c>
      <c r="E45" s="179">
        <f t="shared" si="4"/>
        <v>17.60372637562664</v>
      </c>
      <c r="F45" s="179">
        <f>IF(F22="One-off loss",F46*$G$54+F47*$G$55+F48*$G$56+F49*$G$57+F50*$G$58,$D36)</f>
        <v>19.958300549651398</v>
      </c>
      <c r="G45" s="179">
        <f t="shared" si="4"/>
        <v>11.739932753517232</v>
      </c>
      <c r="H45" s="179">
        <f t="shared" si="4"/>
        <v>6.367345725379362</v>
      </c>
      <c r="I45" s="179">
        <f t="shared" si="4"/>
        <v>3.0053981072020832</v>
      </c>
      <c r="J45" s="179">
        <f>IF(J22="One-off loss",J46*$G$54+J47*$G$55+J48*$G$56+J49*$G$57+J50*$G$58,$D36)</f>
        <v>1.5065823986733475</v>
      </c>
      <c r="K45" s="179">
        <f t="shared" si="4"/>
        <v>0.761057889481286</v>
      </c>
      <c r="L45" s="179">
        <f t="shared" si="4"/>
        <v>0.3565495109751966</v>
      </c>
      <c r="M45" s="179">
        <f t="shared" si="4"/>
        <v>0</v>
      </c>
      <c r="N45" s="163" t="s">
        <v>114</v>
      </c>
      <c r="O45" s="163" t="s">
        <v>116</v>
      </c>
    </row>
    <row r="46" spans="3:15" ht="15">
      <c r="C46" s="171" t="s">
        <v>108</v>
      </c>
      <c r="D46" s="185">
        <f>IF(D$22="One-off loss",26.9,$D37)</f>
        <v>0</v>
      </c>
      <c r="E46" s="185">
        <f>IF(E22="One-off loss",25,$D37)</f>
        <v>0</v>
      </c>
      <c r="F46" s="185">
        <f>IF(F22="One-off loss",19.2,$D37)</f>
        <v>19.2</v>
      </c>
      <c r="G46" s="185">
        <f>IF(G22="One-off loss",11.4,$D37)</f>
        <v>11.4</v>
      </c>
      <c r="H46" s="185">
        <f>IF(H22="One-off loss",6.2,$D37)</f>
        <v>6.2</v>
      </c>
      <c r="I46" s="185">
        <f>IF(I22="One-off loss",2.9,$D37)</f>
        <v>2.9</v>
      </c>
      <c r="J46" s="185">
        <f>IF(J$22="One-off loss",(I46+K46)/2.5,$D37)</f>
        <v>1.44</v>
      </c>
      <c r="K46" s="185">
        <f>IF(K22="One-off loss",0.7,$D37)</f>
        <v>0.7</v>
      </c>
      <c r="L46" s="185">
        <f>IF(L22="One-off loss",0.4,$D37)</f>
        <v>0.4</v>
      </c>
      <c r="M46" s="185">
        <v>0</v>
      </c>
      <c r="N46" s="163" t="s">
        <v>114</v>
      </c>
      <c r="O46" s="163" t="s">
        <v>286</v>
      </c>
    </row>
    <row r="47" spans="3:14" ht="15">
      <c r="C47" s="171" t="s">
        <v>109</v>
      </c>
      <c r="D47" s="185">
        <f>IF(D22="One-off loss",32.2,$D38)</f>
        <v>0</v>
      </c>
      <c r="E47" s="185">
        <f>IF(E22="One-off loss",29.9,$D38)</f>
        <v>0</v>
      </c>
      <c r="F47" s="185">
        <f>IF(F22="One-off loss",23.1,$D38)</f>
        <v>23.1</v>
      </c>
      <c r="G47" s="185">
        <f>IF(G22="One-off loss",13.6,$D38)</f>
        <v>13.6</v>
      </c>
      <c r="H47" s="185">
        <f>IF(H22="One-off loss",7.4,$D38)</f>
        <v>7.4</v>
      </c>
      <c r="I47" s="185">
        <f>IF(I22="One-off loss",3.5,$D38)</f>
        <v>3.5</v>
      </c>
      <c r="J47" s="185">
        <f>IF(J$22="One-off loss",(I47+K47)/2.5,$D38)</f>
        <v>1.7600000000000002</v>
      </c>
      <c r="K47" s="185">
        <f>IF(K22="One-off loss",0.9,$D38)</f>
        <v>0.9</v>
      </c>
      <c r="L47" s="185">
        <f>IF(L22="One-off loss",0.4,$D38)</f>
        <v>0.4</v>
      </c>
      <c r="M47" s="185">
        <v>0</v>
      </c>
      <c r="N47" s="163" t="s">
        <v>114</v>
      </c>
    </row>
    <row r="48" spans="3:14" ht="15">
      <c r="C48" s="171" t="s">
        <v>110</v>
      </c>
      <c r="D48" s="185">
        <f>IF(D22="One-off loss",25.8,$D39)</f>
        <v>0</v>
      </c>
      <c r="E48" s="185">
        <f>IF(E22="One-off loss",24,$D39)</f>
        <v>0</v>
      </c>
      <c r="F48" s="185">
        <f>IF(F22="One-off loss",18.7,$D39)</f>
        <v>18.7</v>
      </c>
      <c r="G48" s="185">
        <f>IF(G22="One-off loss",11,$D39)</f>
        <v>11</v>
      </c>
      <c r="H48" s="185">
        <f>IF(H22="One-off loss",6,$D39)</f>
        <v>6</v>
      </c>
      <c r="I48" s="185">
        <f>IF(I22="One-off loss",2.8,$D39)</f>
        <v>2.8</v>
      </c>
      <c r="J48" s="185">
        <f>IF(J$22="One-off loss",(I48+K48)/2.5,$D39)</f>
        <v>1.4</v>
      </c>
      <c r="K48" s="185">
        <f>IF(K22="One-off loss",0.7,$D39)</f>
        <v>0.7</v>
      </c>
      <c r="L48" s="185">
        <f>IF(L22="One-off loss",0.4,$D39)</f>
        <v>0.4</v>
      </c>
      <c r="M48" s="185">
        <v>0</v>
      </c>
      <c r="N48" s="163" t="s">
        <v>114</v>
      </c>
    </row>
    <row r="49" spans="3:14" ht="15">
      <c r="C49" s="171" t="s">
        <v>111</v>
      </c>
      <c r="D49" s="185">
        <f>IF(D22="One-off loss",25.2,$D40)</f>
        <v>0</v>
      </c>
      <c r="E49" s="185">
        <f>IF(E22="One-off loss",23.4,$D40)</f>
        <v>0</v>
      </c>
      <c r="F49" s="185">
        <f>IF(F22="One-off loss",18.1,$D40)</f>
        <v>18.1</v>
      </c>
      <c r="G49" s="185">
        <f>IF(G22="One-off loss",10.6,$D40)</f>
        <v>10.6</v>
      </c>
      <c r="H49" s="185">
        <f>IF(H22="One-off loss",5.7,$D40)</f>
        <v>5.7</v>
      </c>
      <c r="I49" s="185">
        <f>IF(I22="One-off loss",2.7,$D40)</f>
        <v>2.7</v>
      </c>
      <c r="J49" s="185">
        <f>IF(J$22="One-off loss",(I49+K49)/2.5,$D40)</f>
        <v>1.36</v>
      </c>
      <c r="K49" s="185">
        <f>IF(K22="One-off loss",0.7,$D40)</f>
        <v>0.7</v>
      </c>
      <c r="L49" s="185">
        <f>IF(L22="One-off loss",0.3,$D40)</f>
        <v>0.3</v>
      </c>
      <c r="M49" s="185">
        <v>0</v>
      </c>
      <c r="N49" s="163" t="s">
        <v>114</v>
      </c>
    </row>
    <row r="50" spans="3:24" ht="15">
      <c r="C50" s="171" t="s">
        <v>112</v>
      </c>
      <c r="D50" s="185">
        <f>IF(D22="One-off loss",25.8,$D41)</f>
        <v>0</v>
      </c>
      <c r="E50" s="185">
        <f>IF(E22="One-off loss",24,$D41)</f>
        <v>0</v>
      </c>
      <c r="F50" s="185">
        <f>IF(F22="One-off loss",18.6,$D41)</f>
        <v>18.6</v>
      </c>
      <c r="G50" s="185">
        <f>IF(G22="One-off loss",10.9,$D41)</f>
        <v>10.9</v>
      </c>
      <c r="H50" s="185">
        <f>IF(H22="One-off loss",5.9,$D41)</f>
        <v>5.9</v>
      </c>
      <c r="I50" s="185">
        <f>IF(I22="One-off loss",2.8,$D41)</f>
        <v>2.8</v>
      </c>
      <c r="J50" s="185">
        <f>IF(J$22="One-off loss",(I50+K50)/2.5,$D41)</f>
        <v>1.4</v>
      </c>
      <c r="K50" s="185">
        <f>IF(K22="One-off loss",0.7,$D41)</f>
        <v>0.7</v>
      </c>
      <c r="L50" s="185">
        <f>IF(L22="One-off loss",0.3,$D41)</f>
        <v>0.3</v>
      </c>
      <c r="M50" s="185">
        <v>0</v>
      </c>
      <c r="N50" s="163" t="s">
        <v>114</v>
      </c>
      <c r="Q50" s="168"/>
      <c r="R50" s="172"/>
      <c r="S50" s="172"/>
      <c r="T50" s="172"/>
      <c r="U50" s="172"/>
      <c r="V50" s="172"/>
      <c r="W50" s="172"/>
      <c r="X50" s="172"/>
    </row>
    <row r="51" spans="17:24" ht="15">
      <c r="Q51" s="168"/>
      <c r="R51" s="172"/>
      <c r="S51" s="172"/>
      <c r="T51" s="172"/>
      <c r="U51" s="172"/>
      <c r="V51" s="172"/>
      <c r="W51" s="172"/>
      <c r="X51" s="172"/>
    </row>
    <row r="52" spans="4:24" ht="32.25">
      <c r="D52" s="180" t="s">
        <v>287</v>
      </c>
      <c r="E52" s="182" t="s">
        <v>288</v>
      </c>
      <c r="F52" s="182" t="s">
        <v>289</v>
      </c>
      <c r="G52" s="177" t="s">
        <v>285</v>
      </c>
      <c r="Q52" s="168"/>
      <c r="R52" s="172"/>
      <c r="S52" s="172"/>
      <c r="T52" s="172"/>
      <c r="U52" s="172"/>
      <c r="V52" s="172"/>
      <c r="W52" s="172"/>
      <c r="X52" s="172"/>
    </row>
    <row r="53" spans="3:24" ht="15">
      <c r="C53" s="171" t="s">
        <v>107</v>
      </c>
      <c r="D53" s="279">
        <f>D17</f>
        <v>0</v>
      </c>
      <c r="E53" s="183">
        <f>E54*G54+E55*G55+E56*G56+E57*G57+E58*G58</f>
        <v>416.2631194165582</v>
      </c>
      <c r="F53" s="183">
        <f>D53*E53</f>
        <v>0</v>
      </c>
      <c r="H53" s="163" t="s">
        <v>115</v>
      </c>
      <c r="Q53" s="168"/>
      <c r="R53" s="172"/>
      <c r="S53" s="172"/>
      <c r="T53" s="172"/>
      <c r="U53" s="172"/>
      <c r="V53" s="172"/>
      <c r="W53" s="172"/>
      <c r="X53" s="172"/>
    </row>
    <row r="54" spans="3:24" ht="15">
      <c r="C54" s="171" t="s">
        <v>108</v>
      </c>
      <c r="D54" s="497"/>
      <c r="E54" s="183">
        <v>798</v>
      </c>
      <c r="F54" s="556">
        <f>D54*E54</f>
        <v>0</v>
      </c>
      <c r="G54" s="178">
        <f>IF(D54="",14.5441972325743%,D54/SUM($D$54:$D$58))</f>
        <v>0.145441972325743</v>
      </c>
      <c r="I54" s="167"/>
      <c r="J54" s="167"/>
      <c r="Q54" s="168"/>
      <c r="R54" s="172"/>
      <c r="S54" s="172"/>
      <c r="T54" s="172"/>
      <c r="U54" s="172"/>
      <c r="V54" s="172"/>
      <c r="W54" s="172"/>
      <c r="X54" s="172"/>
    </row>
    <row r="55" spans="3:24" ht="15">
      <c r="C55" s="171" t="s">
        <v>109</v>
      </c>
      <c r="D55" s="497"/>
      <c r="E55" s="183">
        <v>194</v>
      </c>
      <c r="F55" s="556">
        <f aca="true" t="shared" si="5" ref="F55:F58">D55*E55</f>
        <v>0</v>
      </c>
      <c r="G55" s="178">
        <f>IF(D55="",30.528944740643%,D55/SUM(D54:D58))</f>
        <v>0.30528944740643</v>
      </c>
      <c r="I55" s="167"/>
      <c r="J55" s="167"/>
      <c r="Q55" s="168"/>
      <c r="R55" s="172"/>
      <c r="S55" s="172"/>
      <c r="T55" s="172"/>
      <c r="U55" s="172"/>
      <c r="V55" s="172"/>
      <c r="W55" s="172"/>
      <c r="X55" s="172"/>
    </row>
    <row r="56" spans="3:24" ht="15">
      <c r="C56" s="171" t="s">
        <v>110</v>
      </c>
      <c r="D56" s="497"/>
      <c r="E56" s="183">
        <v>772</v>
      </c>
      <c r="F56" s="556">
        <f t="shared" si="5"/>
        <v>0</v>
      </c>
      <c r="G56" s="178">
        <f>IF(D56="",11.4763690019793%,D56/SUM(D54:D58))</f>
        <v>0.114763690019793</v>
      </c>
      <c r="I56" s="167"/>
      <c r="J56" s="167"/>
      <c r="R56" s="172"/>
      <c r="S56" s="172"/>
      <c r="T56" s="172"/>
      <c r="U56" s="172"/>
      <c r="V56" s="172"/>
      <c r="W56" s="172"/>
      <c r="X56" s="172"/>
    </row>
    <row r="57" spans="3:24" ht="15">
      <c r="C57" s="171" t="s">
        <v>111</v>
      </c>
      <c r="D57" s="497"/>
      <c r="E57" s="183">
        <v>290</v>
      </c>
      <c r="F57" s="556">
        <f t="shared" si="5"/>
        <v>0</v>
      </c>
      <c r="G57" s="178">
        <f>IF(D57="",22.8487032149926%,D57/SUM(D54:D58))</f>
        <v>0.228487032149926</v>
      </c>
      <c r="I57" s="167"/>
      <c r="J57" s="167"/>
      <c r="R57" s="172"/>
      <c r="S57" s="172"/>
      <c r="T57" s="172"/>
      <c r="U57" s="172"/>
      <c r="V57" s="172"/>
      <c r="W57" s="172"/>
      <c r="X57" s="172"/>
    </row>
    <row r="58" spans="3:24" ht="15">
      <c r="C58" s="171" t="s">
        <v>112</v>
      </c>
      <c r="D58" s="497"/>
      <c r="E58" s="183">
        <v>418</v>
      </c>
      <c r="F58" s="556">
        <f t="shared" si="5"/>
        <v>0</v>
      </c>
      <c r="G58" s="178">
        <f>IF(D58="",20.6017858098108%,D58/SUM(D54:D58))</f>
        <v>0.206017858098108</v>
      </c>
      <c r="I58" s="167"/>
      <c r="J58" s="167"/>
      <c r="R58" s="172"/>
      <c r="S58" s="172"/>
      <c r="T58" s="172"/>
      <c r="U58" s="172"/>
      <c r="V58" s="172"/>
      <c r="W58" s="172"/>
      <c r="X58" s="172"/>
    </row>
    <row r="59" spans="3:24" ht="15">
      <c r="C59" s="171"/>
      <c r="D59" s="171"/>
      <c r="R59" s="172"/>
      <c r="S59" s="172"/>
      <c r="T59" s="172"/>
      <c r="U59" s="172"/>
      <c r="V59" s="172"/>
      <c r="W59" s="172"/>
      <c r="X59" s="172"/>
    </row>
    <row r="60" spans="5:6" ht="15">
      <c r="E60" s="163" t="s">
        <v>262</v>
      </c>
      <c r="F60" s="163" t="s">
        <v>483</v>
      </c>
    </row>
    <row r="61" spans="3:13" ht="15">
      <c r="C61" s="171" t="s">
        <v>290</v>
      </c>
      <c r="D61" s="169">
        <v>1</v>
      </c>
      <c r="E61" s="169">
        <v>0.5</v>
      </c>
      <c r="F61" s="169">
        <v>0.2</v>
      </c>
      <c r="G61" s="169">
        <v>0.1</v>
      </c>
      <c r="H61" s="169">
        <v>0.04</v>
      </c>
      <c r="I61" s="169">
        <v>0.02</v>
      </c>
      <c r="J61" s="407">
        <v>0.0133</v>
      </c>
      <c r="K61" s="169">
        <v>0.01</v>
      </c>
      <c r="L61" s="170">
        <v>0.005</v>
      </c>
      <c r="M61" s="170">
        <v>0.001</v>
      </c>
    </row>
    <row r="62" spans="3:15" ht="15">
      <c r="C62" s="169">
        <v>1</v>
      </c>
      <c r="D62" s="557">
        <f aca="true" t="shared" si="6" ref="D62:I67">D4*$E$53</f>
        <v>0</v>
      </c>
      <c r="E62" s="557">
        <f t="shared" si="6"/>
        <v>0</v>
      </c>
      <c r="F62" s="557">
        <f t="shared" si="6"/>
        <v>0</v>
      </c>
      <c r="G62" s="557">
        <f t="shared" si="6"/>
        <v>0</v>
      </c>
      <c r="H62" s="557">
        <f t="shared" si="6"/>
        <v>0</v>
      </c>
      <c r="I62" s="557">
        <f t="shared" si="6"/>
        <v>0</v>
      </c>
      <c r="J62" s="557">
        <f aca="true" t="shared" si="7" ref="J62">J4*$E$53</f>
        <v>0</v>
      </c>
      <c r="K62" s="557">
        <f aca="true" t="shared" si="8" ref="K62:L67">K4*$E$53</f>
        <v>0</v>
      </c>
      <c r="L62" s="557">
        <f t="shared" si="8"/>
        <v>0</v>
      </c>
      <c r="M62" s="557">
        <f aca="true" t="shared" si="9" ref="M62:M67">M4*$E$53</f>
        <v>0</v>
      </c>
      <c r="O62" s="163" t="s">
        <v>291</v>
      </c>
    </row>
    <row r="63" spans="2:15" ht="15">
      <c r="B63" s="591" t="s">
        <v>295</v>
      </c>
      <c r="C63" s="169">
        <v>0.5</v>
      </c>
      <c r="D63" s="557">
        <f t="shared" si="6"/>
        <v>0</v>
      </c>
      <c r="E63" s="557">
        <f t="shared" si="6"/>
        <v>0</v>
      </c>
      <c r="F63" s="557">
        <f t="shared" si="6"/>
        <v>0</v>
      </c>
      <c r="G63" s="557">
        <f t="shared" si="6"/>
        <v>0</v>
      </c>
      <c r="H63" s="557">
        <f t="shared" si="6"/>
        <v>0</v>
      </c>
      <c r="I63" s="557">
        <f t="shared" si="6"/>
        <v>0</v>
      </c>
      <c r="J63" s="557">
        <f aca="true" t="shared" si="10" ref="J63">J5*$E$53</f>
        <v>0</v>
      </c>
      <c r="K63" s="557">
        <f t="shared" si="8"/>
        <v>0</v>
      </c>
      <c r="L63" s="557">
        <f t="shared" si="8"/>
        <v>0</v>
      </c>
      <c r="M63" s="557">
        <f t="shared" si="9"/>
        <v>0</v>
      </c>
      <c r="O63" s="163" t="s">
        <v>293</v>
      </c>
    </row>
    <row r="64" spans="2:15" ht="17.25">
      <c r="B64" s="592"/>
      <c r="C64" s="169">
        <v>0.2</v>
      </c>
      <c r="D64" s="557">
        <f t="shared" si="6"/>
        <v>0</v>
      </c>
      <c r="E64" s="557">
        <f t="shared" si="6"/>
        <v>0</v>
      </c>
      <c r="F64" s="557">
        <f t="shared" si="6"/>
        <v>0</v>
      </c>
      <c r="G64" s="557">
        <f t="shared" si="6"/>
        <v>0</v>
      </c>
      <c r="H64" s="557">
        <f t="shared" si="6"/>
        <v>0</v>
      </c>
      <c r="I64" s="557">
        <f t="shared" si="6"/>
        <v>0</v>
      </c>
      <c r="J64" s="557">
        <f aca="true" t="shared" si="11" ref="J64">J6*$E$53</f>
        <v>0</v>
      </c>
      <c r="K64" s="557">
        <f t="shared" si="8"/>
        <v>0</v>
      </c>
      <c r="L64" s="557">
        <f t="shared" si="8"/>
        <v>0</v>
      </c>
      <c r="M64" s="557">
        <f t="shared" si="9"/>
        <v>0</v>
      </c>
      <c r="O64" s="163" t="s">
        <v>978</v>
      </c>
    </row>
    <row r="65" spans="3:15" ht="15">
      <c r="C65" s="169">
        <v>0.1</v>
      </c>
      <c r="D65" s="557">
        <f t="shared" si="6"/>
        <v>0</v>
      </c>
      <c r="E65" s="557">
        <f t="shared" si="6"/>
        <v>0</v>
      </c>
      <c r="F65" s="557">
        <f t="shared" si="6"/>
        <v>0</v>
      </c>
      <c r="G65" s="557">
        <f t="shared" si="6"/>
        <v>0</v>
      </c>
      <c r="H65" s="557">
        <f t="shared" si="6"/>
        <v>0</v>
      </c>
      <c r="I65" s="557">
        <f t="shared" si="6"/>
        <v>0</v>
      </c>
      <c r="J65" s="557">
        <f aca="true" t="shared" si="12" ref="J65">J7*$E$53</f>
        <v>0</v>
      </c>
      <c r="K65" s="557">
        <f t="shared" si="8"/>
        <v>0</v>
      </c>
      <c r="L65" s="557">
        <f t="shared" si="8"/>
        <v>0</v>
      </c>
      <c r="M65" s="557">
        <f t="shared" si="9"/>
        <v>0</v>
      </c>
      <c r="O65" s="163" t="s">
        <v>297</v>
      </c>
    </row>
    <row r="66" spans="3:15" ht="17.25">
      <c r="C66" s="169">
        <v>0.04</v>
      </c>
      <c r="D66" s="557">
        <f t="shared" si="6"/>
        <v>0</v>
      </c>
      <c r="E66" s="557">
        <f t="shared" si="6"/>
        <v>0</v>
      </c>
      <c r="F66" s="557">
        <f t="shared" si="6"/>
        <v>0</v>
      </c>
      <c r="G66" s="557">
        <f t="shared" si="6"/>
        <v>0</v>
      </c>
      <c r="H66" s="557">
        <f t="shared" si="6"/>
        <v>0</v>
      </c>
      <c r="I66" s="557">
        <f t="shared" si="6"/>
        <v>0</v>
      </c>
      <c r="J66" s="557">
        <f aca="true" t="shared" si="13" ref="J66">J8*$E$53</f>
        <v>0</v>
      </c>
      <c r="K66" s="557">
        <f t="shared" si="8"/>
        <v>0</v>
      </c>
      <c r="L66" s="557">
        <f t="shared" si="8"/>
        <v>0</v>
      </c>
      <c r="M66" s="557">
        <f t="shared" si="9"/>
        <v>0</v>
      </c>
      <c r="O66" s="163" t="s">
        <v>968</v>
      </c>
    </row>
    <row r="67" spans="3:13" ht="15">
      <c r="C67" s="169">
        <v>0.02</v>
      </c>
      <c r="D67" s="557">
        <f t="shared" si="6"/>
        <v>0</v>
      </c>
      <c r="E67" s="557">
        <f t="shared" si="6"/>
        <v>0</v>
      </c>
      <c r="F67" s="557">
        <f t="shared" si="6"/>
        <v>0</v>
      </c>
      <c r="G67" s="557">
        <f t="shared" si="6"/>
        <v>0</v>
      </c>
      <c r="H67" s="557">
        <f t="shared" si="6"/>
        <v>0</v>
      </c>
      <c r="I67" s="557">
        <f t="shared" si="6"/>
        <v>0</v>
      </c>
      <c r="J67" s="557">
        <f>J9*$E$53</f>
        <v>0</v>
      </c>
      <c r="K67" s="557">
        <f t="shared" si="8"/>
        <v>0</v>
      </c>
      <c r="L67" s="557">
        <f t="shared" si="8"/>
        <v>0</v>
      </c>
      <c r="M67" s="557">
        <f t="shared" si="9"/>
        <v>0</v>
      </c>
    </row>
    <row r="68" spans="3:13" ht="15">
      <c r="C68" s="407">
        <v>0.0133</v>
      </c>
      <c r="D68" s="557">
        <f aca="true" t="shared" si="14" ref="D68:K68">D10*$E$53</f>
        <v>0</v>
      </c>
      <c r="E68" s="557">
        <f t="shared" si="14"/>
        <v>0</v>
      </c>
      <c r="F68" s="557">
        <f t="shared" si="14"/>
        <v>0</v>
      </c>
      <c r="G68" s="557">
        <f t="shared" si="14"/>
        <v>0</v>
      </c>
      <c r="H68" s="557">
        <f t="shared" si="14"/>
        <v>0</v>
      </c>
      <c r="I68" s="557">
        <f t="shared" si="14"/>
        <v>0</v>
      </c>
      <c r="J68" s="557">
        <f t="shared" si="14"/>
        <v>0</v>
      </c>
      <c r="K68" s="557">
        <f t="shared" si="14"/>
        <v>0</v>
      </c>
      <c r="L68" s="557">
        <f aca="true" t="shared" si="15" ref="L68">L10*$E$53</f>
        <v>0</v>
      </c>
      <c r="M68" s="557">
        <f aca="true" t="shared" si="16" ref="M68:M71">M10*$E$53</f>
        <v>0</v>
      </c>
    </row>
    <row r="69" spans="3:13" ht="15">
      <c r="C69" s="169">
        <v>0.01</v>
      </c>
      <c r="D69" s="557">
        <f aca="true" t="shared" si="17" ref="D69:K69">D11*$E$53</f>
        <v>0</v>
      </c>
      <c r="E69" s="557">
        <f t="shared" si="17"/>
        <v>0</v>
      </c>
      <c r="F69" s="557">
        <f t="shared" si="17"/>
        <v>0</v>
      </c>
      <c r="G69" s="557">
        <f t="shared" si="17"/>
        <v>0</v>
      </c>
      <c r="H69" s="557">
        <f t="shared" si="17"/>
        <v>0</v>
      </c>
      <c r="I69" s="557">
        <f t="shared" si="17"/>
        <v>0</v>
      </c>
      <c r="J69" s="557">
        <f t="shared" si="17"/>
        <v>0</v>
      </c>
      <c r="K69" s="557">
        <f t="shared" si="17"/>
        <v>0</v>
      </c>
      <c r="L69" s="557">
        <f aca="true" t="shared" si="18" ref="L69">L11*$E$53</f>
        <v>0</v>
      </c>
      <c r="M69" s="557">
        <f t="shared" si="16"/>
        <v>0</v>
      </c>
    </row>
    <row r="70" spans="3:13" ht="15">
      <c r="C70" s="170">
        <v>0.005</v>
      </c>
      <c r="D70" s="557">
        <f aca="true" t="shared" si="19" ref="D70:K70">D12*$E$53</f>
        <v>0</v>
      </c>
      <c r="E70" s="557">
        <f t="shared" si="19"/>
        <v>0</v>
      </c>
      <c r="F70" s="557">
        <f t="shared" si="19"/>
        <v>0</v>
      </c>
      <c r="G70" s="557">
        <f t="shared" si="19"/>
        <v>0</v>
      </c>
      <c r="H70" s="557">
        <f t="shared" si="19"/>
        <v>0</v>
      </c>
      <c r="I70" s="557">
        <f t="shared" si="19"/>
        <v>0</v>
      </c>
      <c r="J70" s="557">
        <f t="shared" si="19"/>
        <v>0</v>
      </c>
      <c r="K70" s="557">
        <f t="shared" si="19"/>
        <v>0</v>
      </c>
      <c r="L70" s="557">
        <f aca="true" t="shared" si="20" ref="L70">L12*$E$53</f>
        <v>0</v>
      </c>
      <c r="M70" s="557">
        <f t="shared" si="16"/>
        <v>0</v>
      </c>
    </row>
    <row r="71" spans="3:13" ht="15">
      <c r="C71" s="170">
        <v>0.001</v>
      </c>
      <c r="D71" s="557">
        <f aca="true" t="shared" si="21" ref="D71:K71">D13*$E$53</f>
        <v>0</v>
      </c>
      <c r="E71" s="557">
        <f t="shared" si="21"/>
        <v>0</v>
      </c>
      <c r="F71" s="557">
        <f t="shared" si="21"/>
        <v>0</v>
      </c>
      <c r="G71" s="557">
        <f t="shared" si="21"/>
        <v>0</v>
      </c>
      <c r="H71" s="557">
        <f t="shared" si="21"/>
        <v>0</v>
      </c>
      <c r="I71" s="557">
        <f t="shared" si="21"/>
        <v>0</v>
      </c>
      <c r="J71" s="557">
        <f t="shared" si="21"/>
        <v>0</v>
      </c>
      <c r="K71" s="557">
        <f t="shared" si="21"/>
        <v>0</v>
      </c>
      <c r="L71" s="557">
        <f aca="true" t="shared" si="22" ref="L71">L13*$E$53</f>
        <v>0</v>
      </c>
      <c r="M71" s="557">
        <f t="shared" si="16"/>
        <v>0</v>
      </c>
    </row>
    <row r="72" spans="5:24" ht="15">
      <c r="E72" s="163" t="s">
        <v>262</v>
      </c>
      <c r="F72" s="163" t="s">
        <v>280</v>
      </c>
      <c r="R72" s="168"/>
      <c r="S72" s="168"/>
      <c r="T72" s="168"/>
      <c r="U72" s="168"/>
      <c r="V72" s="168"/>
      <c r="W72" s="168"/>
      <c r="X72" s="168"/>
    </row>
    <row r="73" spans="3:13" ht="15">
      <c r="C73" s="171" t="s">
        <v>107</v>
      </c>
      <c r="D73" s="169">
        <v>1</v>
      </c>
      <c r="E73" s="169">
        <v>0.5</v>
      </c>
      <c r="F73" s="169">
        <v>0.2</v>
      </c>
      <c r="G73" s="169">
        <v>0.1</v>
      </c>
      <c r="H73" s="169">
        <v>0.04</v>
      </c>
      <c r="I73" s="169">
        <v>0.02</v>
      </c>
      <c r="J73" s="407">
        <v>0.0133</v>
      </c>
      <c r="K73" s="169">
        <v>0.01</v>
      </c>
      <c r="L73" s="170">
        <v>0.005</v>
      </c>
      <c r="M73" s="170">
        <v>0.001</v>
      </c>
    </row>
    <row r="74" spans="3:14" ht="17.25">
      <c r="C74" s="169">
        <v>1</v>
      </c>
      <c r="D74" s="173">
        <f>IF($D45-D45&lt;0,0,$D45-D45)</f>
        <v>0</v>
      </c>
      <c r="E74" s="173">
        <f aca="true" t="shared" si="23" ref="E74:M74">IF($D45-E45&lt;0,0,$D45-E45)</f>
        <v>0</v>
      </c>
      <c r="F74" s="173">
        <f t="shared" si="23"/>
        <v>0</v>
      </c>
      <c r="G74" s="173">
        <f t="shared" si="23"/>
        <v>5.863793622109407</v>
      </c>
      <c r="H74" s="173">
        <f t="shared" si="23"/>
        <v>11.236380650247277</v>
      </c>
      <c r="I74" s="173">
        <f t="shared" si="23"/>
        <v>14.598328268424556</v>
      </c>
      <c r="J74" s="173">
        <f t="shared" si="23"/>
        <v>16.09714397695329</v>
      </c>
      <c r="K74" s="173">
        <f t="shared" si="23"/>
        <v>16.842668486145353</v>
      </c>
      <c r="L74" s="173">
        <f t="shared" si="23"/>
        <v>17.247176864651443</v>
      </c>
      <c r="M74" s="173">
        <f t="shared" si="23"/>
        <v>17.60372637562664</v>
      </c>
      <c r="N74" s="163" t="s">
        <v>321</v>
      </c>
    </row>
    <row r="75" spans="2:13" ht="15">
      <c r="B75" s="163" t="s">
        <v>261</v>
      </c>
      <c r="C75" s="169">
        <v>0.5</v>
      </c>
      <c r="D75" s="173">
        <f>IF($E45-D45&gt;0,0,$E45-D45)</f>
        <v>0</v>
      </c>
      <c r="E75" s="173">
        <f aca="true" t="shared" si="24" ref="E75">$E45-E45</f>
        <v>0</v>
      </c>
      <c r="F75" s="173">
        <f>IF($E45-F45&lt;0,0,$E45-F45)</f>
        <v>0</v>
      </c>
      <c r="G75" s="173">
        <f aca="true" t="shared" si="25" ref="G75:M75">IF($E45-G45&lt;0,0,$E45-G45)</f>
        <v>5.863793622109407</v>
      </c>
      <c r="H75" s="173">
        <f t="shared" si="25"/>
        <v>11.236380650247277</v>
      </c>
      <c r="I75" s="173">
        <f t="shared" si="25"/>
        <v>14.598328268424556</v>
      </c>
      <c r="J75" s="173">
        <f t="shared" si="25"/>
        <v>16.09714397695329</v>
      </c>
      <c r="K75" s="173">
        <f t="shared" si="25"/>
        <v>16.842668486145353</v>
      </c>
      <c r="L75" s="173">
        <f t="shared" si="25"/>
        <v>17.247176864651443</v>
      </c>
      <c r="M75" s="173">
        <f t="shared" si="25"/>
        <v>17.60372637562664</v>
      </c>
    </row>
    <row r="76" spans="2:13" ht="15">
      <c r="B76" s="700" t="s">
        <v>281</v>
      </c>
      <c r="C76" s="169">
        <v>0.2</v>
      </c>
      <c r="D76" s="173">
        <f>IF($F45-D45&gt;0,0,$F45-D45)</f>
        <v>0</v>
      </c>
      <c r="E76" s="173">
        <f>IF($F45-E45&gt;0,0,$F45-E45)</f>
        <v>0</v>
      </c>
      <c r="F76" s="173">
        <f aca="true" t="shared" si="26" ref="F76">$F45-F45</f>
        <v>0</v>
      </c>
      <c r="G76" s="173">
        <f>IF($F45-G45&lt;0,0,$F45-G45)</f>
        <v>8.218367796134165</v>
      </c>
      <c r="H76" s="173">
        <f aca="true" t="shared" si="27" ref="H76:M76">IF($F45-H45&lt;0,0,$F45-H45)</f>
        <v>13.590954824272035</v>
      </c>
      <c r="I76" s="173">
        <f t="shared" si="27"/>
        <v>16.952902442449314</v>
      </c>
      <c r="J76" s="173">
        <f t="shared" si="27"/>
        <v>18.45171815097805</v>
      </c>
      <c r="K76" s="173">
        <f t="shared" si="27"/>
        <v>19.19724266017011</v>
      </c>
      <c r="L76" s="173">
        <f t="shared" si="27"/>
        <v>19.601751038676202</v>
      </c>
      <c r="M76" s="173">
        <f t="shared" si="27"/>
        <v>19.958300549651398</v>
      </c>
    </row>
    <row r="77" spans="2:13" ht="15">
      <c r="B77" s="701"/>
      <c r="C77" s="169">
        <v>0.1</v>
      </c>
      <c r="D77" s="173">
        <f>IF($G45-D45&gt;0,0,$G45-D45)</f>
        <v>-5.863793622109407</v>
      </c>
      <c r="E77" s="173">
        <f aca="true" t="shared" si="28" ref="E77:F77">IF($G45-E45&gt;0,0,$G45-E45)</f>
        <v>-5.863793622109407</v>
      </c>
      <c r="F77" s="173">
        <f t="shared" si="28"/>
        <v>-8.218367796134165</v>
      </c>
      <c r="G77" s="173">
        <f aca="true" t="shared" si="29" ref="G77">$G45-G45</f>
        <v>0</v>
      </c>
      <c r="H77" s="173">
        <f>IF($G45-H45&lt;0,0,$G45-H45)</f>
        <v>5.37258702813787</v>
      </c>
      <c r="I77" s="173">
        <f aca="true" t="shared" si="30" ref="I77:M77">IF($G45-I45&lt;0,0,$G45-I45)</f>
        <v>8.734534646315149</v>
      </c>
      <c r="J77" s="173">
        <f t="shared" si="30"/>
        <v>10.233350354843886</v>
      </c>
      <c r="K77" s="173">
        <f t="shared" si="30"/>
        <v>10.978874864035946</v>
      </c>
      <c r="L77" s="173">
        <f t="shared" si="30"/>
        <v>11.383383242542035</v>
      </c>
      <c r="M77" s="173">
        <f t="shared" si="30"/>
        <v>11.739932753517232</v>
      </c>
    </row>
    <row r="78" spans="2:13" ht="15">
      <c r="B78" s="701"/>
      <c r="C78" s="169">
        <v>0.04</v>
      </c>
      <c r="D78" s="173">
        <f>IF($H45-D45&gt;0,0,$H45-D45)</f>
        <v>-11.236380650247277</v>
      </c>
      <c r="E78" s="173">
        <f aca="true" t="shared" si="31" ref="E78:G78">IF($H45-E45&gt;0,0,$H45-E45)</f>
        <v>-11.236380650247277</v>
      </c>
      <c r="F78" s="173">
        <f t="shared" si="31"/>
        <v>-13.590954824272035</v>
      </c>
      <c r="G78" s="173">
        <f t="shared" si="31"/>
        <v>-5.37258702813787</v>
      </c>
      <c r="H78" s="173">
        <f aca="true" t="shared" si="32" ref="H78">$H45-H45</f>
        <v>0</v>
      </c>
      <c r="I78" s="173">
        <f>IF($H45-I45&lt;0,0,$H45-I45)</f>
        <v>3.361947618177279</v>
      </c>
      <c r="J78" s="173">
        <f aca="true" t="shared" si="33" ref="J78:M78">IF($H45-J45&lt;0,0,$H45-J45)</f>
        <v>4.860763326706015</v>
      </c>
      <c r="K78" s="173">
        <f t="shared" si="33"/>
        <v>5.606287835898076</v>
      </c>
      <c r="L78" s="173">
        <f t="shared" si="33"/>
        <v>6.010796214404166</v>
      </c>
      <c r="M78" s="173">
        <f t="shared" si="33"/>
        <v>6.367345725379362</v>
      </c>
    </row>
    <row r="79" spans="2:13" ht="15">
      <c r="B79" s="701"/>
      <c r="C79" s="169">
        <v>0.02</v>
      </c>
      <c r="D79" s="173">
        <f>IF($I45-D45&gt;0,0,$I45-D45)</f>
        <v>-14.598328268424556</v>
      </c>
      <c r="E79" s="173">
        <f aca="true" t="shared" si="34" ref="E79:H79">IF($I45-E45&gt;0,0,$I45-E45)</f>
        <v>-14.598328268424556</v>
      </c>
      <c r="F79" s="173">
        <f t="shared" si="34"/>
        <v>-16.952902442449314</v>
      </c>
      <c r="G79" s="173">
        <f t="shared" si="34"/>
        <v>-8.734534646315149</v>
      </c>
      <c r="H79" s="173">
        <f t="shared" si="34"/>
        <v>-3.361947618177279</v>
      </c>
      <c r="I79" s="173">
        <f aca="true" t="shared" si="35" ref="I79">$I45-I45</f>
        <v>0</v>
      </c>
      <c r="J79" s="173">
        <f>IF($I45-J45&lt;0,0,$I45-J45)</f>
        <v>1.4988157085287357</v>
      </c>
      <c r="K79" s="173">
        <f aca="true" t="shared" si="36" ref="K79:M79">IF($I45-K45&lt;0,0,$I45-K45)</f>
        <v>2.244340217720797</v>
      </c>
      <c r="L79" s="173">
        <f t="shared" si="36"/>
        <v>2.6488485962268866</v>
      </c>
      <c r="M79" s="173">
        <f t="shared" si="36"/>
        <v>3.0053981072020832</v>
      </c>
    </row>
    <row r="80" spans="2:13" ht="15">
      <c r="B80" s="701"/>
      <c r="C80" s="407">
        <v>0.0133</v>
      </c>
      <c r="D80" s="173">
        <f>IF($J45-D45&gt;0,0,$J45-D45)</f>
        <v>-16.09714397695329</v>
      </c>
      <c r="E80" s="173">
        <f aca="true" t="shared" si="37" ref="E80:I80">IF($J45-E45&gt;0,0,$J45-E45)</f>
        <v>-16.09714397695329</v>
      </c>
      <c r="F80" s="173">
        <f t="shared" si="37"/>
        <v>-18.45171815097805</v>
      </c>
      <c r="G80" s="173">
        <f t="shared" si="37"/>
        <v>-10.233350354843886</v>
      </c>
      <c r="H80" s="173">
        <f t="shared" si="37"/>
        <v>-4.860763326706015</v>
      </c>
      <c r="I80" s="173">
        <f t="shared" si="37"/>
        <v>-1.4988157085287357</v>
      </c>
      <c r="J80" s="173">
        <f aca="true" t="shared" si="38" ref="J80">$J45-J45</f>
        <v>0</v>
      </c>
      <c r="K80" s="173">
        <f>IF($J45-K45&lt;0,0,$J45-K45)</f>
        <v>0.7455245091920615</v>
      </c>
      <c r="L80" s="173">
        <f aca="true" t="shared" si="39" ref="L80:M80">IF($J45-L45&lt;0,0,$J45-L45)</f>
        <v>1.150032887698151</v>
      </c>
      <c r="M80" s="173">
        <f t="shared" si="39"/>
        <v>1.5065823986733475</v>
      </c>
    </row>
    <row r="81" spans="2:13" ht="15">
      <c r="B81" s="701"/>
      <c r="C81" s="169">
        <v>0.01</v>
      </c>
      <c r="D81" s="173">
        <f>IF($K45-D45&gt;0,0,$K45-D45)</f>
        <v>-16.842668486145353</v>
      </c>
      <c r="E81" s="173">
        <f aca="true" t="shared" si="40" ref="E81:J81">IF($K45-E45&gt;0,0,$K45-E45)</f>
        <v>-16.842668486145353</v>
      </c>
      <c r="F81" s="173">
        <f t="shared" si="40"/>
        <v>-19.19724266017011</v>
      </c>
      <c r="G81" s="173">
        <f t="shared" si="40"/>
        <v>-10.978874864035946</v>
      </c>
      <c r="H81" s="173">
        <f t="shared" si="40"/>
        <v>-5.606287835898076</v>
      </c>
      <c r="I81" s="173">
        <f t="shared" si="40"/>
        <v>-2.244340217720797</v>
      </c>
      <c r="J81" s="173">
        <f t="shared" si="40"/>
        <v>-0.7455245091920615</v>
      </c>
      <c r="K81" s="173">
        <f aca="true" t="shared" si="41" ref="K81">$K45-K45</f>
        <v>0</v>
      </c>
      <c r="L81" s="173">
        <f>IF($K45-L45&lt;0,0,$K45-L45)</f>
        <v>0.40450837850608945</v>
      </c>
      <c r="M81" s="173">
        <f>IF($K45-M45&lt;0,0,$K45-M45)</f>
        <v>0.761057889481286</v>
      </c>
    </row>
    <row r="82" spans="2:13" ht="15">
      <c r="B82" s="701"/>
      <c r="C82" s="170">
        <v>0.005</v>
      </c>
      <c r="D82" s="173">
        <f>IF($L45-D45&gt;0,0,$L45-D45)</f>
        <v>-17.247176864651443</v>
      </c>
      <c r="E82" s="173">
        <f aca="true" t="shared" si="42" ref="E82:K82">IF($L45-E45&gt;0,0,$L45-E45)</f>
        <v>-17.247176864651443</v>
      </c>
      <c r="F82" s="173">
        <f t="shared" si="42"/>
        <v>-19.601751038676202</v>
      </c>
      <c r="G82" s="173">
        <f t="shared" si="42"/>
        <v>-11.383383242542035</v>
      </c>
      <c r="H82" s="173">
        <f t="shared" si="42"/>
        <v>-6.010796214404166</v>
      </c>
      <c r="I82" s="173">
        <f t="shared" si="42"/>
        <v>-2.6488485962268866</v>
      </c>
      <c r="J82" s="173">
        <f t="shared" si="42"/>
        <v>-1.150032887698151</v>
      </c>
      <c r="K82" s="173">
        <f t="shared" si="42"/>
        <v>-0.40450837850608945</v>
      </c>
      <c r="L82" s="173">
        <f aca="true" t="shared" si="43" ref="L82">$L45-L45</f>
        <v>0</v>
      </c>
      <c r="M82" s="173">
        <f>IF($L45-M45&lt;0,0,$L45-M45)</f>
        <v>0.3565495109751966</v>
      </c>
    </row>
    <row r="83" spans="2:13" ht="15">
      <c r="B83" s="701"/>
      <c r="C83" s="170">
        <v>0.001</v>
      </c>
      <c r="D83" s="173">
        <f>IF($M45-D45&gt;0,0,$M45-D45)</f>
        <v>-17.60372637562664</v>
      </c>
      <c r="E83" s="173">
        <f aca="true" t="shared" si="44" ref="E83:M83">IF($M45-E45&gt;0,0,$M45-E45)</f>
        <v>-17.60372637562664</v>
      </c>
      <c r="F83" s="173">
        <f t="shared" si="44"/>
        <v>-19.958300549651398</v>
      </c>
      <c r="G83" s="173">
        <f t="shared" si="44"/>
        <v>-11.739932753517232</v>
      </c>
      <c r="H83" s="173">
        <f t="shared" si="44"/>
        <v>-6.367345725379362</v>
      </c>
      <c r="I83" s="173">
        <f t="shared" si="44"/>
        <v>-3.0053981072020832</v>
      </c>
      <c r="J83" s="173">
        <f t="shared" si="44"/>
        <v>-1.5065823986733475</v>
      </c>
      <c r="K83" s="173">
        <f t="shared" si="44"/>
        <v>-0.761057889481286</v>
      </c>
      <c r="L83" s="173">
        <f t="shared" si="44"/>
        <v>-0.3565495109751966</v>
      </c>
      <c r="M83" s="173">
        <f t="shared" si="44"/>
        <v>0</v>
      </c>
    </row>
    <row r="85" spans="5:6" ht="15">
      <c r="E85" s="163" t="s">
        <v>262</v>
      </c>
      <c r="F85" s="163" t="s">
        <v>280</v>
      </c>
    </row>
    <row r="86" spans="3:13" ht="15">
      <c r="C86" s="171" t="s">
        <v>107</v>
      </c>
      <c r="D86" s="169">
        <v>1</v>
      </c>
      <c r="E86" s="169">
        <v>0.5</v>
      </c>
      <c r="F86" s="169">
        <v>0.2</v>
      </c>
      <c r="G86" s="169">
        <v>0.1</v>
      </c>
      <c r="H86" s="169">
        <v>0.04</v>
      </c>
      <c r="I86" s="169">
        <v>0.02</v>
      </c>
      <c r="J86" s="407">
        <v>0.0133</v>
      </c>
      <c r="K86" s="169">
        <v>0.01</v>
      </c>
      <c r="L86" s="170">
        <v>0.005</v>
      </c>
      <c r="M86" s="170">
        <v>0.001</v>
      </c>
    </row>
    <row r="87" spans="3:13" ht="15">
      <c r="C87" s="169">
        <v>1</v>
      </c>
      <c r="D87" s="173">
        <f>D62*D74</f>
        <v>0</v>
      </c>
      <c r="E87" s="173">
        <f aca="true" t="shared" si="45" ref="E87:I87">E62*E74</f>
        <v>0</v>
      </c>
      <c r="F87" s="173">
        <f t="shared" si="45"/>
        <v>0</v>
      </c>
      <c r="G87" s="173">
        <f t="shared" si="45"/>
        <v>0</v>
      </c>
      <c r="H87" s="173">
        <f t="shared" si="45"/>
        <v>0</v>
      </c>
      <c r="I87" s="173">
        <f t="shared" si="45"/>
        <v>0</v>
      </c>
      <c r="J87" s="173">
        <f aca="true" t="shared" si="46" ref="J87:M87">J62*J74</f>
        <v>0</v>
      </c>
      <c r="K87" s="173">
        <f t="shared" si="46"/>
        <v>0</v>
      </c>
      <c r="L87" s="173">
        <f t="shared" si="46"/>
        <v>0</v>
      </c>
      <c r="M87" s="173">
        <f t="shared" si="46"/>
        <v>0</v>
      </c>
    </row>
    <row r="88" spans="2:13" ht="15">
      <c r="B88" s="163" t="s">
        <v>261</v>
      </c>
      <c r="C88" s="169">
        <v>0.5</v>
      </c>
      <c r="D88" s="173">
        <f aca="true" t="shared" si="47" ref="D88:I88">D63*D75</f>
        <v>0</v>
      </c>
      <c r="E88" s="173">
        <f t="shared" si="47"/>
        <v>0</v>
      </c>
      <c r="F88" s="173">
        <f t="shared" si="47"/>
        <v>0</v>
      </c>
      <c r="G88" s="173">
        <f t="shared" si="47"/>
        <v>0</v>
      </c>
      <c r="H88" s="173">
        <f t="shared" si="47"/>
        <v>0</v>
      </c>
      <c r="I88" s="173">
        <f t="shared" si="47"/>
        <v>0</v>
      </c>
      <c r="J88" s="173">
        <f aca="true" t="shared" si="48" ref="J88:M88">J63*J75</f>
        <v>0</v>
      </c>
      <c r="K88" s="173">
        <f t="shared" si="48"/>
        <v>0</v>
      </c>
      <c r="L88" s="173">
        <f t="shared" si="48"/>
        <v>0</v>
      </c>
      <c r="M88" s="173">
        <f t="shared" si="48"/>
        <v>0</v>
      </c>
    </row>
    <row r="89" spans="2:13" ht="15">
      <c r="B89" s="700" t="s">
        <v>281</v>
      </c>
      <c r="C89" s="169">
        <v>0.2</v>
      </c>
      <c r="D89" s="173">
        <f aca="true" t="shared" si="49" ref="D89:I89">D64*D76</f>
        <v>0</v>
      </c>
      <c r="E89" s="173">
        <f t="shared" si="49"/>
        <v>0</v>
      </c>
      <c r="F89" s="173">
        <f t="shared" si="49"/>
        <v>0</v>
      </c>
      <c r="G89" s="173">
        <f t="shared" si="49"/>
        <v>0</v>
      </c>
      <c r="H89" s="173">
        <f t="shared" si="49"/>
        <v>0</v>
      </c>
      <c r="I89" s="173">
        <f t="shared" si="49"/>
        <v>0</v>
      </c>
      <c r="J89" s="173">
        <f aca="true" t="shared" si="50" ref="J89:M89">J64*J76</f>
        <v>0</v>
      </c>
      <c r="K89" s="173">
        <f t="shared" si="50"/>
        <v>0</v>
      </c>
      <c r="L89" s="173">
        <f t="shared" si="50"/>
        <v>0</v>
      </c>
      <c r="M89" s="173">
        <f t="shared" si="50"/>
        <v>0</v>
      </c>
    </row>
    <row r="90" spans="2:13" ht="15">
      <c r="B90" s="701"/>
      <c r="C90" s="169">
        <v>0.1</v>
      </c>
      <c r="D90" s="173">
        <f aca="true" t="shared" si="51" ref="D90:I90">D65*D77</f>
        <v>0</v>
      </c>
      <c r="E90" s="173">
        <f t="shared" si="51"/>
        <v>0</v>
      </c>
      <c r="F90" s="173">
        <f t="shared" si="51"/>
        <v>0</v>
      </c>
      <c r="G90" s="173">
        <f t="shared" si="51"/>
        <v>0</v>
      </c>
      <c r="H90" s="173">
        <f t="shared" si="51"/>
        <v>0</v>
      </c>
      <c r="I90" s="173">
        <f t="shared" si="51"/>
        <v>0</v>
      </c>
      <c r="J90" s="173">
        <f aca="true" t="shared" si="52" ref="J90:M90">J65*J77</f>
        <v>0</v>
      </c>
      <c r="K90" s="173">
        <f t="shared" si="52"/>
        <v>0</v>
      </c>
      <c r="L90" s="173">
        <f t="shared" si="52"/>
        <v>0</v>
      </c>
      <c r="M90" s="173">
        <f t="shared" si="52"/>
        <v>0</v>
      </c>
    </row>
    <row r="91" spans="2:13" ht="15">
      <c r="B91" s="701"/>
      <c r="C91" s="169">
        <v>0.04</v>
      </c>
      <c r="D91" s="173">
        <f aca="true" t="shared" si="53" ref="D91:I91">D66*D78</f>
        <v>0</v>
      </c>
      <c r="E91" s="173">
        <f t="shared" si="53"/>
        <v>0</v>
      </c>
      <c r="F91" s="173">
        <f t="shared" si="53"/>
        <v>0</v>
      </c>
      <c r="G91" s="173">
        <f t="shared" si="53"/>
        <v>0</v>
      </c>
      <c r="H91" s="173">
        <f t="shared" si="53"/>
        <v>0</v>
      </c>
      <c r="I91" s="173">
        <f t="shared" si="53"/>
        <v>0</v>
      </c>
      <c r="J91" s="173">
        <f aca="true" t="shared" si="54" ref="J91:M91">J66*J78</f>
        <v>0</v>
      </c>
      <c r="K91" s="173">
        <f t="shared" si="54"/>
        <v>0</v>
      </c>
      <c r="L91" s="173">
        <f t="shared" si="54"/>
        <v>0</v>
      </c>
      <c r="M91" s="173">
        <f t="shared" si="54"/>
        <v>0</v>
      </c>
    </row>
    <row r="92" spans="2:13" ht="15">
      <c r="B92" s="701"/>
      <c r="C92" s="169">
        <v>0.02</v>
      </c>
      <c r="D92" s="173">
        <f aca="true" t="shared" si="55" ref="D92:I92">D67*D79</f>
        <v>0</v>
      </c>
      <c r="E92" s="173">
        <f t="shared" si="55"/>
        <v>0</v>
      </c>
      <c r="F92" s="173">
        <f t="shared" si="55"/>
        <v>0</v>
      </c>
      <c r="G92" s="173">
        <f t="shared" si="55"/>
        <v>0</v>
      </c>
      <c r="H92" s="173">
        <f t="shared" si="55"/>
        <v>0</v>
      </c>
      <c r="I92" s="173">
        <f t="shared" si="55"/>
        <v>0</v>
      </c>
      <c r="J92" s="173">
        <f aca="true" t="shared" si="56" ref="J92:M92">J67*J79</f>
        <v>0</v>
      </c>
      <c r="K92" s="173">
        <f t="shared" si="56"/>
        <v>0</v>
      </c>
      <c r="L92" s="173">
        <f t="shared" si="56"/>
        <v>0</v>
      </c>
      <c r="M92" s="173">
        <f t="shared" si="56"/>
        <v>0</v>
      </c>
    </row>
    <row r="93" spans="2:13" ht="15">
      <c r="B93" s="701"/>
      <c r="C93" s="407">
        <v>0.0133</v>
      </c>
      <c r="D93" s="173">
        <f aca="true" t="shared" si="57" ref="D93:I93">D68*D80</f>
        <v>0</v>
      </c>
      <c r="E93" s="173">
        <f t="shared" si="57"/>
        <v>0</v>
      </c>
      <c r="F93" s="173">
        <f t="shared" si="57"/>
        <v>0</v>
      </c>
      <c r="G93" s="173">
        <f t="shared" si="57"/>
        <v>0</v>
      </c>
      <c r="H93" s="173">
        <f t="shared" si="57"/>
        <v>0</v>
      </c>
      <c r="I93" s="173">
        <f t="shared" si="57"/>
        <v>0</v>
      </c>
      <c r="J93" s="173">
        <f aca="true" t="shared" si="58" ref="J93:M93">J68*J80</f>
        <v>0</v>
      </c>
      <c r="K93" s="173">
        <f t="shared" si="58"/>
        <v>0</v>
      </c>
      <c r="L93" s="173">
        <f t="shared" si="58"/>
        <v>0</v>
      </c>
      <c r="M93" s="173">
        <f t="shared" si="58"/>
        <v>0</v>
      </c>
    </row>
    <row r="94" spans="2:13" ht="15">
      <c r="B94" s="701"/>
      <c r="C94" s="169">
        <v>0.01</v>
      </c>
      <c r="D94" s="173">
        <f aca="true" t="shared" si="59" ref="D94:I94">D69*D81</f>
        <v>0</v>
      </c>
      <c r="E94" s="173">
        <f t="shared" si="59"/>
        <v>0</v>
      </c>
      <c r="F94" s="173">
        <f t="shared" si="59"/>
        <v>0</v>
      </c>
      <c r="G94" s="173">
        <f t="shared" si="59"/>
        <v>0</v>
      </c>
      <c r="H94" s="173">
        <f t="shared" si="59"/>
        <v>0</v>
      </c>
      <c r="I94" s="173">
        <f t="shared" si="59"/>
        <v>0</v>
      </c>
      <c r="J94" s="173">
        <f aca="true" t="shared" si="60" ref="J94:M94">J69*J81</f>
        <v>0</v>
      </c>
      <c r="K94" s="173">
        <f t="shared" si="60"/>
        <v>0</v>
      </c>
      <c r="L94" s="173">
        <f t="shared" si="60"/>
        <v>0</v>
      </c>
      <c r="M94" s="173">
        <f t="shared" si="60"/>
        <v>0</v>
      </c>
    </row>
    <row r="95" spans="2:13" ht="15">
      <c r="B95" s="701"/>
      <c r="C95" s="170">
        <v>0.005</v>
      </c>
      <c r="D95" s="173">
        <f aca="true" t="shared" si="61" ref="D95:I95">D70*D82</f>
        <v>0</v>
      </c>
      <c r="E95" s="173">
        <f t="shared" si="61"/>
        <v>0</v>
      </c>
      <c r="F95" s="173">
        <f t="shared" si="61"/>
        <v>0</v>
      </c>
      <c r="G95" s="173">
        <f t="shared" si="61"/>
        <v>0</v>
      </c>
      <c r="H95" s="173">
        <f t="shared" si="61"/>
        <v>0</v>
      </c>
      <c r="I95" s="173">
        <f t="shared" si="61"/>
        <v>0</v>
      </c>
      <c r="J95" s="173">
        <f aca="true" t="shared" si="62" ref="J95:M95">J70*J82</f>
        <v>0</v>
      </c>
      <c r="K95" s="173">
        <f t="shared" si="62"/>
        <v>0</v>
      </c>
      <c r="L95" s="173">
        <f t="shared" si="62"/>
        <v>0</v>
      </c>
      <c r="M95" s="173">
        <f t="shared" si="62"/>
        <v>0</v>
      </c>
    </row>
    <row r="96" spans="2:13" ht="15">
      <c r="B96" s="701"/>
      <c r="C96" s="170">
        <v>0.001</v>
      </c>
      <c r="D96" s="173">
        <f aca="true" t="shared" si="63" ref="D96:I96">D71*D83</f>
        <v>0</v>
      </c>
      <c r="E96" s="173">
        <f t="shared" si="63"/>
        <v>0</v>
      </c>
      <c r="F96" s="173">
        <f t="shared" si="63"/>
        <v>0</v>
      </c>
      <c r="G96" s="173">
        <f t="shared" si="63"/>
        <v>0</v>
      </c>
      <c r="H96" s="173">
        <f t="shared" si="63"/>
        <v>0</v>
      </c>
      <c r="I96" s="173">
        <f t="shared" si="63"/>
        <v>0</v>
      </c>
      <c r="J96" s="173">
        <f aca="true" t="shared" si="64" ref="J96:M96">J71*J83</f>
        <v>0</v>
      </c>
      <c r="K96" s="173">
        <f t="shared" si="64"/>
        <v>0</v>
      </c>
      <c r="L96" s="173">
        <f t="shared" si="64"/>
        <v>0</v>
      </c>
      <c r="M96" s="173">
        <f t="shared" si="64"/>
        <v>0</v>
      </c>
    </row>
    <row r="97" ht="15.75" thickBot="1"/>
    <row r="98" spans="4:15" ht="16.5" thickBot="1" thickTop="1">
      <c r="D98" s="702" t="str">
        <f>IF(SUM(D87:M96)&gt;0,"Total annual benefits",IF(SUM(D87:M96)&lt;0,"Total annual damages","Enter number of businesses"))</f>
        <v>Enter number of businesses</v>
      </c>
      <c r="E98" s="703"/>
      <c r="F98" s="703"/>
      <c r="G98" s="703"/>
      <c r="H98" s="186">
        <f>SUM(D87:M96)</f>
        <v>0</v>
      </c>
      <c r="I98" s="366" t="s">
        <v>804</v>
      </c>
      <c r="J98" s="406"/>
      <c r="K98" s="593" t="s">
        <v>811</v>
      </c>
      <c r="L98" s="593"/>
      <c r="M98" s="594"/>
      <c r="N98" s="594"/>
      <c r="O98" s="595"/>
    </row>
    <row r="99" ht="15.75" thickTop="1"/>
  </sheetData>
  <sheetProtection sheet="1" objects="1" scenarios="1"/>
  <mergeCells count="13">
    <mergeCell ref="B76:B83"/>
    <mergeCell ref="B89:B96"/>
    <mergeCell ref="D98:G98"/>
    <mergeCell ref="K98:O98"/>
    <mergeCell ref="P1:T1"/>
    <mergeCell ref="I1:K1"/>
    <mergeCell ref="B43:C43"/>
    <mergeCell ref="B5:B6"/>
    <mergeCell ref="B63:B64"/>
    <mergeCell ref="A18:C18"/>
    <mergeCell ref="A19:C19"/>
    <mergeCell ref="O22:Y22"/>
    <mergeCell ref="A33:C33"/>
  </mergeCells>
  <dataValidations count="2">
    <dataValidation type="list" allowBlank="1" showInputMessage="1" showErrorMessage="1" sqref="D22:M22">
      <formula1>"Permanent loss, One-off loss"</formula1>
    </dataValidation>
    <dataValidation type="list" allowBlank="1" showInputMessage="1" showErrorMessage="1" sqref="K98:O98">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68"/>
  <headerFooter>
    <oddHeader>&amp;C&amp;A</oddHead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80"/>
  <sheetViews>
    <sheetView zoomScale="85" zoomScaleNormal="85" workbookViewId="0" topLeftCell="A1"/>
  </sheetViews>
  <sheetFormatPr defaultColWidth="9.140625" defaultRowHeight="15"/>
  <cols>
    <col min="1" max="1" width="9.140625" style="163" customWidth="1"/>
    <col min="2" max="2" width="10.00390625" style="163" customWidth="1"/>
    <col min="3" max="3" width="9.140625" style="163" customWidth="1"/>
    <col min="4" max="13" width="12.28125" style="163" customWidth="1"/>
    <col min="14" max="16384" width="9.140625" style="163" customWidth="1"/>
  </cols>
  <sheetData>
    <row r="1" spans="1:20" ht="15">
      <c r="A1" s="164" t="s">
        <v>270</v>
      </c>
      <c r="B1" s="165"/>
      <c r="C1" s="165"/>
      <c r="D1" s="162"/>
      <c r="E1" s="165"/>
      <c r="F1" s="166" t="s">
        <v>260</v>
      </c>
      <c r="I1" s="704" t="s">
        <v>299</v>
      </c>
      <c r="J1" s="704"/>
      <c r="K1" s="705"/>
      <c r="L1" s="472"/>
      <c r="M1" s="176" t="s">
        <v>992</v>
      </c>
      <c r="N1" s="176">
        <v>3</v>
      </c>
      <c r="O1" s="176" t="s">
        <v>991</v>
      </c>
      <c r="P1" s="707"/>
      <c r="Q1" s="590"/>
      <c r="R1" s="590"/>
      <c r="S1" s="590"/>
      <c r="T1" s="590"/>
    </row>
    <row r="2" spans="3:6" ht="15">
      <c r="C2" s="171" t="s">
        <v>311</v>
      </c>
      <c r="E2" s="163" t="s">
        <v>262</v>
      </c>
      <c r="F2" s="163" t="s">
        <v>484</v>
      </c>
    </row>
    <row r="3" spans="3:13" ht="15">
      <c r="C3" s="171" t="s">
        <v>312</v>
      </c>
      <c r="D3" s="169">
        <v>1</v>
      </c>
      <c r="E3" s="169">
        <v>0.5</v>
      </c>
      <c r="F3" s="169">
        <v>0.2</v>
      </c>
      <c r="G3" s="169">
        <v>0.1</v>
      </c>
      <c r="H3" s="169">
        <v>0.04</v>
      </c>
      <c r="I3" s="169">
        <v>0.02</v>
      </c>
      <c r="J3" s="407">
        <v>0.0133</v>
      </c>
      <c r="K3" s="169">
        <v>0.01</v>
      </c>
      <c r="L3" s="170">
        <v>0.005</v>
      </c>
      <c r="M3" s="170">
        <v>0.001</v>
      </c>
    </row>
    <row r="4" spans="3:15" ht="15">
      <c r="C4" s="169">
        <v>1</v>
      </c>
      <c r="D4" s="550"/>
      <c r="E4" s="550"/>
      <c r="F4" s="550"/>
      <c r="G4" s="550"/>
      <c r="H4" s="550"/>
      <c r="I4" s="550"/>
      <c r="J4" s="550"/>
      <c r="K4" s="550"/>
      <c r="L4" s="550"/>
      <c r="M4" s="550"/>
      <c r="O4" s="163" t="s">
        <v>504</v>
      </c>
    </row>
    <row r="5" spans="2:15" ht="15">
      <c r="B5" s="591" t="s">
        <v>294</v>
      </c>
      <c r="C5" s="169">
        <v>0.5</v>
      </c>
      <c r="D5" s="550"/>
      <c r="E5" s="550"/>
      <c r="F5" s="550"/>
      <c r="G5" s="550"/>
      <c r="H5" s="550"/>
      <c r="I5" s="550"/>
      <c r="J5" s="550"/>
      <c r="K5" s="550"/>
      <c r="L5" s="550"/>
      <c r="M5" s="550"/>
      <c r="O5" s="163" t="s">
        <v>319</v>
      </c>
    </row>
    <row r="6" spans="2:15" ht="15">
      <c r="B6" s="592"/>
      <c r="C6" s="169">
        <v>0.2</v>
      </c>
      <c r="D6" s="550"/>
      <c r="E6" s="550"/>
      <c r="F6" s="550"/>
      <c r="G6" s="550"/>
      <c r="H6" s="550"/>
      <c r="I6" s="550"/>
      <c r="J6" s="550"/>
      <c r="K6" s="550"/>
      <c r="L6" s="550"/>
      <c r="M6" s="550"/>
      <c r="O6" s="163" t="s">
        <v>609</v>
      </c>
    </row>
    <row r="7" spans="3:15" ht="15">
      <c r="C7" s="169">
        <v>0.1</v>
      </c>
      <c r="D7" s="550"/>
      <c r="E7" s="550"/>
      <c r="F7" s="550"/>
      <c r="G7" s="550"/>
      <c r="H7" s="550"/>
      <c r="I7" s="550"/>
      <c r="J7" s="550"/>
      <c r="K7" s="550"/>
      <c r="L7" s="550"/>
      <c r="M7" s="550"/>
      <c r="O7" s="163" t="s">
        <v>277</v>
      </c>
    </row>
    <row r="8" spans="3:15" ht="15">
      <c r="C8" s="169">
        <v>0.04</v>
      </c>
      <c r="D8" s="550"/>
      <c r="E8" s="550"/>
      <c r="F8" s="550"/>
      <c r="G8" s="550"/>
      <c r="H8" s="550"/>
      <c r="I8" s="550"/>
      <c r="J8" s="550"/>
      <c r="K8" s="550"/>
      <c r="L8" s="550"/>
      <c r="M8" s="550"/>
      <c r="O8" s="163" t="s">
        <v>610</v>
      </c>
    </row>
    <row r="9" spans="3:13" ht="15">
      <c r="C9" s="169">
        <v>0.02</v>
      </c>
      <c r="D9" s="550"/>
      <c r="E9" s="550"/>
      <c r="F9" s="550"/>
      <c r="G9" s="550"/>
      <c r="H9" s="550"/>
      <c r="I9" s="550"/>
      <c r="J9" s="550"/>
      <c r="K9" s="550"/>
      <c r="L9" s="550"/>
      <c r="M9" s="550"/>
    </row>
    <row r="10" spans="3:13" ht="15">
      <c r="C10" s="407">
        <v>0.0133</v>
      </c>
      <c r="D10" s="550"/>
      <c r="E10" s="550"/>
      <c r="F10" s="550"/>
      <c r="G10" s="550"/>
      <c r="H10" s="550"/>
      <c r="I10" s="550"/>
      <c r="J10" s="550"/>
      <c r="K10" s="550"/>
      <c r="L10" s="550"/>
      <c r="M10" s="550"/>
    </row>
    <row r="11" spans="3:13" ht="15">
      <c r="C11" s="169">
        <v>0.01</v>
      </c>
      <c r="D11" s="550"/>
      <c r="E11" s="550"/>
      <c r="F11" s="550"/>
      <c r="G11" s="550"/>
      <c r="H11" s="550"/>
      <c r="I11" s="550"/>
      <c r="J11" s="550"/>
      <c r="K11" s="550"/>
      <c r="L11" s="550"/>
      <c r="M11" s="550"/>
    </row>
    <row r="12" spans="3:13" ht="15">
      <c r="C12" s="170">
        <v>0.005</v>
      </c>
      <c r="D12" s="550"/>
      <c r="E12" s="550"/>
      <c r="F12" s="550"/>
      <c r="G12" s="550"/>
      <c r="H12" s="550"/>
      <c r="I12" s="550"/>
      <c r="J12" s="550"/>
      <c r="K12" s="550"/>
      <c r="L12" s="550"/>
      <c r="M12" s="550"/>
    </row>
    <row r="13" spans="3:13" ht="15">
      <c r="C13" s="170">
        <v>0.001</v>
      </c>
      <c r="D13" s="550"/>
      <c r="E13" s="550"/>
      <c r="F13" s="550"/>
      <c r="G13" s="550"/>
      <c r="H13" s="550"/>
      <c r="I13" s="550"/>
      <c r="J13" s="550"/>
      <c r="K13" s="550"/>
      <c r="L13" s="550"/>
      <c r="M13" s="550"/>
    </row>
    <row r="15" spans="3:6" ht="15">
      <c r="C15" s="171"/>
      <c r="E15" s="163" t="s">
        <v>262</v>
      </c>
      <c r="F15" s="163" t="s">
        <v>485</v>
      </c>
    </row>
    <row r="16" spans="3:13" ht="15">
      <c r="C16" s="171" t="s">
        <v>313</v>
      </c>
      <c r="D16" s="169">
        <v>1</v>
      </c>
      <c r="E16" s="169">
        <v>0.5</v>
      </c>
      <c r="F16" s="169">
        <v>0.2</v>
      </c>
      <c r="G16" s="169">
        <v>0.1</v>
      </c>
      <c r="H16" s="169">
        <v>0.04</v>
      </c>
      <c r="I16" s="169">
        <v>0.02</v>
      </c>
      <c r="J16" s="407">
        <v>0.0133</v>
      </c>
      <c r="K16" s="169">
        <v>0.01</v>
      </c>
      <c r="L16" s="170">
        <v>0.005</v>
      </c>
      <c r="M16" s="170">
        <v>0.001</v>
      </c>
    </row>
    <row r="17" spans="3:15" ht="15">
      <c r="C17" s="169">
        <v>1</v>
      </c>
      <c r="D17" s="550"/>
      <c r="E17" s="550"/>
      <c r="F17" s="550"/>
      <c r="G17" s="550"/>
      <c r="H17" s="550"/>
      <c r="I17" s="550"/>
      <c r="J17" s="550"/>
      <c r="K17" s="550"/>
      <c r="L17" s="550"/>
      <c r="M17" s="550"/>
      <c r="O17" s="163" t="s">
        <v>504</v>
      </c>
    </row>
    <row r="18" spans="2:15" ht="15">
      <c r="B18" s="591" t="s">
        <v>294</v>
      </c>
      <c r="C18" s="169">
        <v>0.5</v>
      </c>
      <c r="D18" s="550"/>
      <c r="E18" s="550"/>
      <c r="F18" s="550"/>
      <c r="G18" s="550"/>
      <c r="H18" s="550"/>
      <c r="I18" s="550"/>
      <c r="J18" s="550"/>
      <c r="K18" s="550"/>
      <c r="L18" s="550"/>
      <c r="M18" s="550"/>
      <c r="O18" s="163" t="s">
        <v>319</v>
      </c>
    </row>
    <row r="19" spans="2:15" ht="15">
      <c r="B19" s="592"/>
      <c r="C19" s="169">
        <v>0.2</v>
      </c>
      <c r="D19" s="550"/>
      <c r="E19" s="550"/>
      <c r="F19" s="550"/>
      <c r="G19" s="550"/>
      <c r="H19" s="550"/>
      <c r="I19" s="550"/>
      <c r="J19" s="550"/>
      <c r="K19" s="550"/>
      <c r="L19" s="550"/>
      <c r="M19" s="550"/>
      <c r="O19" s="163" t="s">
        <v>916</v>
      </c>
    </row>
    <row r="20" spans="3:15" ht="15">
      <c r="C20" s="169">
        <v>0.1</v>
      </c>
      <c r="D20" s="550"/>
      <c r="E20" s="550"/>
      <c r="F20" s="550"/>
      <c r="G20" s="550"/>
      <c r="H20" s="550"/>
      <c r="I20" s="550"/>
      <c r="J20" s="550"/>
      <c r="K20" s="550"/>
      <c r="L20" s="550"/>
      <c r="M20" s="550"/>
      <c r="O20" s="163" t="s">
        <v>277</v>
      </c>
    </row>
    <row r="21" spans="3:15" ht="15">
      <c r="C21" s="169">
        <v>0.04</v>
      </c>
      <c r="D21" s="550"/>
      <c r="E21" s="550"/>
      <c r="F21" s="550"/>
      <c r="G21" s="550"/>
      <c r="H21" s="550"/>
      <c r="I21" s="550"/>
      <c r="J21" s="550"/>
      <c r="K21" s="550"/>
      <c r="L21" s="550"/>
      <c r="M21" s="550"/>
      <c r="O21" s="163" t="s">
        <v>917</v>
      </c>
    </row>
    <row r="22" spans="3:13" ht="15">
      <c r="C22" s="169">
        <v>0.02</v>
      </c>
      <c r="D22" s="550"/>
      <c r="E22" s="550"/>
      <c r="F22" s="550"/>
      <c r="G22" s="550"/>
      <c r="H22" s="550"/>
      <c r="I22" s="550"/>
      <c r="J22" s="550"/>
      <c r="K22" s="550"/>
      <c r="L22" s="550"/>
      <c r="M22" s="550"/>
    </row>
    <row r="23" spans="3:13" ht="15">
      <c r="C23" s="407">
        <v>0.0133</v>
      </c>
      <c r="D23" s="550"/>
      <c r="E23" s="550"/>
      <c r="F23" s="550"/>
      <c r="G23" s="550"/>
      <c r="H23" s="550"/>
      <c r="I23" s="550"/>
      <c r="J23" s="550"/>
      <c r="K23" s="550"/>
      <c r="L23" s="550"/>
      <c r="M23" s="550"/>
    </row>
    <row r="24" spans="3:13" ht="15">
      <c r="C24" s="169">
        <v>0.01</v>
      </c>
      <c r="D24" s="550"/>
      <c r="E24" s="550"/>
      <c r="F24" s="550"/>
      <c r="G24" s="550"/>
      <c r="H24" s="550"/>
      <c r="I24" s="550"/>
      <c r="J24" s="550"/>
      <c r="K24" s="550"/>
      <c r="L24" s="550"/>
      <c r="M24" s="550"/>
    </row>
    <row r="25" spans="3:13" ht="15">
      <c r="C25" s="170">
        <v>0.005</v>
      </c>
      <c r="D25" s="550"/>
      <c r="E25" s="550"/>
      <c r="F25" s="550"/>
      <c r="G25" s="550"/>
      <c r="H25" s="550"/>
      <c r="I25" s="550"/>
      <c r="J25" s="550"/>
      <c r="K25" s="550"/>
      <c r="L25" s="550"/>
      <c r="M25" s="550"/>
    </row>
    <row r="26" spans="3:13" ht="15">
      <c r="C26" s="170">
        <v>0.001</v>
      </c>
      <c r="D26" s="550"/>
      <c r="E26" s="550"/>
      <c r="F26" s="550"/>
      <c r="G26" s="550"/>
      <c r="H26" s="550"/>
      <c r="I26" s="550"/>
      <c r="J26" s="550"/>
      <c r="K26" s="550"/>
      <c r="L26" s="550"/>
      <c r="M26" s="550"/>
    </row>
    <row r="28" spans="3:6" ht="15">
      <c r="C28" s="171"/>
      <c r="E28" s="163" t="s">
        <v>262</v>
      </c>
      <c r="F28" s="163" t="s">
        <v>486</v>
      </c>
    </row>
    <row r="29" spans="1:13" ht="30" customHeight="1">
      <c r="A29" s="706" t="s">
        <v>314</v>
      </c>
      <c r="B29" s="590"/>
      <c r="C29" s="590"/>
      <c r="D29" s="169">
        <v>1</v>
      </c>
      <c r="E29" s="169">
        <v>0.5</v>
      </c>
      <c r="F29" s="169">
        <v>0.2</v>
      </c>
      <c r="G29" s="169">
        <v>0.1</v>
      </c>
      <c r="H29" s="169">
        <v>0.04</v>
      </c>
      <c r="I29" s="169">
        <v>0.02</v>
      </c>
      <c r="J29" s="407">
        <v>0.0133</v>
      </c>
      <c r="K29" s="169">
        <v>0.01</v>
      </c>
      <c r="L29" s="170">
        <v>0.005</v>
      </c>
      <c r="M29" s="170">
        <v>0.001</v>
      </c>
    </row>
    <row r="30" spans="3:15" ht="15">
      <c r="C30" s="169">
        <v>1</v>
      </c>
      <c r="D30" s="550"/>
      <c r="E30" s="550"/>
      <c r="F30" s="550"/>
      <c r="G30" s="550"/>
      <c r="H30" s="550"/>
      <c r="I30" s="550"/>
      <c r="J30" s="550"/>
      <c r="K30" s="550"/>
      <c r="L30" s="550"/>
      <c r="M30" s="550"/>
      <c r="O30" s="163" t="s">
        <v>504</v>
      </c>
    </row>
    <row r="31" spans="2:15" ht="15">
      <c r="B31" s="591" t="s">
        <v>294</v>
      </c>
      <c r="C31" s="169">
        <v>0.5</v>
      </c>
      <c r="D31" s="550"/>
      <c r="E31" s="550"/>
      <c r="F31" s="550"/>
      <c r="G31" s="550"/>
      <c r="H31" s="550"/>
      <c r="I31" s="550"/>
      <c r="J31" s="550"/>
      <c r="K31" s="550"/>
      <c r="L31" s="550"/>
      <c r="M31" s="550"/>
      <c r="O31" s="163" t="s">
        <v>319</v>
      </c>
    </row>
    <row r="32" spans="2:15" ht="15">
      <c r="B32" s="592"/>
      <c r="C32" s="169">
        <v>0.2</v>
      </c>
      <c r="D32" s="550"/>
      <c r="E32" s="550"/>
      <c r="F32" s="550"/>
      <c r="G32" s="550"/>
      <c r="H32" s="550"/>
      <c r="I32" s="550"/>
      <c r="J32" s="550"/>
      <c r="K32" s="550"/>
      <c r="L32" s="550"/>
      <c r="M32" s="550"/>
      <c r="O32" s="163" t="s">
        <v>918</v>
      </c>
    </row>
    <row r="33" spans="3:15" ht="15">
      <c r="C33" s="169">
        <v>0.1</v>
      </c>
      <c r="D33" s="550"/>
      <c r="E33" s="550"/>
      <c r="F33" s="550"/>
      <c r="G33" s="550"/>
      <c r="H33" s="550"/>
      <c r="I33" s="550"/>
      <c r="J33" s="550"/>
      <c r="K33" s="550"/>
      <c r="L33" s="550"/>
      <c r="M33" s="550"/>
      <c r="O33" s="163" t="s">
        <v>277</v>
      </c>
    </row>
    <row r="34" spans="3:15" ht="15">
      <c r="C34" s="169">
        <v>0.04</v>
      </c>
      <c r="D34" s="550"/>
      <c r="E34" s="550"/>
      <c r="F34" s="550"/>
      <c r="G34" s="550"/>
      <c r="H34" s="550"/>
      <c r="I34" s="550"/>
      <c r="J34" s="550"/>
      <c r="K34" s="550"/>
      <c r="L34" s="550"/>
      <c r="M34" s="550"/>
      <c r="O34" s="163" t="s">
        <v>919</v>
      </c>
    </row>
    <row r="35" spans="3:13" ht="15">
      <c r="C35" s="169">
        <v>0.02</v>
      </c>
      <c r="D35" s="550"/>
      <c r="E35" s="550"/>
      <c r="F35" s="550"/>
      <c r="G35" s="550"/>
      <c r="H35" s="550"/>
      <c r="I35" s="550"/>
      <c r="J35" s="550"/>
      <c r="K35" s="550"/>
      <c r="L35" s="550"/>
      <c r="M35" s="550"/>
    </row>
    <row r="36" spans="3:13" ht="15">
      <c r="C36" s="407">
        <v>0.0133</v>
      </c>
      <c r="D36" s="550"/>
      <c r="E36" s="550"/>
      <c r="F36" s="550"/>
      <c r="G36" s="550"/>
      <c r="H36" s="550"/>
      <c r="I36" s="550"/>
      <c r="J36" s="550"/>
      <c r="K36" s="550"/>
      <c r="L36" s="550"/>
      <c r="M36" s="550"/>
    </row>
    <row r="37" spans="3:13" ht="15">
      <c r="C37" s="169">
        <v>0.01</v>
      </c>
      <c r="D37" s="550"/>
      <c r="E37" s="550"/>
      <c r="F37" s="550"/>
      <c r="G37" s="550"/>
      <c r="H37" s="550"/>
      <c r="I37" s="550"/>
      <c r="J37" s="550"/>
      <c r="K37" s="550"/>
      <c r="L37" s="550"/>
      <c r="M37" s="550"/>
    </row>
    <row r="38" spans="3:13" ht="15">
      <c r="C38" s="170">
        <v>0.005</v>
      </c>
      <c r="D38" s="550"/>
      <c r="E38" s="550"/>
      <c r="F38" s="550"/>
      <c r="G38" s="550"/>
      <c r="H38" s="550"/>
      <c r="I38" s="550"/>
      <c r="J38" s="550"/>
      <c r="K38" s="550"/>
      <c r="L38" s="550"/>
      <c r="M38" s="550"/>
    </row>
    <row r="39" spans="3:13" ht="15">
      <c r="C39" s="170">
        <v>0.001</v>
      </c>
      <c r="D39" s="550"/>
      <c r="E39" s="550"/>
      <c r="F39" s="550"/>
      <c r="G39" s="550"/>
      <c r="H39" s="550"/>
      <c r="I39" s="550"/>
      <c r="J39" s="550"/>
      <c r="K39" s="550"/>
      <c r="L39" s="550"/>
      <c r="M39" s="550"/>
    </row>
    <row r="40" spans="3:13" ht="15">
      <c r="C40" s="170"/>
      <c r="D40" s="181"/>
      <c r="E40" s="181"/>
      <c r="F40" s="181"/>
      <c r="G40" s="181"/>
      <c r="H40" s="181"/>
      <c r="I40" s="181"/>
      <c r="J40" s="181"/>
      <c r="K40" s="181"/>
      <c r="L40" s="181"/>
      <c r="M40" s="181"/>
    </row>
    <row r="41" spans="3:6" ht="15">
      <c r="C41" s="171"/>
      <c r="E41" s="163" t="s">
        <v>262</v>
      </c>
      <c r="F41" s="163" t="s">
        <v>487</v>
      </c>
    </row>
    <row r="42" spans="1:13" ht="30" customHeight="1">
      <c r="A42" s="706" t="s">
        <v>315</v>
      </c>
      <c r="B42" s="590"/>
      <c r="C42" s="590"/>
      <c r="D42" s="169">
        <v>1</v>
      </c>
      <c r="E42" s="169">
        <v>0.5</v>
      </c>
      <c r="F42" s="169">
        <v>0.2</v>
      </c>
      <c r="G42" s="169">
        <v>0.1</v>
      </c>
      <c r="H42" s="169">
        <v>0.04</v>
      </c>
      <c r="I42" s="169">
        <v>0.02</v>
      </c>
      <c r="J42" s="407">
        <v>0.0133</v>
      </c>
      <c r="K42" s="169">
        <v>0.01</v>
      </c>
      <c r="L42" s="170">
        <v>0.005</v>
      </c>
      <c r="M42" s="170">
        <v>0.001</v>
      </c>
    </row>
    <row r="43" spans="3:15" ht="15">
      <c r="C43" s="169">
        <v>1</v>
      </c>
      <c r="D43" s="550"/>
      <c r="E43" s="550"/>
      <c r="F43" s="550"/>
      <c r="G43" s="550"/>
      <c r="H43" s="550"/>
      <c r="I43" s="550"/>
      <c r="J43" s="550"/>
      <c r="K43" s="550"/>
      <c r="L43" s="550"/>
      <c r="M43" s="550"/>
      <c r="O43" s="163" t="s">
        <v>504</v>
      </c>
    </row>
    <row r="44" spans="2:15" ht="15">
      <c r="B44" s="591" t="s">
        <v>294</v>
      </c>
      <c r="C44" s="169">
        <v>0.5</v>
      </c>
      <c r="D44" s="550"/>
      <c r="E44" s="550"/>
      <c r="F44" s="550"/>
      <c r="G44" s="550"/>
      <c r="H44" s="550"/>
      <c r="I44" s="550"/>
      <c r="J44" s="550"/>
      <c r="K44" s="550"/>
      <c r="L44" s="550"/>
      <c r="M44" s="550"/>
      <c r="O44" s="163" t="s">
        <v>319</v>
      </c>
    </row>
    <row r="45" spans="2:15" ht="15">
      <c r="B45" s="592"/>
      <c r="C45" s="169">
        <v>0.2</v>
      </c>
      <c r="D45" s="550"/>
      <c r="E45" s="550"/>
      <c r="F45" s="550"/>
      <c r="G45" s="550"/>
      <c r="H45" s="550"/>
      <c r="I45" s="550"/>
      <c r="J45" s="550"/>
      <c r="K45" s="550"/>
      <c r="L45" s="550"/>
      <c r="M45" s="550"/>
      <c r="O45" s="163" t="s">
        <v>920</v>
      </c>
    </row>
    <row r="46" spans="3:15" ht="15">
      <c r="C46" s="169">
        <v>0.1</v>
      </c>
      <c r="D46" s="550"/>
      <c r="E46" s="550"/>
      <c r="F46" s="550"/>
      <c r="G46" s="550"/>
      <c r="H46" s="550"/>
      <c r="I46" s="550"/>
      <c r="J46" s="550"/>
      <c r="K46" s="550"/>
      <c r="L46" s="550"/>
      <c r="M46" s="550"/>
      <c r="O46" s="163" t="s">
        <v>277</v>
      </c>
    </row>
    <row r="47" spans="3:15" ht="15">
      <c r="C47" s="169">
        <v>0.04</v>
      </c>
      <c r="D47" s="550"/>
      <c r="E47" s="550"/>
      <c r="F47" s="550"/>
      <c r="G47" s="550"/>
      <c r="H47" s="550"/>
      <c r="I47" s="550"/>
      <c r="J47" s="550"/>
      <c r="K47" s="550"/>
      <c r="L47" s="550"/>
      <c r="M47" s="550"/>
      <c r="O47" s="163" t="s">
        <v>921</v>
      </c>
    </row>
    <row r="48" spans="3:13" ht="15">
      <c r="C48" s="169">
        <v>0.02</v>
      </c>
      <c r="D48" s="550"/>
      <c r="E48" s="550"/>
      <c r="F48" s="550"/>
      <c r="G48" s="550"/>
      <c r="H48" s="550"/>
      <c r="I48" s="550"/>
      <c r="J48" s="550"/>
      <c r="K48" s="550"/>
      <c r="L48" s="550"/>
      <c r="M48" s="550"/>
    </row>
    <row r="49" spans="3:13" ht="15">
      <c r="C49" s="407">
        <v>0.0133</v>
      </c>
      <c r="D49" s="550"/>
      <c r="E49" s="550"/>
      <c r="F49" s="550"/>
      <c r="G49" s="550"/>
      <c r="H49" s="550"/>
      <c r="I49" s="550"/>
      <c r="J49" s="550"/>
      <c r="K49" s="550"/>
      <c r="L49" s="550"/>
      <c r="M49" s="550"/>
    </row>
    <row r="50" spans="3:13" ht="15">
      <c r="C50" s="169">
        <v>0.01</v>
      </c>
      <c r="D50" s="550"/>
      <c r="E50" s="550"/>
      <c r="F50" s="550"/>
      <c r="G50" s="550"/>
      <c r="H50" s="550"/>
      <c r="I50" s="550"/>
      <c r="J50" s="550"/>
      <c r="K50" s="550"/>
      <c r="L50" s="550"/>
      <c r="M50" s="550"/>
    </row>
    <row r="51" spans="3:13" ht="15">
      <c r="C51" s="170">
        <v>0.005</v>
      </c>
      <c r="D51" s="550"/>
      <c r="E51" s="550"/>
      <c r="F51" s="550"/>
      <c r="G51" s="550"/>
      <c r="H51" s="550"/>
      <c r="I51" s="550"/>
      <c r="J51" s="550"/>
      <c r="K51" s="550"/>
      <c r="L51" s="550"/>
      <c r="M51" s="550"/>
    </row>
    <row r="52" spans="3:13" ht="15">
      <c r="C52" s="170">
        <v>0.001</v>
      </c>
      <c r="D52" s="550"/>
      <c r="E52" s="550"/>
      <c r="F52" s="550"/>
      <c r="G52" s="550"/>
      <c r="H52" s="550"/>
      <c r="I52" s="550"/>
      <c r="J52" s="550"/>
      <c r="K52" s="550"/>
      <c r="L52" s="550"/>
      <c r="M52" s="550"/>
    </row>
    <row r="54" spans="3:6" ht="15">
      <c r="C54" s="171"/>
      <c r="E54" s="163" t="s">
        <v>262</v>
      </c>
      <c r="F54" s="163" t="s">
        <v>488</v>
      </c>
    </row>
    <row r="55" spans="1:13" ht="30" customHeight="1">
      <c r="A55" s="706" t="s">
        <v>316</v>
      </c>
      <c r="B55" s="590"/>
      <c r="C55" s="590"/>
      <c r="D55" s="169">
        <v>1</v>
      </c>
      <c r="E55" s="169">
        <v>0.5</v>
      </c>
      <c r="F55" s="169">
        <v>0.2</v>
      </c>
      <c r="G55" s="169">
        <v>0.1</v>
      </c>
      <c r="H55" s="169">
        <v>0.04</v>
      </c>
      <c r="I55" s="169">
        <v>0.02</v>
      </c>
      <c r="J55" s="407">
        <v>0.0133</v>
      </c>
      <c r="K55" s="169">
        <v>0.01</v>
      </c>
      <c r="L55" s="170">
        <v>0.005</v>
      </c>
      <c r="M55" s="170">
        <v>0.001</v>
      </c>
    </row>
    <row r="56" spans="3:15" ht="15">
      <c r="C56" s="169">
        <v>1</v>
      </c>
      <c r="D56" s="550"/>
      <c r="E56" s="550"/>
      <c r="F56" s="550"/>
      <c r="G56" s="550"/>
      <c r="H56" s="550"/>
      <c r="I56" s="550"/>
      <c r="J56" s="550"/>
      <c r="K56" s="550"/>
      <c r="L56" s="550"/>
      <c r="M56" s="550"/>
      <c r="O56" s="163" t="s">
        <v>504</v>
      </c>
    </row>
    <row r="57" spans="2:15" ht="15">
      <c r="B57" s="591" t="s">
        <v>294</v>
      </c>
      <c r="C57" s="169">
        <v>0.5</v>
      </c>
      <c r="D57" s="550"/>
      <c r="E57" s="550"/>
      <c r="F57" s="550"/>
      <c r="G57" s="550"/>
      <c r="H57" s="550"/>
      <c r="I57" s="550"/>
      <c r="J57" s="550"/>
      <c r="K57" s="550"/>
      <c r="L57" s="550"/>
      <c r="M57" s="550"/>
      <c r="O57" s="163" t="s">
        <v>319</v>
      </c>
    </row>
    <row r="58" spans="2:15" ht="15">
      <c r="B58" s="592"/>
      <c r="C58" s="169">
        <v>0.2</v>
      </c>
      <c r="D58" s="550"/>
      <c r="E58" s="550"/>
      <c r="F58" s="550"/>
      <c r="G58" s="550"/>
      <c r="H58" s="550"/>
      <c r="I58" s="550"/>
      <c r="J58" s="550"/>
      <c r="K58" s="550"/>
      <c r="L58" s="550"/>
      <c r="M58" s="550"/>
      <c r="O58" s="163" t="s">
        <v>922</v>
      </c>
    </row>
    <row r="59" spans="3:15" ht="15">
      <c r="C59" s="169">
        <v>0.1</v>
      </c>
      <c r="D59" s="550"/>
      <c r="E59" s="550"/>
      <c r="F59" s="550"/>
      <c r="G59" s="550"/>
      <c r="H59" s="550"/>
      <c r="I59" s="550"/>
      <c r="J59" s="550"/>
      <c r="K59" s="550"/>
      <c r="L59" s="550"/>
      <c r="M59" s="550"/>
      <c r="O59" s="163" t="s">
        <v>277</v>
      </c>
    </row>
    <row r="60" spans="3:15" ht="15">
      <c r="C60" s="169">
        <v>0.04</v>
      </c>
      <c r="D60" s="550"/>
      <c r="E60" s="550"/>
      <c r="F60" s="550"/>
      <c r="G60" s="550"/>
      <c r="H60" s="550"/>
      <c r="I60" s="550"/>
      <c r="J60" s="550"/>
      <c r="K60" s="550"/>
      <c r="L60" s="550"/>
      <c r="M60" s="550"/>
      <c r="O60" s="163" t="s">
        <v>923</v>
      </c>
    </row>
    <row r="61" spans="3:13" ht="15">
      <c r="C61" s="169">
        <v>0.02</v>
      </c>
      <c r="D61" s="550"/>
      <c r="E61" s="550"/>
      <c r="F61" s="550"/>
      <c r="G61" s="550"/>
      <c r="H61" s="550"/>
      <c r="I61" s="550"/>
      <c r="J61" s="550"/>
      <c r="K61" s="550"/>
      <c r="L61" s="550"/>
      <c r="M61" s="550"/>
    </row>
    <row r="62" spans="3:13" ht="15">
      <c r="C62" s="407">
        <v>0.0133</v>
      </c>
      <c r="D62" s="550"/>
      <c r="E62" s="550"/>
      <c r="F62" s="550"/>
      <c r="G62" s="550"/>
      <c r="H62" s="550"/>
      <c r="I62" s="550"/>
      <c r="J62" s="550"/>
      <c r="K62" s="550"/>
      <c r="L62" s="550"/>
      <c r="M62" s="550"/>
    </row>
    <row r="63" spans="3:13" ht="15">
      <c r="C63" s="169">
        <v>0.01</v>
      </c>
      <c r="D63" s="550"/>
      <c r="E63" s="550"/>
      <c r="F63" s="550"/>
      <c r="G63" s="550"/>
      <c r="H63" s="550"/>
      <c r="I63" s="550"/>
      <c r="J63" s="550"/>
      <c r="K63" s="550"/>
      <c r="L63" s="550"/>
      <c r="M63" s="550"/>
    </row>
    <row r="64" spans="3:13" ht="15">
      <c r="C64" s="170">
        <v>0.005</v>
      </c>
      <c r="D64" s="550"/>
      <c r="E64" s="550"/>
      <c r="F64" s="550"/>
      <c r="G64" s="550"/>
      <c r="H64" s="550"/>
      <c r="I64" s="550"/>
      <c r="J64" s="550"/>
      <c r="K64" s="550"/>
      <c r="L64" s="550"/>
      <c r="M64" s="550"/>
    </row>
    <row r="65" spans="3:13" ht="15">
      <c r="C65" s="170">
        <v>0.001</v>
      </c>
      <c r="D65" s="550"/>
      <c r="E65" s="550"/>
      <c r="F65" s="550"/>
      <c r="G65" s="550"/>
      <c r="H65" s="550"/>
      <c r="I65" s="550"/>
      <c r="J65" s="550"/>
      <c r="K65" s="550"/>
      <c r="L65" s="550"/>
      <c r="M65" s="550"/>
    </row>
    <row r="67" spans="3:6" ht="15">
      <c r="C67" s="171"/>
      <c r="E67" s="163" t="s">
        <v>262</v>
      </c>
      <c r="F67" s="163" t="s">
        <v>489</v>
      </c>
    </row>
    <row r="68" spans="1:13" ht="30" customHeight="1">
      <c r="A68" s="706" t="s">
        <v>317</v>
      </c>
      <c r="B68" s="590"/>
      <c r="C68" s="590"/>
      <c r="D68" s="169">
        <v>1</v>
      </c>
      <c r="E68" s="169">
        <v>0.5</v>
      </c>
      <c r="F68" s="169">
        <v>0.2</v>
      </c>
      <c r="G68" s="169">
        <v>0.1</v>
      </c>
      <c r="H68" s="169">
        <v>0.04</v>
      </c>
      <c r="I68" s="169">
        <v>0.02</v>
      </c>
      <c r="J68" s="407">
        <v>0.0133</v>
      </c>
      <c r="K68" s="169">
        <v>0.01</v>
      </c>
      <c r="L68" s="170">
        <v>0.005</v>
      </c>
      <c r="M68" s="170">
        <v>0.001</v>
      </c>
    </row>
    <row r="69" spans="3:15" ht="15">
      <c r="C69" s="169">
        <v>1</v>
      </c>
      <c r="D69" s="550"/>
      <c r="E69" s="550"/>
      <c r="F69" s="550"/>
      <c r="G69" s="550"/>
      <c r="H69" s="550"/>
      <c r="I69" s="550"/>
      <c r="J69" s="550"/>
      <c r="K69" s="550"/>
      <c r="L69" s="550"/>
      <c r="M69" s="550"/>
      <c r="O69" s="163" t="s">
        <v>504</v>
      </c>
    </row>
    <row r="70" spans="2:15" ht="15">
      <c r="B70" s="591" t="s">
        <v>294</v>
      </c>
      <c r="C70" s="169">
        <v>0.5</v>
      </c>
      <c r="D70" s="550"/>
      <c r="E70" s="550"/>
      <c r="F70" s="550"/>
      <c r="G70" s="550"/>
      <c r="H70" s="550"/>
      <c r="I70" s="550"/>
      <c r="J70" s="550"/>
      <c r="K70" s="550"/>
      <c r="L70" s="550"/>
      <c r="M70" s="550"/>
      <c r="O70" s="163" t="s">
        <v>319</v>
      </c>
    </row>
    <row r="71" spans="2:15" ht="15">
      <c r="B71" s="592"/>
      <c r="C71" s="169">
        <v>0.2</v>
      </c>
      <c r="D71" s="550"/>
      <c r="E71" s="550"/>
      <c r="F71" s="550"/>
      <c r="G71" s="550"/>
      <c r="H71" s="550"/>
      <c r="I71" s="550"/>
      <c r="J71" s="550"/>
      <c r="K71" s="550"/>
      <c r="L71" s="550"/>
      <c r="M71" s="550"/>
      <c r="O71" s="163" t="s">
        <v>924</v>
      </c>
    </row>
    <row r="72" spans="3:15" ht="15">
      <c r="C72" s="169">
        <v>0.1</v>
      </c>
      <c r="D72" s="550"/>
      <c r="E72" s="550"/>
      <c r="F72" s="550"/>
      <c r="G72" s="550"/>
      <c r="H72" s="550"/>
      <c r="I72" s="550"/>
      <c r="J72" s="550"/>
      <c r="K72" s="550"/>
      <c r="L72" s="550"/>
      <c r="M72" s="550"/>
      <c r="O72" s="163" t="s">
        <v>277</v>
      </c>
    </row>
    <row r="73" spans="3:15" ht="15">
      <c r="C73" s="169">
        <v>0.04</v>
      </c>
      <c r="D73" s="550"/>
      <c r="E73" s="550"/>
      <c r="F73" s="550"/>
      <c r="G73" s="550"/>
      <c r="H73" s="550"/>
      <c r="I73" s="550"/>
      <c r="J73" s="550"/>
      <c r="K73" s="550"/>
      <c r="L73" s="550"/>
      <c r="M73" s="550"/>
      <c r="O73" s="163" t="s">
        <v>925</v>
      </c>
    </row>
    <row r="74" spans="3:13" ht="15">
      <c r="C74" s="169">
        <v>0.02</v>
      </c>
      <c r="D74" s="550"/>
      <c r="E74" s="550"/>
      <c r="F74" s="550"/>
      <c r="G74" s="550"/>
      <c r="H74" s="550"/>
      <c r="I74" s="550"/>
      <c r="J74" s="550"/>
      <c r="K74" s="550"/>
      <c r="L74" s="550"/>
      <c r="M74" s="550"/>
    </row>
    <row r="75" spans="3:13" ht="15">
      <c r="C75" s="407">
        <v>0.0133</v>
      </c>
      <c r="D75" s="550"/>
      <c r="E75" s="550"/>
      <c r="F75" s="550"/>
      <c r="G75" s="550"/>
      <c r="H75" s="550"/>
      <c r="I75" s="550"/>
      <c r="J75" s="550"/>
      <c r="K75" s="550"/>
      <c r="L75" s="550"/>
      <c r="M75" s="550"/>
    </row>
    <row r="76" spans="3:13" ht="15">
      <c r="C76" s="169">
        <v>0.01</v>
      </c>
      <c r="D76" s="550"/>
      <c r="E76" s="550"/>
      <c r="F76" s="550"/>
      <c r="G76" s="550"/>
      <c r="H76" s="550"/>
      <c r="I76" s="550"/>
      <c r="J76" s="550"/>
      <c r="K76" s="550"/>
      <c r="L76" s="550"/>
      <c r="M76" s="550"/>
    </row>
    <row r="77" spans="3:13" ht="15">
      <c r="C77" s="170">
        <v>0.005</v>
      </c>
      <c r="D77" s="550"/>
      <c r="E77" s="550"/>
      <c r="F77" s="550"/>
      <c r="G77" s="550"/>
      <c r="H77" s="550"/>
      <c r="I77" s="550"/>
      <c r="J77" s="550"/>
      <c r="K77" s="550"/>
      <c r="L77" s="550"/>
      <c r="M77" s="550"/>
    </row>
    <row r="78" spans="3:13" ht="15">
      <c r="C78" s="170">
        <v>0.001</v>
      </c>
      <c r="D78" s="550"/>
      <c r="E78" s="550"/>
      <c r="F78" s="550"/>
      <c r="G78" s="550"/>
      <c r="H78" s="550"/>
      <c r="I78" s="550"/>
      <c r="J78" s="550"/>
      <c r="K78" s="550"/>
      <c r="L78" s="550"/>
      <c r="M78" s="550"/>
    </row>
    <row r="80" spans="3:6" ht="15">
      <c r="C80" s="171"/>
      <c r="E80" s="163" t="s">
        <v>262</v>
      </c>
      <c r="F80" s="163" t="str">
        <f>"Number of "&amp;A81&amp;" whose  risk changes due to changes in water levels"</f>
        <v>Number of OTHER whose  risk changes due to changes in water levels</v>
      </c>
    </row>
    <row r="81" spans="1:13" ht="30" customHeight="1">
      <c r="A81" s="712" t="s">
        <v>331</v>
      </c>
      <c r="B81" s="713"/>
      <c r="C81" s="713"/>
      <c r="D81" s="169">
        <v>1</v>
      </c>
      <c r="E81" s="169">
        <v>0.5</v>
      </c>
      <c r="F81" s="169">
        <v>0.2</v>
      </c>
      <c r="G81" s="169">
        <v>0.1</v>
      </c>
      <c r="H81" s="169">
        <v>0.04</v>
      </c>
      <c r="I81" s="169">
        <v>0.02</v>
      </c>
      <c r="J81" s="407">
        <v>0.0133</v>
      </c>
      <c r="K81" s="169">
        <v>0.01</v>
      </c>
      <c r="L81" s="170">
        <v>0.005</v>
      </c>
      <c r="M81" s="170">
        <v>0.001</v>
      </c>
    </row>
    <row r="82" spans="3:13" ht="15">
      <c r="C82" s="169">
        <v>1</v>
      </c>
      <c r="D82" s="550"/>
      <c r="E82" s="550"/>
      <c r="F82" s="550"/>
      <c r="G82" s="550"/>
      <c r="H82" s="550"/>
      <c r="I82" s="550"/>
      <c r="J82" s="550"/>
      <c r="K82" s="550"/>
      <c r="L82" s="550"/>
      <c r="M82" s="550"/>
    </row>
    <row r="83" spans="2:13" ht="15">
      <c r="B83" s="591" t="s">
        <v>294</v>
      </c>
      <c r="C83" s="169">
        <v>0.5</v>
      </c>
      <c r="D83" s="550"/>
      <c r="E83" s="550"/>
      <c r="F83" s="550"/>
      <c r="G83" s="550"/>
      <c r="H83" s="550"/>
      <c r="I83" s="550"/>
      <c r="J83" s="550"/>
      <c r="K83" s="550"/>
      <c r="L83" s="550"/>
      <c r="M83" s="550"/>
    </row>
    <row r="84" spans="2:13" ht="15">
      <c r="B84" s="592"/>
      <c r="C84" s="169">
        <v>0.2</v>
      </c>
      <c r="D84" s="550"/>
      <c r="E84" s="550"/>
      <c r="F84" s="550"/>
      <c r="G84" s="550"/>
      <c r="H84" s="550"/>
      <c r="I84" s="550"/>
      <c r="J84" s="550"/>
      <c r="K84" s="550"/>
      <c r="L84" s="550"/>
      <c r="M84" s="550"/>
    </row>
    <row r="85" spans="3:13" ht="15">
      <c r="C85" s="169">
        <v>0.1</v>
      </c>
      <c r="D85" s="550"/>
      <c r="E85" s="550"/>
      <c r="F85" s="550"/>
      <c r="G85" s="550"/>
      <c r="H85" s="550"/>
      <c r="I85" s="550"/>
      <c r="J85" s="550"/>
      <c r="K85" s="550"/>
      <c r="L85" s="550"/>
      <c r="M85" s="550"/>
    </row>
    <row r="86" spans="3:13" ht="15">
      <c r="C86" s="169">
        <v>0.04</v>
      </c>
      <c r="D86" s="550"/>
      <c r="E86" s="550"/>
      <c r="F86" s="550"/>
      <c r="G86" s="550"/>
      <c r="H86" s="550"/>
      <c r="I86" s="550"/>
      <c r="J86" s="550"/>
      <c r="K86" s="550"/>
      <c r="L86" s="550"/>
      <c r="M86" s="550"/>
    </row>
    <row r="87" spans="3:13" ht="15">
      <c r="C87" s="169">
        <v>0.02</v>
      </c>
      <c r="D87" s="550"/>
      <c r="E87" s="550"/>
      <c r="F87" s="550"/>
      <c r="G87" s="550"/>
      <c r="H87" s="550"/>
      <c r="I87" s="550"/>
      <c r="J87" s="550"/>
      <c r="K87" s="550"/>
      <c r="L87" s="550"/>
      <c r="M87" s="550"/>
    </row>
    <row r="88" spans="3:13" ht="15">
      <c r="C88" s="407">
        <v>0.0133</v>
      </c>
      <c r="D88" s="550"/>
      <c r="E88" s="550"/>
      <c r="F88" s="550"/>
      <c r="G88" s="550"/>
      <c r="H88" s="550"/>
      <c r="I88" s="550"/>
      <c r="J88" s="550"/>
      <c r="K88" s="550"/>
      <c r="L88" s="550"/>
      <c r="M88" s="550"/>
    </row>
    <row r="89" spans="3:13" ht="15">
      <c r="C89" s="169">
        <v>0.01</v>
      </c>
      <c r="D89" s="550"/>
      <c r="E89" s="550"/>
      <c r="F89" s="550"/>
      <c r="G89" s="550"/>
      <c r="H89" s="550"/>
      <c r="I89" s="550"/>
      <c r="J89" s="550"/>
      <c r="K89" s="550"/>
      <c r="L89" s="550"/>
      <c r="M89" s="550"/>
    </row>
    <row r="90" spans="3:13" ht="15">
      <c r="C90" s="170">
        <v>0.005</v>
      </c>
      <c r="D90" s="550"/>
      <c r="E90" s="550"/>
      <c r="F90" s="550"/>
      <c r="G90" s="550"/>
      <c r="H90" s="550"/>
      <c r="I90" s="550"/>
      <c r="J90" s="550"/>
      <c r="K90" s="550"/>
      <c r="L90" s="550"/>
      <c r="M90" s="550"/>
    </row>
    <row r="91" spans="3:13" ht="15">
      <c r="C91" s="170">
        <v>0.001</v>
      </c>
      <c r="D91" s="550"/>
      <c r="E91" s="550"/>
      <c r="F91" s="550"/>
      <c r="G91" s="550"/>
      <c r="H91" s="550"/>
      <c r="I91" s="550"/>
      <c r="J91" s="550"/>
      <c r="K91" s="550"/>
      <c r="L91" s="550"/>
      <c r="M91" s="550"/>
    </row>
    <row r="93" spans="4:13" ht="15">
      <c r="D93" s="169">
        <v>1</v>
      </c>
      <c r="E93" s="169">
        <v>0.5</v>
      </c>
      <c r="F93" s="169">
        <v>0.2</v>
      </c>
      <c r="G93" s="169">
        <v>0.1</v>
      </c>
      <c r="H93" s="169">
        <v>0.04</v>
      </c>
      <c r="I93" s="169">
        <v>0.02</v>
      </c>
      <c r="J93" s="407">
        <v>0.0133</v>
      </c>
      <c r="K93" s="169">
        <v>0.01</v>
      </c>
      <c r="L93" s="170">
        <v>0.005</v>
      </c>
      <c r="M93" s="170">
        <v>0.001</v>
      </c>
    </row>
    <row r="94" spans="4:13" ht="15">
      <c r="D94" s="553">
        <v>0.01</v>
      </c>
      <c r="E94" s="553">
        <v>0.02</v>
      </c>
      <c r="F94" s="553">
        <v>0.05</v>
      </c>
      <c r="G94" s="553">
        <v>0.1</v>
      </c>
      <c r="H94" s="553">
        <v>0.25</v>
      </c>
      <c r="I94" s="553">
        <v>0.8</v>
      </c>
      <c r="J94" s="553">
        <f>(K94-I94)*0.67+I94</f>
        <v>0.8871</v>
      </c>
      <c r="K94" s="553">
        <v>0.93</v>
      </c>
      <c r="L94" s="553">
        <f>(K94+M94)/2</f>
        <v>0.9650000000000001</v>
      </c>
      <c r="M94" s="553">
        <v>1</v>
      </c>
    </row>
    <row r="95" spans="3:13" ht="15">
      <c r="C95" s="275" t="s">
        <v>588</v>
      </c>
      <c r="D95" s="552"/>
      <c r="E95" s="189"/>
      <c r="F95" s="189"/>
      <c r="G95" s="189"/>
      <c r="H95" s="189"/>
      <c r="I95" s="189"/>
      <c r="J95" s="189"/>
      <c r="K95" s="189"/>
      <c r="L95" s="189"/>
      <c r="M95" s="189"/>
    </row>
    <row r="96" spans="1:14" ht="32.25" customHeight="1">
      <c r="A96" s="706" t="s">
        <v>589</v>
      </c>
      <c r="B96" s="592"/>
      <c r="C96" s="592"/>
      <c r="D96" s="278">
        <f aca="true" t="shared" si="0" ref="D96:I96">$D$95*D94</f>
        <v>0</v>
      </c>
      <c r="E96" s="278">
        <f>$D$95*E94</f>
        <v>0</v>
      </c>
      <c r="F96" s="278">
        <f t="shared" si="0"/>
        <v>0</v>
      </c>
      <c r="G96" s="278">
        <f t="shared" si="0"/>
        <v>0</v>
      </c>
      <c r="H96" s="278">
        <f t="shared" si="0"/>
        <v>0</v>
      </c>
      <c r="I96" s="278">
        <f t="shared" si="0"/>
        <v>0</v>
      </c>
      <c r="J96" s="278">
        <f aca="true" t="shared" si="1" ref="J96:M96">$D$95*J94</f>
        <v>0</v>
      </c>
      <c r="K96" s="278">
        <f t="shared" si="1"/>
        <v>0</v>
      </c>
      <c r="L96" s="278">
        <f t="shared" si="1"/>
        <v>0</v>
      </c>
      <c r="M96" s="278">
        <f t="shared" si="1"/>
        <v>0</v>
      </c>
      <c r="N96" s="163" t="s">
        <v>587</v>
      </c>
    </row>
    <row r="97" spans="1:13" ht="32.25" customHeight="1">
      <c r="A97" s="706" t="s">
        <v>604</v>
      </c>
      <c r="B97" s="591"/>
      <c r="C97" s="591"/>
      <c r="D97" s="278">
        <f>D96</f>
        <v>0</v>
      </c>
      <c r="E97" s="278">
        <f>E96-D96</f>
        <v>0</v>
      </c>
      <c r="F97" s="278">
        <f aca="true" t="shared" si="2" ref="F97:I97">F96-E96</f>
        <v>0</v>
      </c>
      <c r="G97" s="278">
        <f t="shared" si="2"/>
        <v>0</v>
      </c>
      <c r="H97" s="278">
        <f t="shared" si="2"/>
        <v>0</v>
      </c>
      <c r="I97" s="278">
        <f t="shared" si="2"/>
        <v>0</v>
      </c>
      <c r="J97" s="278">
        <f aca="true" t="shared" si="3" ref="J97">J96-I96</f>
        <v>0</v>
      </c>
      <c r="K97" s="278">
        <f aca="true" t="shared" si="4" ref="K97">K96-J96</f>
        <v>0</v>
      </c>
      <c r="L97" s="278">
        <f aca="true" t="shared" si="5" ref="L97">L96-K96</f>
        <v>0</v>
      </c>
      <c r="M97" s="278">
        <f aca="true" t="shared" si="6" ref="M97">M96-L96</f>
        <v>0</v>
      </c>
    </row>
    <row r="99" spans="3:13" ht="15">
      <c r="C99" s="298" t="s">
        <v>650</v>
      </c>
      <c r="D99" s="206">
        <v>1</v>
      </c>
      <c r="E99" s="206">
        <v>0.5</v>
      </c>
      <c r="F99" s="206">
        <v>0.2</v>
      </c>
      <c r="G99" s="206">
        <v>0.1</v>
      </c>
      <c r="H99" s="206">
        <v>0.04</v>
      </c>
      <c r="I99" s="206">
        <v>0.02</v>
      </c>
      <c r="J99" s="407">
        <v>0.0133</v>
      </c>
      <c r="K99" s="169">
        <v>0.01</v>
      </c>
      <c r="L99" s="170">
        <v>0.005</v>
      </c>
      <c r="M99" s="170">
        <v>0.001</v>
      </c>
    </row>
    <row r="100" spans="3:25" ht="30">
      <c r="C100" s="163" t="s">
        <v>377</v>
      </c>
      <c r="D100" s="554" t="s">
        <v>195</v>
      </c>
      <c r="E100" s="554" t="s">
        <v>195</v>
      </c>
      <c r="F100" s="554" t="s">
        <v>378</v>
      </c>
      <c r="G100" s="554" t="s">
        <v>378</v>
      </c>
      <c r="H100" s="554" t="s">
        <v>378</v>
      </c>
      <c r="I100" s="554" t="s">
        <v>378</v>
      </c>
      <c r="J100" s="554" t="s">
        <v>378</v>
      </c>
      <c r="K100" s="554" t="s">
        <v>378</v>
      </c>
      <c r="L100" s="554" t="s">
        <v>378</v>
      </c>
      <c r="M100" s="554" t="s">
        <v>378</v>
      </c>
      <c r="O100" s="591"/>
      <c r="P100" s="590"/>
      <c r="Q100" s="590"/>
      <c r="R100" s="590"/>
      <c r="S100" s="590"/>
      <c r="T100" s="590"/>
      <c r="U100" s="590"/>
      <c r="V100" s="590"/>
      <c r="W100" s="590"/>
      <c r="X100" s="590"/>
      <c r="Y100" s="590"/>
    </row>
    <row r="101" spans="4:25" ht="15">
      <c r="D101" s="296"/>
      <c r="E101" s="296"/>
      <c r="F101" s="296"/>
      <c r="G101" s="296"/>
      <c r="H101" s="296"/>
      <c r="I101" s="296"/>
      <c r="J101" s="397"/>
      <c r="K101" s="296"/>
      <c r="L101" s="397"/>
      <c r="M101" s="296"/>
      <c r="O101" s="296"/>
      <c r="P101" s="276"/>
      <c r="Q101" s="276"/>
      <c r="R101" s="276"/>
      <c r="S101" s="276"/>
      <c r="T101" s="276"/>
      <c r="U101" s="276"/>
      <c r="V101" s="276"/>
      <c r="W101" s="276"/>
      <c r="X101" s="276"/>
      <c r="Y101" s="276"/>
    </row>
    <row r="102" spans="3:7" ht="30">
      <c r="C102" s="298" t="str">
        <f>C99</f>
        <v>SOCIAL INFRASTRUCTURE</v>
      </c>
      <c r="D102" s="296" t="s">
        <v>195</v>
      </c>
      <c r="G102" s="296"/>
    </row>
    <row r="103" spans="2:10" ht="15">
      <c r="B103" s="708" t="s">
        <v>128</v>
      </c>
      <c r="C103" s="709"/>
      <c r="D103" s="555">
        <v>10000000</v>
      </c>
      <c r="E103" s="276" t="s">
        <v>642</v>
      </c>
      <c r="F103" s="276"/>
      <c r="G103" s="296"/>
      <c r="H103" s="168"/>
      <c r="I103" s="296"/>
      <c r="J103" s="397"/>
    </row>
    <row r="104" spans="2:10" ht="15">
      <c r="B104" s="708" t="s">
        <v>300</v>
      </c>
      <c r="C104" s="709"/>
      <c r="D104" s="555">
        <v>1000000</v>
      </c>
      <c r="E104" s="276" t="s">
        <v>645</v>
      </c>
      <c r="F104" s="276"/>
      <c r="G104" s="296"/>
      <c r="H104" s="168"/>
      <c r="I104" s="296"/>
      <c r="J104" s="397"/>
    </row>
    <row r="105" spans="2:10" ht="15" customHeight="1">
      <c r="B105" s="708" t="s">
        <v>301</v>
      </c>
      <c r="C105" s="709"/>
      <c r="D105" s="555">
        <v>2500000</v>
      </c>
      <c r="E105" s="276" t="s">
        <v>646</v>
      </c>
      <c r="F105" s="276"/>
      <c r="G105" s="296"/>
      <c r="H105" s="168"/>
      <c r="I105" s="296"/>
      <c r="J105" s="397"/>
    </row>
    <row r="106" spans="2:10" ht="15" customHeight="1">
      <c r="B106" s="708" t="s">
        <v>129</v>
      </c>
      <c r="C106" s="709"/>
      <c r="D106" s="555">
        <v>2500000</v>
      </c>
      <c r="E106" s="276" t="s">
        <v>647</v>
      </c>
      <c r="F106" s="276"/>
      <c r="G106" s="296"/>
      <c r="H106" s="168"/>
      <c r="I106" s="296"/>
      <c r="J106" s="397"/>
    </row>
    <row r="107" spans="2:10" ht="15" customHeight="1">
      <c r="B107" s="708" t="s">
        <v>193</v>
      </c>
      <c r="C107" s="709"/>
      <c r="D107" s="555">
        <v>500000</v>
      </c>
      <c r="E107" s="276" t="s">
        <v>648</v>
      </c>
      <c r="F107" s="276"/>
      <c r="G107" s="296"/>
      <c r="H107" s="168"/>
      <c r="I107" s="296"/>
      <c r="J107" s="397"/>
    </row>
    <row r="108" spans="2:5" ht="15" customHeight="1">
      <c r="B108" s="708" t="s">
        <v>130</v>
      </c>
      <c r="C108" s="709"/>
      <c r="D108" s="555">
        <v>250000</v>
      </c>
      <c r="E108" s="276" t="s">
        <v>649</v>
      </c>
    </row>
    <row r="109" spans="2:5" ht="15">
      <c r="B109" s="297"/>
      <c r="C109" s="298" t="s">
        <v>92</v>
      </c>
      <c r="D109" s="555">
        <v>10000000</v>
      </c>
      <c r="E109" s="276" t="s">
        <v>649</v>
      </c>
    </row>
    <row r="110" spans="2:4" ht="15">
      <c r="B110" s="297"/>
      <c r="C110" s="298"/>
      <c r="D110" s="163" t="s">
        <v>386</v>
      </c>
    </row>
    <row r="111" ht="15">
      <c r="D111" s="163" t="s">
        <v>387</v>
      </c>
    </row>
    <row r="112" spans="1:5" ht="27.75" customHeight="1">
      <c r="A112" s="706" t="s">
        <v>639</v>
      </c>
      <c r="B112" s="592"/>
      <c r="C112" s="592"/>
      <c r="D112" s="556">
        <v>25</v>
      </c>
      <c r="E112" s="163" t="s">
        <v>391</v>
      </c>
    </row>
    <row r="113" spans="1:5" ht="15">
      <c r="A113" s="296"/>
      <c r="B113" s="296"/>
      <c r="C113" s="298" t="s">
        <v>390</v>
      </c>
      <c r="D113" s="162">
        <f>VLOOKUP(D112-1,Sheet1!A$15:C$114,3,FALSE)</f>
        <v>17.058367603016084</v>
      </c>
      <c r="E113" s="163" t="str">
        <f>"Sum of discount factors from year 0 to year "&amp;D112</f>
        <v>Sum of discount factors from year 0 to year 25</v>
      </c>
    </row>
    <row r="114" spans="1:5" ht="15">
      <c r="A114" s="329"/>
      <c r="B114" s="329"/>
      <c r="C114" s="330" t="s">
        <v>785</v>
      </c>
      <c r="D114" s="178">
        <v>0.5</v>
      </c>
      <c r="E114" s="163" t="s">
        <v>786</v>
      </c>
    </row>
    <row r="115" spans="2:5" ht="15">
      <c r="B115" s="708" t="s">
        <v>128</v>
      </c>
      <c r="C115" s="709"/>
      <c r="D115" s="308">
        <f>D103/D$113/E134-D103/D$113/E134*D114</f>
        <v>29.31112821789555</v>
      </c>
      <c r="E115" s="163" t="s">
        <v>644</v>
      </c>
    </row>
    <row r="116" spans="2:5" ht="15">
      <c r="B116" s="708" t="s">
        <v>300</v>
      </c>
      <c r="C116" s="709"/>
      <c r="D116" s="308">
        <f>D104/D$113/E135-D104/D$113/E135*D114</f>
        <v>35.29878083578317</v>
      </c>
      <c r="E116" s="163" t="s">
        <v>644</v>
      </c>
    </row>
    <row r="117" spans="2:5" ht="15" customHeight="1">
      <c r="B117" s="708" t="s">
        <v>301</v>
      </c>
      <c r="C117" s="709"/>
      <c r="D117" s="308">
        <f>D105/D$113/E136-D105/D$113/E136*D114</f>
        <v>27.139933535088474</v>
      </c>
      <c r="E117" s="163" t="s">
        <v>644</v>
      </c>
    </row>
    <row r="118" spans="2:5" ht="15" customHeight="1">
      <c r="B118" s="708" t="s">
        <v>129</v>
      </c>
      <c r="C118" s="709"/>
      <c r="D118" s="308">
        <f>D106/D$113/E137-D106/D$113/E137*D114</f>
        <v>15.485591831094437</v>
      </c>
      <c r="E118" s="163" t="s">
        <v>644</v>
      </c>
    </row>
    <row r="119" spans="2:5" ht="15" customHeight="1">
      <c r="B119" s="708" t="s">
        <v>193</v>
      </c>
      <c r="C119" s="709"/>
      <c r="D119" s="308">
        <f>D107/D$113/E138-D107/D$113/E138*D114</f>
        <v>29.252622971951645</v>
      </c>
      <c r="E119" s="163" t="s">
        <v>644</v>
      </c>
    </row>
    <row r="120" spans="2:5" ht="15" customHeight="1">
      <c r="B120" s="708" t="s">
        <v>130</v>
      </c>
      <c r="C120" s="709"/>
      <c r="D120" s="308">
        <f>D108/D$113/E139-D108/D$113/E139*D114</f>
        <v>26.150972351472905</v>
      </c>
      <c r="E120" s="163" t="s">
        <v>644</v>
      </c>
    </row>
    <row r="121" spans="2:5" ht="15">
      <c r="B121" s="297"/>
      <c r="C121" s="298" t="s">
        <v>92</v>
      </c>
      <c r="D121" s="308">
        <f>IF(ISERROR(D109/D$113/E140-D109/D$113/E140*D114),0,D109/D$113/E140-D109/D$113/E140*D114)</f>
        <v>0</v>
      </c>
      <c r="E121" s="163" t="s">
        <v>644</v>
      </c>
    </row>
    <row r="122" spans="3:4" ht="15">
      <c r="C122" s="298"/>
      <c r="D122" s="309"/>
    </row>
    <row r="123" spans="2:13" ht="33" customHeight="1">
      <c r="B123" s="591" t="s">
        <v>282</v>
      </c>
      <c r="C123" s="590"/>
      <c r="D123" s="169">
        <v>1</v>
      </c>
      <c r="E123" s="169">
        <v>0.5</v>
      </c>
      <c r="F123" s="169">
        <v>0.2</v>
      </c>
      <c r="G123" s="169">
        <v>0.1</v>
      </c>
      <c r="H123" s="169">
        <v>0.04</v>
      </c>
      <c r="I123" s="169">
        <v>0.02</v>
      </c>
      <c r="J123" s="407">
        <v>0.0133</v>
      </c>
      <c r="K123" s="169">
        <v>0.01</v>
      </c>
      <c r="L123" s="170">
        <v>0.005</v>
      </c>
      <c r="M123" s="170">
        <v>0.001</v>
      </c>
    </row>
    <row r="124" spans="2:15" ht="15">
      <c r="B124" s="708" t="s">
        <v>128</v>
      </c>
      <c r="C124" s="709"/>
      <c r="D124" s="277">
        <f>IF(D$100="One-off loss",'Water levels-Business'!D45,$D115)</f>
        <v>29.31112821789555</v>
      </c>
      <c r="E124" s="277">
        <f>IF(E$100="One-off loss",'Water levels-Business'!E45,$D115)</f>
        <v>29.31112821789555</v>
      </c>
      <c r="F124" s="277">
        <f>IF(F$100="One-off loss",'Water levels-Business'!F45,$D115)</f>
        <v>19.958300549651398</v>
      </c>
      <c r="G124" s="277">
        <f>IF(G$100="One-off loss",'Water levels-Business'!G45,$D115)</f>
        <v>11.739932753517232</v>
      </c>
      <c r="H124" s="277">
        <f>IF(H$100="One-off loss",'Water levels-Business'!H45,$D115)</f>
        <v>6.367345725379362</v>
      </c>
      <c r="I124" s="277">
        <f>IF(I$100="One-off loss",'Water levels-Business'!I45,$D115)</f>
        <v>3.0053981072020832</v>
      </c>
      <c r="J124" s="277">
        <f>IF(J$100="One-off loss",'Water levels-Business'!J45,$D115)</f>
        <v>1.5065823986733475</v>
      </c>
      <c r="K124" s="277">
        <f>IF(K$100="One-off loss",'Water levels-Business'!K45,$D115)</f>
        <v>0.761057889481286</v>
      </c>
      <c r="L124" s="277">
        <f>IF(L$100="One-off loss",'Water levels-Business'!L45,$D115)</f>
        <v>0.3565495109751966</v>
      </c>
      <c r="M124" s="277">
        <f>IF(M$100="One-off loss",'Water levels-Business'!M45,$D115)</f>
        <v>0</v>
      </c>
      <c r="N124" s="163" t="s">
        <v>114</v>
      </c>
      <c r="O124" s="163" t="s">
        <v>116</v>
      </c>
    </row>
    <row r="125" spans="2:15" ht="15" customHeight="1">
      <c r="B125" s="708" t="s">
        <v>300</v>
      </c>
      <c r="C125" s="709"/>
      <c r="D125" s="277">
        <f>IF(D$100="One-off loss",'Water levels-Business'!D46,$D116)</f>
        <v>35.29878083578317</v>
      </c>
      <c r="E125" s="277">
        <f>IF(E$100="One-off loss",'Water levels-Business'!E46,$D116)</f>
        <v>35.29878083578317</v>
      </c>
      <c r="F125" s="277">
        <f>IF(F$100="One-off loss",'Water levels-Business'!F46,$D116)</f>
        <v>19.2</v>
      </c>
      <c r="G125" s="277">
        <f>IF(G$100="One-off loss",'Water levels-Business'!G46,$D116)</f>
        <v>11.4</v>
      </c>
      <c r="H125" s="277">
        <f>IF(H$100="One-off loss",'Water levels-Business'!H46,$D116)</f>
        <v>6.2</v>
      </c>
      <c r="I125" s="277">
        <f>IF(I$100="One-off loss",'Water levels-Business'!I46,$D116)</f>
        <v>2.9</v>
      </c>
      <c r="J125" s="277">
        <f>IF(J$100="One-off loss",'Water levels-Business'!J46,$D116)</f>
        <v>1.44</v>
      </c>
      <c r="K125" s="277">
        <f>IF(K$100="One-off loss",'Water levels-Business'!K46,$D116)</f>
        <v>0.7</v>
      </c>
      <c r="L125" s="277">
        <f>IF(L$100="One-off loss",'Water levels-Business'!L46,$D116)</f>
        <v>0.4</v>
      </c>
      <c r="M125" s="277">
        <f>IF(M$100="One-off loss",'Water levels-Business'!M46,$D116)</f>
        <v>0</v>
      </c>
      <c r="N125" s="163" t="s">
        <v>114</v>
      </c>
      <c r="O125" s="163" t="s">
        <v>310</v>
      </c>
    </row>
    <row r="126" spans="2:14" ht="15" customHeight="1">
      <c r="B126" s="708" t="s">
        <v>301</v>
      </c>
      <c r="C126" s="709"/>
      <c r="D126" s="277">
        <f>IF(D$100="One-off loss",'Water levels-Business'!D47,$D117)</f>
        <v>27.139933535088474</v>
      </c>
      <c r="E126" s="277">
        <f>IF(E$100="One-off loss",'Water levels-Business'!E47,$D117)</f>
        <v>27.139933535088474</v>
      </c>
      <c r="F126" s="277">
        <f>IF(F$100="One-off loss",'Water levels-Business'!F47,$D117)</f>
        <v>23.1</v>
      </c>
      <c r="G126" s="277">
        <f>IF(G$100="One-off loss",'Water levels-Business'!G47,$D117)</f>
        <v>13.6</v>
      </c>
      <c r="H126" s="277">
        <f>IF(H$100="One-off loss",'Water levels-Business'!H47,$D117)</f>
        <v>7.4</v>
      </c>
      <c r="I126" s="277">
        <f>IF(I$100="One-off loss",'Water levels-Business'!I47,$D117)</f>
        <v>3.5</v>
      </c>
      <c r="J126" s="277">
        <f>IF(J$100="One-off loss",'Water levels-Business'!J47,$D117)</f>
        <v>1.7600000000000002</v>
      </c>
      <c r="K126" s="277">
        <f>IF(K$100="One-off loss",'Water levels-Business'!K47,$D117)</f>
        <v>0.9</v>
      </c>
      <c r="L126" s="277">
        <f>IF(L$100="One-off loss",'Water levels-Business'!L47,$D117)</f>
        <v>0.4</v>
      </c>
      <c r="M126" s="277">
        <f>IF(M$100="One-off loss",'Water levels-Business'!M47,$D117)</f>
        <v>0</v>
      </c>
      <c r="N126" s="163" t="s">
        <v>114</v>
      </c>
    </row>
    <row r="127" spans="2:14" ht="15">
      <c r="B127" s="708" t="s">
        <v>129</v>
      </c>
      <c r="C127" s="709"/>
      <c r="D127" s="277">
        <f>IF(D$100="One-off loss",'Water levels-Business'!D48,$D118)</f>
        <v>15.485591831094437</v>
      </c>
      <c r="E127" s="277">
        <f>IF(E$100="One-off loss",'Water levels-Business'!E48,$D118)</f>
        <v>15.485591831094437</v>
      </c>
      <c r="F127" s="277">
        <f>IF(F$100="One-off loss",'Water levels-Business'!F48,$D118)</f>
        <v>18.7</v>
      </c>
      <c r="G127" s="277">
        <f>IF(G$100="One-off loss",'Water levels-Business'!G48,$D118)</f>
        <v>11</v>
      </c>
      <c r="H127" s="277">
        <f>IF(H$100="One-off loss",'Water levels-Business'!H48,$D118)</f>
        <v>6</v>
      </c>
      <c r="I127" s="277">
        <f>IF(I$100="One-off loss",'Water levels-Business'!I48,$D118)</f>
        <v>2.8</v>
      </c>
      <c r="J127" s="277">
        <f>IF(J$100="One-off loss",'Water levels-Business'!J48,$D118)</f>
        <v>1.4</v>
      </c>
      <c r="K127" s="277">
        <f>IF(K$100="One-off loss",'Water levels-Business'!K48,$D118)</f>
        <v>0.7</v>
      </c>
      <c r="L127" s="277">
        <f>IF(L$100="One-off loss",'Water levels-Business'!L48,$D118)</f>
        <v>0.4</v>
      </c>
      <c r="M127" s="277">
        <f>IF(M$100="One-off loss",'Water levels-Business'!M48,$D118)</f>
        <v>0</v>
      </c>
      <c r="N127" s="163" t="s">
        <v>114</v>
      </c>
    </row>
    <row r="128" spans="2:14" ht="15">
      <c r="B128" s="708" t="s">
        <v>193</v>
      </c>
      <c r="C128" s="709"/>
      <c r="D128" s="277">
        <f>IF(D$100="One-off loss",'Water levels-Business'!D49,$D119)</f>
        <v>29.252622971951645</v>
      </c>
      <c r="E128" s="277">
        <f>IF(E$100="One-off loss",'Water levels-Business'!E49,$D119)</f>
        <v>29.252622971951645</v>
      </c>
      <c r="F128" s="277">
        <f>IF(F$100="One-off loss",'Water levels-Business'!F49,$D119)</f>
        <v>18.1</v>
      </c>
      <c r="G128" s="277">
        <f>IF(G$100="One-off loss",'Water levels-Business'!G49,$D119)</f>
        <v>10.6</v>
      </c>
      <c r="H128" s="277">
        <f>IF(H$100="One-off loss",'Water levels-Business'!H49,$D119)</f>
        <v>5.7</v>
      </c>
      <c r="I128" s="277">
        <f>IF(I$100="One-off loss",'Water levels-Business'!I49,$D119)</f>
        <v>2.7</v>
      </c>
      <c r="J128" s="277">
        <f>IF(J$100="One-off loss",'Water levels-Business'!J49,$D119)</f>
        <v>1.36</v>
      </c>
      <c r="K128" s="277">
        <f>IF(K$100="One-off loss",'Water levels-Business'!K49,$D119)</f>
        <v>0.7</v>
      </c>
      <c r="L128" s="277">
        <f>IF(L$100="One-off loss",'Water levels-Business'!L49,$D119)</f>
        <v>0.3</v>
      </c>
      <c r="M128" s="277">
        <f>IF(M$100="One-off loss",'Water levels-Business'!M49,$D119)</f>
        <v>0</v>
      </c>
      <c r="N128" s="163" t="s">
        <v>114</v>
      </c>
    </row>
    <row r="129" spans="2:24" ht="15">
      <c r="B129" s="708" t="s">
        <v>130</v>
      </c>
      <c r="C129" s="709"/>
      <c r="D129" s="277">
        <f>IF(D$100="One-off loss",'Water levels-Business'!D50,$D120)</f>
        <v>26.150972351472905</v>
      </c>
      <c r="E129" s="277">
        <f>IF(E$100="One-off loss",'Water levels-Business'!E50,$D120)</f>
        <v>26.150972351472905</v>
      </c>
      <c r="F129" s="277">
        <f>IF(F$100="One-off loss",'Water levels-Business'!F50,$D120)</f>
        <v>18.6</v>
      </c>
      <c r="G129" s="277">
        <f>IF(G$100="One-off loss",'Water levels-Business'!G50,$D120)</f>
        <v>10.9</v>
      </c>
      <c r="H129" s="277">
        <f>IF(H$100="One-off loss",'Water levels-Business'!H50,$D120)</f>
        <v>5.9</v>
      </c>
      <c r="I129" s="277">
        <f>IF(I$100="One-off loss",'Water levels-Business'!I50,$D120)</f>
        <v>2.8</v>
      </c>
      <c r="J129" s="277">
        <f>IF(J$100="One-off loss",'Water levels-Business'!J50,$D120)</f>
        <v>1.4</v>
      </c>
      <c r="K129" s="277">
        <f>IF(K$100="One-off loss",'Water levels-Business'!K50,$D120)</f>
        <v>0.7</v>
      </c>
      <c r="L129" s="277">
        <f>IF(L$100="One-off loss",'Water levels-Business'!L50,$D120)</f>
        <v>0.3</v>
      </c>
      <c r="M129" s="277">
        <f>IF(M$100="One-off loss",'Water levels-Business'!M50,$D120)</f>
        <v>0</v>
      </c>
      <c r="N129" s="163" t="s">
        <v>114</v>
      </c>
      <c r="Q129" s="168"/>
      <c r="R129" s="172"/>
      <c r="S129" s="172"/>
      <c r="T129" s="172"/>
      <c r="U129" s="172"/>
      <c r="V129" s="172"/>
      <c r="W129" s="172"/>
      <c r="X129" s="172"/>
    </row>
    <row r="130" spans="2:24" ht="15">
      <c r="B130" s="187"/>
      <c r="C130" s="171" t="str">
        <f>A81</f>
        <v>OTHER</v>
      </c>
      <c r="D130" s="277">
        <f>IF(D$100="One-off loss",'Water levels-Business'!D45,$D121)</f>
        <v>0</v>
      </c>
      <c r="E130" s="277">
        <f>IF(E$100="One-off loss",'Water levels-Business'!E45,$D121)</f>
        <v>0</v>
      </c>
      <c r="F130" s="277">
        <f>IF(F$100="One-off loss",'Water levels-Business'!F45,$D121)</f>
        <v>19.958300549651398</v>
      </c>
      <c r="G130" s="277">
        <f>IF(G$100="One-off loss",'Water levels-Business'!G45,$D121)</f>
        <v>11.739932753517232</v>
      </c>
      <c r="H130" s="277">
        <f>IF(H$100="One-off loss",'Water levels-Business'!H45,$D121)</f>
        <v>6.367345725379362</v>
      </c>
      <c r="I130" s="277">
        <f>IF(I$100="One-off loss",'Water levels-Business'!I45,$D121)</f>
        <v>3.0053981072020832</v>
      </c>
      <c r="J130" s="277">
        <f>IF(J$100="One-off loss",'Water levels-Business'!J45,$D121)</f>
        <v>1.5065823986733475</v>
      </c>
      <c r="K130" s="277">
        <f>IF(K$100="One-off loss",'Water levels-Business'!K45,$D121)</f>
        <v>0.761057889481286</v>
      </c>
      <c r="L130" s="277">
        <f>IF(L$100="One-off loss",'Water levels-Business'!L45,$D121)</f>
        <v>0.3565495109751966</v>
      </c>
      <c r="M130" s="277">
        <f>IF(M$100="One-off loss",'Water levels-Business'!M45,$D121)</f>
        <v>0</v>
      </c>
      <c r="N130" s="163" t="s">
        <v>334</v>
      </c>
      <c r="Q130" s="168"/>
      <c r="R130" s="172"/>
      <c r="S130" s="172"/>
      <c r="T130" s="172"/>
      <c r="U130" s="172"/>
      <c r="V130" s="172"/>
      <c r="W130" s="172"/>
      <c r="X130" s="172"/>
    </row>
    <row r="131" spans="17:24" ht="15">
      <c r="Q131" s="168"/>
      <c r="R131" s="172"/>
      <c r="S131" s="172"/>
      <c r="T131" s="172"/>
      <c r="U131" s="172"/>
      <c r="V131" s="172"/>
      <c r="W131" s="172"/>
      <c r="X131" s="172"/>
    </row>
    <row r="132" spans="4:24" ht="32.25">
      <c r="D132" s="180" t="s">
        <v>287</v>
      </c>
      <c r="E132" s="182" t="s">
        <v>288</v>
      </c>
      <c r="F132" s="182" t="s">
        <v>289</v>
      </c>
      <c r="G132" s="177"/>
      <c r="Q132" s="168"/>
      <c r="R132" s="172"/>
      <c r="S132" s="172"/>
      <c r="T132" s="172"/>
      <c r="U132" s="172"/>
      <c r="V132" s="172"/>
      <c r="W132" s="172"/>
      <c r="X132" s="172"/>
    </row>
    <row r="133" spans="3:24" ht="15">
      <c r="C133" s="171" t="s">
        <v>305</v>
      </c>
      <c r="D133" s="280">
        <f>SUM(D134:D140)</f>
        <v>0</v>
      </c>
      <c r="E133" s="559">
        <f>IF(ISERROR(E134*G134+E135*G135+E136*G136+E137*G137+E138*G138+E139*G139),0,E134*G134+E135*G135+E136*G136+E137*G137+E138*G138+E139*G139)</f>
        <v>0</v>
      </c>
      <c r="F133" s="281">
        <f>SUM(F134:F139)</f>
        <v>0</v>
      </c>
      <c r="G133" s="177"/>
      <c r="Q133" s="168"/>
      <c r="R133" s="172"/>
      <c r="S133" s="172"/>
      <c r="T133" s="172"/>
      <c r="U133" s="172"/>
      <c r="V133" s="172"/>
      <c r="W133" s="172"/>
      <c r="X133" s="172"/>
    </row>
    <row r="134" spans="2:24" ht="31.5" customHeight="1">
      <c r="B134" s="708" t="s">
        <v>307</v>
      </c>
      <c r="C134" s="710"/>
      <c r="D134" s="283">
        <f>SUM(D4:M13)</f>
        <v>0</v>
      </c>
      <c r="E134" s="282">
        <v>10000</v>
      </c>
      <c r="F134" s="558">
        <f>D134*E134</f>
        <v>0</v>
      </c>
      <c r="G134" s="167">
        <f>IF(ISERROR(F134/SUM($F$134:$F$139)),0,F134/SUM($F$134:$F$139))</f>
        <v>0</v>
      </c>
      <c r="H134" s="163" t="s">
        <v>302</v>
      </c>
      <c r="Q134" s="168"/>
      <c r="R134" s="172"/>
      <c r="S134" s="172"/>
      <c r="T134" s="172"/>
      <c r="U134" s="172"/>
      <c r="V134" s="172"/>
      <c r="W134" s="172"/>
      <c r="X134" s="172"/>
    </row>
    <row r="135" spans="2:24" ht="30" customHeight="1">
      <c r="B135" s="708" t="s">
        <v>308</v>
      </c>
      <c r="C135" s="710"/>
      <c r="D135" s="283">
        <f>SUM(D17:M26)</f>
        <v>0</v>
      </c>
      <c r="E135" s="282">
        <f>(10000*1790+151*24160)/(1790+24160)</f>
        <v>830.3722543352601</v>
      </c>
      <c r="F135" s="558">
        <f aca="true" t="shared" si="7" ref="F135:F139">D135*E135</f>
        <v>0</v>
      </c>
      <c r="G135" s="167">
        <f aca="true" t="shared" si="8" ref="G135:G140">IF(ISERROR(F135/SUM($F$134:$F$139)),0,F135/SUM($F$134:$F$139))</f>
        <v>0</v>
      </c>
      <c r="H135" s="163" t="s">
        <v>309</v>
      </c>
      <c r="I135" s="167"/>
      <c r="J135" s="167"/>
      <c r="Q135" s="168"/>
      <c r="R135" s="172"/>
      <c r="S135" s="172"/>
      <c r="T135" s="172"/>
      <c r="U135" s="172"/>
      <c r="V135" s="172"/>
      <c r="W135" s="172"/>
      <c r="X135" s="172"/>
    </row>
    <row r="136" spans="2:24" ht="43.5" customHeight="1">
      <c r="B136" s="708" t="s">
        <v>306</v>
      </c>
      <c r="C136" s="710"/>
      <c r="D136" s="283">
        <f>SUM(D30:M39)</f>
        <v>0</v>
      </c>
      <c r="E136" s="282">
        <v>2700</v>
      </c>
      <c r="F136" s="558">
        <f t="shared" si="7"/>
        <v>0</v>
      </c>
      <c r="G136" s="167">
        <f t="shared" si="8"/>
        <v>0</v>
      </c>
      <c r="H136" s="163" t="s">
        <v>120</v>
      </c>
      <c r="I136" s="167"/>
      <c r="J136" s="167"/>
      <c r="Q136" s="168"/>
      <c r="R136" s="172"/>
      <c r="S136" s="172"/>
      <c r="T136" s="172"/>
      <c r="U136" s="172"/>
      <c r="V136" s="172"/>
      <c r="W136" s="172"/>
      <c r="X136" s="172"/>
    </row>
    <row r="137" spans="2:24" ht="29.25" customHeight="1">
      <c r="B137" s="708" t="s">
        <v>129</v>
      </c>
      <c r="C137" s="710"/>
      <c r="D137" s="283">
        <f>SUM(D43:M52)</f>
        <v>0</v>
      </c>
      <c r="E137" s="282">
        <v>4732</v>
      </c>
      <c r="F137" s="558">
        <f t="shared" si="7"/>
        <v>0</v>
      </c>
      <c r="G137" s="167">
        <f t="shared" si="8"/>
        <v>0</v>
      </c>
      <c r="H137" s="163" t="s">
        <v>303</v>
      </c>
      <c r="I137" s="167"/>
      <c r="J137" s="167"/>
      <c r="R137" s="172"/>
      <c r="S137" s="172"/>
      <c r="T137" s="172"/>
      <c r="U137" s="172"/>
      <c r="V137" s="172"/>
      <c r="W137" s="172"/>
      <c r="X137" s="172"/>
    </row>
    <row r="138" spans="2:24" ht="15">
      <c r="B138" s="708" t="s">
        <v>193</v>
      </c>
      <c r="C138" s="710"/>
      <c r="D138" s="283">
        <f>SUM(D56:M65)</f>
        <v>0</v>
      </c>
      <c r="E138" s="165">
        <v>501</v>
      </c>
      <c r="F138" s="558">
        <f t="shared" si="7"/>
        <v>0</v>
      </c>
      <c r="G138" s="167">
        <f t="shared" si="8"/>
        <v>0</v>
      </c>
      <c r="H138" s="163" t="s">
        <v>304</v>
      </c>
      <c r="I138" s="167"/>
      <c r="J138" s="167"/>
      <c r="R138" s="172"/>
      <c r="S138" s="172"/>
      <c r="T138" s="172"/>
      <c r="U138" s="172"/>
      <c r="V138" s="172"/>
      <c r="W138" s="172"/>
      <c r="X138" s="172"/>
    </row>
    <row r="139" spans="2:24" ht="17.25">
      <c r="B139" s="708" t="s">
        <v>130</v>
      </c>
      <c r="C139" s="710"/>
      <c r="D139" s="283">
        <f>SUM(D69:M78)</f>
        <v>0</v>
      </c>
      <c r="E139" s="282">
        <f>(146*2690+1017*490)/(2690+490)</f>
        <v>280.21069182389937</v>
      </c>
      <c r="F139" s="558">
        <f t="shared" si="7"/>
        <v>0</v>
      </c>
      <c r="G139" s="167">
        <f t="shared" si="8"/>
        <v>0</v>
      </c>
      <c r="H139" s="163" t="s">
        <v>320</v>
      </c>
      <c r="I139" s="167"/>
      <c r="J139" s="167"/>
      <c r="R139" s="172"/>
      <c r="S139" s="172"/>
      <c r="T139" s="172"/>
      <c r="U139" s="172"/>
      <c r="V139" s="172"/>
      <c r="W139" s="172"/>
      <c r="X139" s="172"/>
    </row>
    <row r="140" spans="2:24" ht="15">
      <c r="B140" s="708" t="str">
        <f>C130</f>
        <v>OTHER</v>
      </c>
      <c r="C140" s="710"/>
      <c r="D140" s="283">
        <f>SUM(D82:M91)</f>
        <v>0</v>
      </c>
      <c r="E140" s="282">
        <f>E133</f>
        <v>0</v>
      </c>
      <c r="F140" s="558">
        <f>D140*E140</f>
        <v>0</v>
      </c>
      <c r="G140" s="167">
        <f t="shared" si="8"/>
        <v>0</v>
      </c>
      <c r="I140" s="167"/>
      <c r="J140" s="167"/>
      <c r="R140" s="172"/>
      <c r="S140" s="172"/>
      <c r="T140" s="172"/>
      <c r="U140" s="172"/>
      <c r="V140" s="172"/>
      <c r="W140" s="172"/>
      <c r="X140" s="172"/>
    </row>
    <row r="141" spans="3:24" ht="15">
      <c r="C141" s="171"/>
      <c r="D141" s="171"/>
      <c r="R141" s="172"/>
      <c r="S141" s="172"/>
      <c r="T141" s="172"/>
      <c r="U141" s="172"/>
      <c r="V141" s="172"/>
      <c r="W141" s="172"/>
      <c r="X141" s="172"/>
    </row>
    <row r="142" spans="5:6" ht="15">
      <c r="E142" s="163" t="s">
        <v>262</v>
      </c>
      <c r="F142" s="163" t="s">
        <v>276</v>
      </c>
    </row>
    <row r="143" spans="1:13" ht="30" customHeight="1">
      <c r="A143" s="706" t="s">
        <v>318</v>
      </c>
      <c r="B143" s="590"/>
      <c r="C143" s="590"/>
      <c r="D143" s="169">
        <v>1</v>
      </c>
      <c r="E143" s="169">
        <v>0.5</v>
      </c>
      <c r="F143" s="169">
        <v>0.2</v>
      </c>
      <c r="G143" s="169">
        <v>0.1</v>
      </c>
      <c r="H143" s="169">
        <v>0.04</v>
      </c>
      <c r="I143" s="169">
        <v>0.02</v>
      </c>
      <c r="J143" s="407">
        <v>0.0133</v>
      </c>
      <c r="K143" s="169">
        <v>0.01</v>
      </c>
      <c r="L143" s="170">
        <v>0.005</v>
      </c>
      <c r="M143" s="170">
        <v>0.001</v>
      </c>
    </row>
    <row r="144" spans="3:15" ht="15">
      <c r="C144" s="169">
        <v>1</v>
      </c>
      <c r="D144" s="557">
        <f aca="true" t="shared" si="9" ref="D144:I149">D4*$E$134+D17*$E$135+D30*$E$136+D43*$E$137+D56*$E$138+D69*$E$139+D82*$E$140</f>
        <v>0</v>
      </c>
      <c r="E144" s="557">
        <f t="shared" si="9"/>
        <v>0</v>
      </c>
      <c r="F144" s="557">
        <f t="shared" si="9"/>
        <v>0</v>
      </c>
      <c r="G144" s="557">
        <f t="shared" si="9"/>
        <v>0</v>
      </c>
      <c r="H144" s="557">
        <f t="shared" si="9"/>
        <v>0</v>
      </c>
      <c r="I144" s="557">
        <f t="shared" si="9"/>
        <v>0</v>
      </c>
      <c r="J144" s="557">
        <f aca="true" t="shared" si="10" ref="J144:M144">J4*$E$134+J17*$E$135+J30*$E$136+J43*$E$137+J56*$E$138+J69*$E$139+J82*$E$140</f>
        <v>0</v>
      </c>
      <c r="K144" s="557">
        <f t="shared" si="10"/>
        <v>0</v>
      </c>
      <c r="L144" s="557">
        <f t="shared" si="10"/>
        <v>0</v>
      </c>
      <c r="M144" s="557">
        <f t="shared" si="10"/>
        <v>0</v>
      </c>
      <c r="O144" s="163" t="s">
        <v>291</v>
      </c>
    </row>
    <row r="145" spans="2:15" ht="15">
      <c r="B145" s="591" t="s">
        <v>295</v>
      </c>
      <c r="C145" s="169">
        <v>0.5</v>
      </c>
      <c r="D145" s="557">
        <f t="shared" si="9"/>
        <v>0</v>
      </c>
      <c r="E145" s="557">
        <f t="shared" si="9"/>
        <v>0</v>
      </c>
      <c r="F145" s="557">
        <f t="shared" si="9"/>
        <v>0</v>
      </c>
      <c r="G145" s="557">
        <f t="shared" si="9"/>
        <v>0</v>
      </c>
      <c r="H145" s="557">
        <f t="shared" si="9"/>
        <v>0</v>
      </c>
      <c r="I145" s="557">
        <f t="shared" si="9"/>
        <v>0</v>
      </c>
      <c r="J145" s="557">
        <f aca="true" t="shared" si="11" ref="J145:M145">J5*$E$134+J18*$E$135+J31*$E$136+J44*$E$137+J57*$E$138+J70*$E$139+J83*$E$140</f>
        <v>0</v>
      </c>
      <c r="K145" s="557">
        <f t="shared" si="11"/>
        <v>0</v>
      </c>
      <c r="L145" s="557">
        <f t="shared" si="11"/>
        <v>0</v>
      </c>
      <c r="M145" s="557">
        <f t="shared" si="11"/>
        <v>0</v>
      </c>
      <c r="O145" s="163" t="s">
        <v>293</v>
      </c>
    </row>
    <row r="146" spans="2:15" ht="17.25">
      <c r="B146" s="592"/>
      <c r="C146" s="169">
        <v>0.2</v>
      </c>
      <c r="D146" s="557">
        <f t="shared" si="9"/>
        <v>0</v>
      </c>
      <c r="E146" s="557">
        <f t="shared" si="9"/>
        <v>0</v>
      </c>
      <c r="F146" s="557">
        <f t="shared" si="9"/>
        <v>0</v>
      </c>
      <c r="G146" s="557">
        <f t="shared" si="9"/>
        <v>0</v>
      </c>
      <c r="H146" s="557">
        <f t="shared" si="9"/>
        <v>0</v>
      </c>
      <c r="I146" s="557">
        <f t="shared" si="9"/>
        <v>0</v>
      </c>
      <c r="J146" s="557">
        <f aca="true" t="shared" si="12" ref="J146:M146">J6*$E$134+J19*$E$135+J32*$E$136+J45*$E$137+J58*$E$138+J71*$E$139+J84*$E$140</f>
        <v>0</v>
      </c>
      <c r="K146" s="557">
        <f t="shared" si="12"/>
        <v>0</v>
      </c>
      <c r="L146" s="557">
        <f t="shared" si="12"/>
        <v>0</v>
      </c>
      <c r="M146" s="557">
        <f t="shared" si="12"/>
        <v>0</v>
      </c>
      <c r="O146" s="163" t="s">
        <v>979</v>
      </c>
    </row>
    <row r="147" spans="3:15" ht="15">
      <c r="C147" s="169">
        <v>0.1</v>
      </c>
      <c r="D147" s="557">
        <f t="shared" si="9"/>
        <v>0</v>
      </c>
      <c r="E147" s="557">
        <f t="shared" si="9"/>
        <v>0</v>
      </c>
      <c r="F147" s="557">
        <f t="shared" si="9"/>
        <v>0</v>
      </c>
      <c r="G147" s="557">
        <f t="shared" si="9"/>
        <v>0</v>
      </c>
      <c r="H147" s="557">
        <f t="shared" si="9"/>
        <v>0</v>
      </c>
      <c r="I147" s="557">
        <f t="shared" si="9"/>
        <v>0</v>
      </c>
      <c r="J147" s="557">
        <f aca="true" t="shared" si="13" ref="J147:M147">J7*$E$134+J20*$E$135+J33*$E$136+J46*$E$137+J59*$E$138+J72*$E$139+J85*$E$140</f>
        <v>0</v>
      </c>
      <c r="K147" s="557">
        <f t="shared" si="13"/>
        <v>0</v>
      </c>
      <c r="L147" s="557">
        <f t="shared" si="13"/>
        <v>0</v>
      </c>
      <c r="M147" s="557">
        <f t="shared" si="13"/>
        <v>0</v>
      </c>
      <c r="O147" s="163" t="s">
        <v>297</v>
      </c>
    </row>
    <row r="148" spans="3:15" ht="17.25">
      <c r="C148" s="169">
        <v>0.04</v>
      </c>
      <c r="D148" s="557">
        <f t="shared" si="9"/>
        <v>0</v>
      </c>
      <c r="E148" s="557">
        <f t="shared" si="9"/>
        <v>0</v>
      </c>
      <c r="F148" s="557">
        <f t="shared" si="9"/>
        <v>0</v>
      </c>
      <c r="G148" s="557">
        <f t="shared" si="9"/>
        <v>0</v>
      </c>
      <c r="H148" s="557">
        <f t="shared" si="9"/>
        <v>0</v>
      </c>
      <c r="I148" s="557">
        <f t="shared" si="9"/>
        <v>0</v>
      </c>
      <c r="J148" s="557">
        <f aca="true" t="shared" si="14" ref="J148:M148">J8*$E$134+J21*$E$135+J34*$E$136+J47*$E$137+J60*$E$138+J73*$E$139+J86*$E$140</f>
        <v>0</v>
      </c>
      <c r="K148" s="557">
        <f t="shared" si="14"/>
        <v>0</v>
      </c>
      <c r="L148" s="557">
        <f t="shared" si="14"/>
        <v>0</v>
      </c>
      <c r="M148" s="557">
        <f t="shared" si="14"/>
        <v>0</v>
      </c>
      <c r="O148" s="163" t="s">
        <v>969</v>
      </c>
    </row>
    <row r="149" spans="3:13" ht="15">
      <c r="C149" s="169">
        <v>0.02</v>
      </c>
      <c r="D149" s="557">
        <f t="shared" si="9"/>
        <v>0</v>
      </c>
      <c r="E149" s="557">
        <f>E9*$E$134+E22*$E$135+E35*$E$136+E48*$E$137+E61*$E$138+E74*$E$139+E87*$E$140</f>
        <v>0</v>
      </c>
      <c r="F149" s="557">
        <f t="shared" si="9"/>
        <v>0</v>
      </c>
      <c r="G149" s="557">
        <f t="shared" si="9"/>
        <v>0</v>
      </c>
      <c r="H149" s="557">
        <f t="shared" si="9"/>
        <v>0</v>
      </c>
      <c r="I149" s="557">
        <f t="shared" si="9"/>
        <v>0</v>
      </c>
      <c r="J149" s="557">
        <f aca="true" t="shared" si="15" ref="J149:M149">J9*$E$134+J22*$E$135+J35*$E$136+J48*$E$137+J61*$E$138+J74*$E$139+J87*$E$140</f>
        <v>0</v>
      </c>
      <c r="K149" s="557">
        <f t="shared" si="15"/>
        <v>0</v>
      </c>
      <c r="L149" s="557">
        <f t="shared" si="15"/>
        <v>0</v>
      </c>
      <c r="M149" s="557">
        <f t="shared" si="15"/>
        <v>0</v>
      </c>
    </row>
    <row r="150" spans="3:13" ht="15">
      <c r="C150" s="407">
        <v>0.0133</v>
      </c>
      <c r="D150" s="557">
        <f aca="true" t="shared" si="16" ref="D150:M150">D10*$E$134+D23*$E$135+D36*$E$136+D49*$E$137+D62*$E$138+D75*$E$139+D88*$E$140</f>
        <v>0</v>
      </c>
      <c r="E150" s="557">
        <f t="shared" si="16"/>
        <v>0</v>
      </c>
      <c r="F150" s="557">
        <f t="shared" si="16"/>
        <v>0</v>
      </c>
      <c r="G150" s="557">
        <f t="shared" si="16"/>
        <v>0</v>
      </c>
      <c r="H150" s="557">
        <f t="shared" si="16"/>
        <v>0</v>
      </c>
      <c r="I150" s="557">
        <f t="shared" si="16"/>
        <v>0</v>
      </c>
      <c r="J150" s="557">
        <f>J10*$E$134+J23*$E$135+J36*$E$136+J49*$E$137+J62*$E$138+J75*$E$139+J88*$E$140</f>
        <v>0</v>
      </c>
      <c r="K150" s="557">
        <f t="shared" si="16"/>
        <v>0</v>
      </c>
      <c r="L150" s="557">
        <f t="shared" si="16"/>
        <v>0</v>
      </c>
      <c r="M150" s="557">
        <f t="shared" si="16"/>
        <v>0</v>
      </c>
    </row>
    <row r="151" spans="3:13" ht="15">
      <c r="C151" s="169">
        <v>0.01</v>
      </c>
      <c r="D151" s="557">
        <f aca="true" t="shared" si="17" ref="D151:M151">D11*$E$134+D24*$E$135+D37*$E$136+D50*$E$137+D63*$E$138+D76*$E$139+D89*$E$140</f>
        <v>0</v>
      </c>
      <c r="E151" s="557">
        <f t="shared" si="17"/>
        <v>0</v>
      </c>
      <c r="F151" s="557">
        <f t="shared" si="17"/>
        <v>0</v>
      </c>
      <c r="G151" s="557">
        <f t="shared" si="17"/>
        <v>0</v>
      </c>
      <c r="H151" s="557">
        <f t="shared" si="17"/>
        <v>0</v>
      </c>
      <c r="I151" s="557">
        <f t="shared" si="17"/>
        <v>0</v>
      </c>
      <c r="J151" s="557">
        <f t="shared" si="17"/>
        <v>0</v>
      </c>
      <c r="K151" s="557">
        <f t="shared" si="17"/>
        <v>0</v>
      </c>
      <c r="L151" s="557">
        <f t="shared" si="17"/>
        <v>0</v>
      </c>
      <c r="M151" s="557">
        <f t="shared" si="17"/>
        <v>0</v>
      </c>
    </row>
    <row r="152" spans="3:13" ht="15">
      <c r="C152" s="170">
        <v>0.005</v>
      </c>
      <c r="D152" s="557">
        <f aca="true" t="shared" si="18" ref="D152:M152">D12*$E$134+D25*$E$135+D38*$E$136+D51*$E$137+D64*$E$138+D77*$E$139+D90*$E$140</f>
        <v>0</v>
      </c>
      <c r="E152" s="557">
        <f t="shared" si="18"/>
        <v>0</v>
      </c>
      <c r="F152" s="557">
        <f t="shared" si="18"/>
        <v>0</v>
      </c>
      <c r="G152" s="557">
        <f t="shared" si="18"/>
        <v>0</v>
      </c>
      <c r="H152" s="557">
        <f t="shared" si="18"/>
        <v>0</v>
      </c>
      <c r="I152" s="557">
        <f t="shared" si="18"/>
        <v>0</v>
      </c>
      <c r="J152" s="557">
        <f t="shared" si="18"/>
        <v>0</v>
      </c>
      <c r="K152" s="557">
        <f t="shared" si="18"/>
        <v>0</v>
      </c>
      <c r="L152" s="557">
        <f t="shared" si="18"/>
        <v>0</v>
      </c>
      <c r="M152" s="557">
        <f t="shared" si="18"/>
        <v>0</v>
      </c>
    </row>
    <row r="153" spans="3:13" ht="15">
      <c r="C153" s="170">
        <v>0.001</v>
      </c>
      <c r="D153" s="557">
        <f aca="true" t="shared" si="19" ref="D153:M153">D13*$E$134+D26*$E$135+D39*$E$136+D52*$E$137+D65*$E$138+D78*$E$139+D91*$E$140</f>
        <v>0</v>
      </c>
      <c r="E153" s="557">
        <f t="shared" si="19"/>
        <v>0</v>
      </c>
      <c r="F153" s="557">
        <f t="shared" si="19"/>
        <v>0</v>
      </c>
      <c r="G153" s="557">
        <f t="shared" si="19"/>
        <v>0</v>
      </c>
      <c r="H153" s="557">
        <f t="shared" si="19"/>
        <v>0</v>
      </c>
      <c r="I153" s="557">
        <f t="shared" si="19"/>
        <v>0</v>
      </c>
      <c r="J153" s="557">
        <f t="shared" si="19"/>
        <v>0</v>
      </c>
      <c r="K153" s="557">
        <f t="shared" si="19"/>
        <v>0</v>
      </c>
      <c r="L153" s="557">
        <f t="shared" si="19"/>
        <v>0</v>
      </c>
      <c r="M153" s="557">
        <f t="shared" si="19"/>
        <v>0</v>
      </c>
    </row>
    <row r="154" spans="5:24" ht="15">
      <c r="E154" s="163" t="s">
        <v>262</v>
      </c>
      <c r="F154" s="163" t="s">
        <v>280</v>
      </c>
      <c r="R154" s="168"/>
      <c r="S154" s="168"/>
      <c r="T154" s="168"/>
      <c r="U154" s="168"/>
      <c r="V154" s="168"/>
      <c r="W154" s="168"/>
      <c r="X154" s="168"/>
    </row>
    <row r="155" spans="1:13" ht="15">
      <c r="A155" s="711" t="s">
        <v>305</v>
      </c>
      <c r="B155" s="590"/>
      <c r="C155" s="590"/>
      <c r="D155" s="169">
        <v>1</v>
      </c>
      <c r="E155" s="169">
        <v>0.5</v>
      </c>
      <c r="F155" s="169">
        <v>0.2</v>
      </c>
      <c r="G155" s="169">
        <v>0.1</v>
      </c>
      <c r="H155" s="169">
        <v>0.04</v>
      </c>
      <c r="I155" s="169">
        <v>0.02</v>
      </c>
      <c r="J155" s="407">
        <v>0.0133</v>
      </c>
      <c r="K155" s="169">
        <v>0.01</v>
      </c>
      <c r="L155" s="170">
        <v>0.005</v>
      </c>
      <c r="M155" s="170">
        <v>0.001</v>
      </c>
    </row>
    <row r="156" spans="3:14" ht="17.25">
      <c r="C156" s="169">
        <v>1</v>
      </c>
      <c r="D156" s="173">
        <f>IF($D124-D124&lt;0,0,$D124-D124)</f>
        <v>0</v>
      </c>
      <c r="E156" s="173">
        <f aca="true" t="shared" si="20" ref="E156:M156">IF($D124-E124&lt;0,0,$D124-E124)</f>
        <v>0</v>
      </c>
      <c r="F156" s="173">
        <f t="shared" si="20"/>
        <v>9.352827668244153</v>
      </c>
      <c r="G156" s="173">
        <f t="shared" si="20"/>
        <v>17.57119546437832</v>
      </c>
      <c r="H156" s="173">
        <f t="shared" si="20"/>
        <v>22.94378249251619</v>
      </c>
      <c r="I156" s="173">
        <f t="shared" si="20"/>
        <v>26.305730110693467</v>
      </c>
      <c r="J156" s="173">
        <f t="shared" si="20"/>
        <v>27.804545819222202</v>
      </c>
      <c r="K156" s="173">
        <f t="shared" si="20"/>
        <v>28.550070328414265</v>
      </c>
      <c r="L156" s="173">
        <f t="shared" si="20"/>
        <v>28.954578706920355</v>
      </c>
      <c r="M156" s="173">
        <f t="shared" si="20"/>
        <v>29.31112821789555</v>
      </c>
      <c r="N156" s="163" t="s">
        <v>321</v>
      </c>
    </row>
    <row r="157" spans="2:13" ht="15">
      <c r="B157" s="163" t="s">
        <v>261</v>
      </c>
      <c r="C157" s="169">
        <v>0.5</v>
      </c>
      <c r="D157" s="173">
        <f>IF($E124-D124&gt;0,0,$E124-D124)</f>
        <v>0</v>
      </c>
      <c r="E157" s="173">
        <f aca="true" t="shared" si="21" ref="E157">$E124-E124</f>
        <v>0</v>
      </c>
      <c r="F157" s="173">
        <f>IF($E124-F124&lt;0,0,$E124-F124)</f>
        <v>9.352827668244153</v>
      </c>
      <c r="G157" s="173">
        <f aca="true" t="shared" si="22" ref="G157:M157">IF($E124-G124&lt;0,0,$E124-G124)</f>
        <v>17.57119546437832</v>
      </c>
      <c r="H157" s="173">
        <f t="shared" si="22"/>
        <v>22.94378249251619</v>
      </c>
      <c r="I157" s="173">
        <f t="shared" si="22"/>
        <v>26.305730110693467</v>
      </c>
      <c r="J157" s="173">
        <f t="shared" si="22"/>
        <v>27.804545819222202</v>
      </c>
      <c r="K157" s="173">
        <f t="shared" si="22"/>
        <v>28.550070328414265</v>
      </c>
      <c r="L157" s="173">
        <f t="shared" si="22"/>
        <v>28.954578706920355</v>
      </c>
      <c r="M157" s="173">
        <f t="shared" si="22"/>
        <v>29.31112821789555</v>
      </c>
    </row>
    <row r="158" spans="2:13" ht="15">
      <c r="B158" s="700" t="s">
        <v>281</v>
      </c>
      <c r="C158" s="169">
        <v>0.2</v>
      </c>
      <c r="D158" s="173">
        <f>IF($F124-D124&gt;0,0,$F124-D124)</f>
        <v>-9.352827668244153</v>
      </c>
      <c r="E158" s="173">
        <f>IF($F124-E124&gt;0,0,$F124-E124)</f>
        <v>-9.352827668244153</v>
      </c>
      <c r="F158" s="173">
        <f aca="true" t="shared" si="23" ref="F158">$F124-F124</f>
        <v>0</v>
      </c>
      <c r="G158" s="173">
        <f>IF($F124-G124&lt;0,0,$F124-G124)</f>
        <v>8.218367796134165</v>
      </c>
      <c r="H158" s="173">
        <f aca="true" t="shared" si="24" ref="H158:M158">IF($F124-H124&lt;0,0,$F124-H124)</f>
        <v>13.590954824272035</v>
      </c>
      <c r="I158" s="173">
        <f t="shared" si="24"/>
        <v>16.952902442449314</v>
      </c>
      <c r="J158" s="173">
        <f t="shared" si="24"/>
        <v>18.45171815097805</v>
      </c>
      <c r="K158" s="173">
        <f t="shared" si="24"/>
        <v>19.19724266017011</v>
      </c>
      <c r="L158" s="173">
        <f t="shared" si="24"/>
        <v>19.601751038676202</v>
      </c>
      <c r="M158" s="173">
        <f t="shared" si="24"/>
        <v>19.958300549651398</v>
      </c>
    </row>
    <row r="159" spans="2:13" ht="15">
      <c r="B159" s="701"/>
      <c r="C159" s="169">
        <v>0.1</v>
      </c>
      <c r="D159" s="173">
        <f>IF($G124-D124&gt;0,0,$G124-D124)</f>
        <v>-17.57119546437832</v>
      </c>
      <c r="E159" s="173">
        <f aca="true" t="shared" si="25" ref="E159:F159">IF($G124-E124&gt;0,0,$G124-E124)</f>
        <v>-17.57119546437832</v>
      </c>
      <c r="F159" s="173">
        <f t="shared" si="25"/>
        <v>-8.218367796134165</v>
      </c>
      <c r="G159" s="173">
        <f aca="true" t="shared" si="26" ref="G159">$G124-G124</f>
        <v>0</v>
      </c>
      <c r="H159" s="173">
        <f>IF($G124-H124&lt;0,0,$G124-H124)</f>
        <v>5.37258702813787</v>
      </c>
      <c r="I159" s="173">
        <f aca="true" t="shared" si="27" ref="I159:M159">IF($G124-I124&lt;0,0,$G124-I124)</f>
        <v>8.734534646315149</v>
      </c>
      <c r="J159" s="173">
        <f t="shared" si="27"/>
        <v>10.233350354843886</v>
      </c>
      <c r="K159" s="173">
        <f t="shared" si="27"/>
        <v>10.978874864035946</v>
      </c>
      <c r="L159" s="173">
        <f t="shared" si="27"/>
        <v>11.383383242542035</v>
      </c>
      <c r="M159" s="173">
        <f t="shared" si="27"/>
        <v>11.739932753517232</v>
      </c>
    </row>
    <row r="160" spans="2:13" ht="15">
      <c r="B160" s="701"/>
      <c r="C160" s="169">
        <v>0.04</v>
      </c>
      <c r="D160" s="173">
        <f>IF($H124-D124&gt;0,0,$H124-D124)</f>
        <v>-22.94378249251619</v>
      </c>
      <c r="E160" s="173">
        <f aca="true" t="shared" si="28" ref="E160:G160">IF($H124-E124&gt;0,0,$H124-E124)</f>
        <v>-22.94378249251619</v>
      </c>
      <c r="F160" s="173">
        <f t="shared" si="28"/>
        <v>-13.590954824272035</v>
      </c>
      <c r="G160" s="173">
        <f t="shared" si="28"/>
        <v>-5.37258702813787</v>
      </c>
      <c r="H160" s="173">
        <f aca="true" t="shared" si="29" ref="H160">$H124-H124</f>
        <v>0</v>
      </c>
      <c r="I160" s="173">
        <f>IF($H124-I124&lt;0,0,$H124-I124)</f>
        <v>3.361947618177279</v>
      </c>
      <c r="J160" s="173">
        <f aca="true" t="shared" si="30" ref="J160:M160">IF($H124-J124&lt;0,0,$H124-J124)</f>
        <v>4.860763326706015</v>
      </c>
      <c r="K160" s="173">
        <f t="shared" si="30"/>
        <v>5.606287835898076</v>
      </c>
      <c r="L160" s="173">
        <f t="shared" si="30"/>
        <v>6.010796214404166</v>
      </c>
      <c r="M160" s="173">
        <f t="shared" si="30"/>
        <v>6.367345725379362</v>
      </c>
    </row>
    <row r="161" spans="2:13" ht="15">
      <c r="B161" s="701"/>
      <c r="C161" s="169">
        <v>0.02</v>
      </c>
      <c r="D161" s="173">
        <f>IF($I124-D124&gt;0,0,$I124-D124)</f>
        <v>-26.305730110693467</v>
      </c>
      <c r="E161" s="173">
        <f aca="true" t="shared" si="31" ref="E161:H161">IF($I124-E124&gt;0,0,$I124-E124)</f>
        <v>-26.305730110693467</v>
      </c>
      <c r="F161" s="173">
        <f t="shared" si="31"/>
        <v>-16.952902442449314</v>
      </c>
      <c r="G161" s="173">
        <f t="shared" si="31"/>
        <v>-8.734534646315149</v>
      </c>
      <c r="H161" s="173">
        <f t="shared" si="31"/>
        <v>-3.361947618177279</v>
      </c>
      <c r="I161" s="173">
        <f aca="true" t="shared" si="32" ref="I161">$I124-I124</f>
        <v>0</v>
      </c>
      <c r="J161" s="173">
        <f>IF($I124-J124&lt;0,0,$I124-J124)</f>
        <v>1.4988157085287357</v>
      </c>
      <c r="K161" s="173">
        <f aca="true" t="shared" si="33" ref="K161:M161">IF($I124-K124&lt;0,0,$I124-K124)</f>
        <v>2.244340217720797</v>
      </c>
      <c r="L161" s="173">
        <f t="shared" si="33"/>
        <v>2.6488485962268866</v>
      </c>
      <c r="M161" s="173">
        <f t="shared" si="33"/>
        <v>3.0053981072020832</v>
      </c>
    </row>
    <row r="162" spans="2:13" ht="15">
      <c r="B162" s="701"/>
      <c r="C162" s="407">
        <v>0.0133</v>
      </c>
      <c r="D162" s="173">
        <f>IF($J124-D124&gt;0,0,$J124-D124)</f>
        <v>-27.804545819222202</v>
      </c>
      <c r="E162" s="173">
        <f aca="true" t="shared" si="34" ref="E162:I162">IF($J124-E124&gt;0,0,$J124-E124)</f>
        <v>-27.804545819222202</v>
      </c>
      <c r="F162" s="173">
        <f t="shared" si="34"/>
        <v>-18.45171815097805</v>
      </c>
      <c r="G162" s="173">
        <f t="shared" si="34"/>
        <v>-10.233350354843886</v>
      </c>
      <c r="H162" s="173">
        <f t="shared" si="34"/>
        <v>-4.860763326706015</v>
      </c>
      <c r="I162" s="173">
        <f t="shared" si="34"/>
        <v>-1.4988157085287357</v>
      </c>
      <c r="J162" s="173">
        <f aca="true" t="shared" si="35" ref="J162">$J124-J124</f>
        <v>0</v>
      </c>
      <c r="K162" s="173">
        <f>IF($J124-K124&lt;0,0,$J124-K124)</f>
        <v>0.7455245091920615</v>
      </c>
      <c r="L162" s="173">
        <f aca="true" t="shared" si="36" ref="L162:M162">IF($J124-L124&lt;0,0,$J124-L124)</f>
        <v>1.150032887698151</v>
      </c>
      <c r="M162" s="173">
        <f t="shared" si="36"/>
        <v>1.5065823986733475</v>
      </c>
    </row>
    <row r="163" spans="2:13" ht="15">
      <c r="B163" s="701"/>
      <c r="C163" s="169">
        <v>0.01</v>
      </c>
      <c r="D163" s="173">
        <f>IF($K124-D124&gt;0,0,$K124-D124)</f>
        <v>-28.550070328414265</v>
      </c>
      <c r="E163" s="173">
        <f aca="true" t="shared" si="37" ref="E163:J163">IF($K124-E124&gt;0,0,$K124-E124)</f>
        <v>-28.550070328414265</v>
      </c>
      <c r="F163" s="173">
        <f t="shared" si="37"/>
        <v>-19.19724266017011</v>
      </c>
      <c r="G163" s="173">
        <f t="shared" si="37"/>
        <v>-10.978874864035946</v>
      </c>
      <c r="H163" s="173">
        <f t="shared" si="37"/>
        <v>-5.606287835898076</v>
      </c>
      <c r="I163" s="173">
        <f t="shared" si="37"/>
        <v>-2.244340217720797</v>
      </c>
      <c r="J163" s="173">
        <f t="shared" si="37"/>
        <v>-0.7455245091920615</v>
      </c>
      <c r="K163" s="173">
        <f aca="true" t="shared" si="38" ref="K163">$K124-K124</f>
        <v>0</v>
      </c>
      <c r="L163" s="173">
        <f>IF($K124-L124&lt;0,0,$K124-L124)</f>
        <v>0.40450837850608945</v>
      </c>
      <c r="M163" s="173">
        <f>IF($K124-M124&lt;0,0,$K124-M124)</f>
        <v>0.761057889481286</v>
      </c>
    </row>
    <row r="164" spans="2:13" ht="15">
      <c r="B164" s="701"/>
      <c r="C164" s="170">
        <v>0.005</v>
      </c>
      <c r="D164" s="173">
        <f>IF($L124-D124&gt;0,0,$L124-D124)</f>
        <v>-28.954578706920355</v>
      </c>
      <c r="E164" s="173">
        <f aca="true" t="shared" si="39" ref="E164:K164">IF($L124-E124&gt;0,0,$L124-E124)</f>
        <v>-28.954578706920355</v>
      </c>
      <c r="F164" s="173">
        <f t="shared" si="39"/>
        <v>-19.601751038676202</v>
      </c>
      <c r="G164" s="173">
        <f t="shared" si="39"/>
        <v>-11.383383242542035</v>
      </c>
      <c r="H164" s="173">
        <f t="shared" si="39"/>
        <v>-6.010796214404166</v>
      </c>
      <c r="I164" s="173">
        <f t="shared" si="39"/>
        <v>-2.6488485962268866</v>
      </c>
      <c r="J164" s="173">
        <f t="shared" si="39"/>
        <v>-1.150032887698151</v>
      </c>
      <c r="K164" s="173">
        <f t="shared" si="39"/>
        <v>-0.40450837850608945</v>
      </c>
      <c r="L164" s="173">
        <f aca="true" t="shared" si="40" ref="L164">$L124-L124</f>
        <v>0</v>
      </c>
      <c r="M164" s="173">
        <f>IF($L124-M124&lt;0,0,$L124-M124)</f>
        <v>0.3565495109751966</v>
      </c>
    </row>
    <row r="165" spans="2:13" ht="15">
      <c r="B165" s="701"/>
      <c r="C165" s="170">
        <v>0.001</v>
      </c>
      <c r="D165" s="173">
        <f>IF($M124-D124&gt;0,0,$M124-D124)</f>
        <v>-29.31112821789555</v>
      </c>
      <c r="E165" s="173">
        <f aca="true" t="shared" si="41" ref="E165:M165">IF($M124-E124&gt;0,0,$M124-E124)</f>
        <v>-29.31112821789555</v>
      </c>
      <c r="F165" s="173">
        <f t="shared" si="41"/>
        <v>-19.958300549651398</v>
      </c>
      <c r="G165" s="173">
        <f t="shared" si="41"/>
        <v>-11.739932753517232</v>
      </c>
      <c r="H165" s="173">
        <f t="shared" si="41"/>
        <v>-6.367345725379362</v>
      </c>
      <c r="I165" s="173">
        <f t="shared" si="41"/>
        <v>-3.0053981072020832</v>
      </c>
      <c r="J165" s="173">
        <f t="shared" si="41"/>
        <v>-1.5065823986733475</v>
      </c>
      <c r="K165" s="173">
        <f t="shared" si="41"/>
        <v>-0.761057889481286</v>
      </c>
      <c r="L165" s="173">
        <f t="shared" si="41"/>
        <v>-0.3565495109751966</v>
      </c>
      <c r="M165" s="173">
        <f t="shared" si="41"/>
        <v>0</v>
      </c>
    </row>
    <row r="167" spans="5:6" ht="15">
      <c r="E167" s="163" t="s">
        <v>262</v>
      </c>
      <c r="F167" s="163" t="s">
        <v>280</v>
      </c>
    </row>
    <row r="168" spans="1:13" ht="15">
      <c r="A168" s="711" t="s">
        <v>305</v>
      </c>
      <c r="B168" s="590"/>
      <c r="C168" s="590"/>
      <c r="D168" s="169">
        <v>1</v>
      </c>
      <c r="E168" s="169">
        <v>0.5</v>
      </c>
      <c r="F168" s="169">
        <v>0.2</v>
      </c>
      <c r="G168" s="169">
        <v>0.1</v>
      </c>
      <c r="H168" s="169">
        <v>0.04</v>
      </c>
      <c r="I168" s="169">
        <v>0.02</v>
      </c>
      <c r="J168" s="407">
        <v>0.0133</v>
      </c>
      <c r="K168" s="169">
        <v>0.01</v>
      </c>
      <c r="L168" s="170">
        <v>0.005</v>
      </c>
      <c r="M168" s="170">
        <v>0.001</v>
      </c>
    </row>
    <row r="169" spans="3:13" ht="15">
      <c r="C169" s="169">
        <v>1</v>
      </c>
      <c r="D169" s="173">
        <f aca="true" t="shared" si="42" ref="D169:D174">D144*D156</f>
        <v>0</v>
      </c>
      <c r="E169" s="173">
        <f aca="true" t="shared" si="43" ref="E169:M169">E144*E156</f>
        <v>0</v>
      </c>
      <c r="F169" s="173">
        <f t="shared" si="43"/>
        <v>0</v>
      </c>
      <c r="G169" s="173">
        <f t="shared" si="43"/>
        <v>0</v>
      </c>
      <c r="H169" s="173">
        <f t="shared" si="43"/>
        <v>0</v>
      </c>
      <c r="I169" s="173">
        <f t="shared" si="43"/>
        <v>0</v>
      </c>
      <c r="J169" s="173">
        <f t="shared" si="43"/>
        <v>0</v>
      </c>
      <c r="K169" s="173">
        <f t="shared" si="43"/>
        <v>0</v>
      </c>
      <c r="L169" s="173">
        <f t="shared" si="43"/>
        <v>0</v>
      </c>
      <c r="M169" s="173">
        <f t="shared" si="43"/>
        <v>0</v>
      </c>
    </row>
    <row r="170" spans="2:13" ht="15">
      <c r="B170" s="163" t="s">
        <v>261</v>
      </c>
      <c r="C170" s="169">
        <v>0.5</v>
      </c>
      <c r="D170" s="173">
        <f t="shared" si="42"/>
        <v>0</v>
      </c>
      <c r="E170" s="173">
        <f aca="true" t="shared" si="44" ref="E170:M170">E145*E157</f>
        <v>0</v>
      </c>
      <c r="F170" s="173">
        <f t="shared" si="44"/>
        <v>0</v>
      </c>
      <c r="G170" s="173">
        <f t="shared" si="44"/>
        <v>0</v>
      </c>
      <c r="H170" s="173">
        <f t="shared" si="44"/>
        <v>0</v>
      </c>
      <c r="I170" s="173">
        <f t="shared" si="44"/>
        <v>0</v>
      </c>
      <c r="J170" s="173">
        <f t="shared" si="44"/>
        <v>0</v>
      </c>
      <c r="K170" s="173">
        <f t="shared" si="44"/>
        <v>0</v>
      </c>
      <c r="L170" s="173">
        <f t="shared" si="44"/>
        <v>0</v>
      </c>
      <c r="M170" s="173">
        <f t="shared" si="44"/>
        <v>0</v>
      </c>
    </row>
    <row r="171" spans="2:13" ht="15">
      <c r="B171" s="700" t="s">
        <v>281</v>
      </c>
      <c r="C171" s="169">
        <v>0.2</v>
      </c>
      <c r="D171" s="173">
        <f t="shared" si="42"/>
        <v>0</v>
      </c>
      <c r="E171" s="173">
        <f aca="true" t="shared" si="45" ref="E171:M171">E146*E158</f>
        <v>0</v>
      </c>
      <c r="F171" s="173">
        <f t="shared" si="45"/>
        <v>0</v>
      </c>
      <c r="G171" s="173">
        <f t="shared" si="45"/>
        <v>0</v>
      </c>
      <c r="H171" s="173">
        <f t="shared" si="45"/>
        <v>0</v>
      </c>
      <c r="I171" s="173">
        <f t="shared" si="45"/>
        <v>0</v>
      </c>
      <c r="J171" s="173">
        <f t="shared" si="45"/>
        <v>0</v>
      </c>
      <c r="K171" s="173">
        <f t="shared" si="45"/>
        <v>0</v>
      </c>
      <c r="L171" s="173">
        <f t="shared" si="45"/>
        <v>0</v>
      </c>
      <c r="M171" s="173">
        <f t="shared" si="45"/>
        <v>0</v>
      </c>
    </row>
    <row r="172" spans="2:13" ht="15">
      <c r="B172" s="701"/>
      <c r="C172" s="169">
        <v>0.1</v>
      </c>
      <c r="D172" s="173">
        <f t="shared" si="42"/>
        <v>0</v>
      </c>
      <c r="E172" s="173">
        <f aca="true" t="shared" si="46" ref="E172:M172">E147*E159</f>
        <v>0</v>
      </c>
      <c r="F172" s="173">
        <f t="shared" si="46"/>
        <v>0</v>
      </c>
      <c r="G172" s="173">
        <f t="shared" si="46"/>
        <v>0</v>
      </c>
      <c r="H172" s="173">
        <f t="shared" si="46"/>
        <v>0</v>
      </c>
      <c r="I172" s="173">
        <f t="shared" si="46"/>
        <v>0</v>
      </c>
      <c r="J172" s="173">
        <f t="shared" si="46"/>
        <v>0</v>
      </c>
      <c r="K172" s="173">
        <f t="shared" si="46"/>
        <v>0</v>
      </c>
      <c r="L172" s="173">
        <f t="shared" si="46"/>
        <v>0</v>
      </c>
      <c r="M172" s="173">
        <f t="shared" si="46"/>
        <v>0</v>
      </c>
    </row>
    <row r="173" spans="2:13" ht="15">
      <c r="B173" s="701"/>
      <c r="C173" s="169">
        <v>0.04</v>
      </c>
      <c r="D173" s="173">
        <f t="shared" si="42"/>
        <v>0</v>
      </c>
      <c r="E173" s="173">
        <f aca="true" t="shared" si="47" ref="E173:M173">E148*E160</f>
        <v>0</v>
      </c>
      <c r="F173" s="173">
        <f t="shared" si="47"/>
        <v>0</v>
      </c>
      <c r="G173" s="173">
        <f t="shared" si="47"/>
        <v>0</v>
      </c>
      <c r="H173" s="173">
        <f t="shared" si="47"/>
        <v>0</v>
      </c>
      <c r="I173" s="173">
        <f t="shared" si="47"/>
        <v>0</v>
      </c>
      <c r="J173" s="173">
        <f t="shared" si="47"/>
        <v>0</v>
      </c>
      <c r="K173" s="173">
        <f t="shared" si="47"/>
        <v>0</v>
      </c>
      <c r="L173" s="173">
        <f t="shared" si="47"/>
        <v>0</v>
      </c>
      <c r="M173" s="173">
        <f t="shared" si="47"/>
        <v>0</v>
      </c>
    </row>
    <row r="174" spans="2:13" ht="15">
      <c r="B174" s="701"/>
      <c r="C174" s="169">
        <v>0.02</v>
      </c>
      <c r="D174" s="173">
        <f t="shared" si="42"/>
        <v>0</v>
      </c>
      <c r="E174" s="173">
        <f aca="true" t="shared" si="48" ref="E174:M174">E149*E161</f>
        <v>0</v>
      </c>
      <c r="F174" s="173">
        <f t="shared" si="48"/>
        <v>0</v>
      </c>
      <c r="G174" s="173">
        <f t="shared" si="48"/>
        <v>0</v>
      </c>
      <c r="H174" s="173">
        <f t="shared" si="48"/>
        <v>0</v>
      </c>
      <c r="I174" s="173">
        <f t="shared" si="48"/>
        <v>0</v>
      </c>
      <c r="J174" s="173">
        <f t="shared" si="48"/>
        <v>0</v>
      </c>
      <c r="K174" s="173">
        <f t="shared" si="48"/>
        <v>0</v>
      </c>
      <c r="L174" s="173">
        <f t="shared" si="48"/>
        <v>0</v>
      </c>
      <c r="M174" s="173">
        <f t="shared" si="48"/>
        <v>0</v>
      </c>
    </row>
    <row r="175" spans="2:13" ht="15">
      <c r="B175" s="701"/>
      <c r="C175" s="407">
        <v>0.0133</v>
      </c>
      <c r="D175" s="173">
        <f aca="true" t="shared" si="49" ref="D175">D150*D162</f>
        <v>0</v>
      </c>
      <c r="E175" s="173">
        <f aca="true" t="shared" si="50" ref="E175:M175">E150*E162</f>
        <v>0</v>
      </c>
      <c r="F175" s="173">
        <f t="shared" si="50"/>
        <v>0</v>
      </c>
      <c r="G175" s="173">
        <f t="shared" si="50"/>
        <v>0</v>
      </c>
      <c r="H175" s="173">
        <f t="shared" si="50"/>
        <v>0</v>
      </c>
      <c r="I175" s="173">
        <f t="shared" si="50"/>
        <v>0</v>
      </c>
      <c r="J175" s="173">
        <f t="shared" si="50"/>
        <v>0</v>
      </c>
      <c r="K175" s="173">
        <f t="shared" si="50"/>
        <v>0</v>
      </c>
      <c r="L175" s="173">
        <f t="shared" si="50"/>
        <v>0</v>
      </c>
      <c r="M175" s="173">
        <f t="shared" si="50"/>
        <v>0</v>
      </c>
    </row>
    <row r="176" spans="2:13" ht="15">
      <c r="B176" s="701"/>
      <c r="C176" s="169">
        <v>0.01</v>
      </c>
      <c r="D176" s="173">
        <f aca="true" t="shared" si="51" ref="D176">D151*D163</f>
        <v>0</v>
      </c>
      <c r="E176" s="173">
        <f aca="true" t="shared" si="52" ref="E176:M176">E151*E163</f>
        <v>0</v>
      </c>
      <c r="F176" s="173">
        <f t="shared" si="52"/>
        <v>0</v>
      </c>
      <c r="G176" s="173">
        <f t="shared" si="52"/>
        <v>0</v>
      </c>
      <c r="H176" s="173">
        <f t="shared" si="52"/>
        <v>0</v>
      </c>
      <c r="I176" s="173">
        <f t="shared" si="52"/>
        <v>0</v>
      </c>
      <c r="J176" s="173">
        <f t="shared" si="52"/>
        <v>0</v>
      </c>
      <c r="K176" s="173">
        <f t="shared" si="52"/>
        <v>0</v>
      </c>
      <c r="L176" s="173">
        <f t="shared" si="52"/>
        <v>0</v>
      </c>
      <c r="M176" s="173">
        <f t="shared" si="52"/>
        <v>0</v>
      </c>
    </row>
    <row r="177" spans="2:13" ht="15">
      <c r="B177" s="701"/>
      <c r="C177" s="170">
        <v>0.005</v>
      </c>
      <c r="D177" s="173">
        <f aca="true" t="shared" si="53" ref="D177">D152*D164</f>
        <v>0</v>
      </c>
      <c r="E177" s="173">
        <f aca="true" t="shared" si="54" ref="E177:M177">E152*E164</f>
        <v>0</v>
      </c>
      <c r="F177" s="173">
        <f t="shared" si="54"/>
        <v>0</v>
      </c>
      <c r="G177" s="173">
        <f t="shared" si="54"/>
        <v>0</v>
      </c>
      <c r="H177" s="173">
        <f t="shared" si="54"/>
        <v>0</v>
      </c>
      <c r="I177" s="173">
        <f t="shared" si="54"/>
        <v>0</v>
      </c>
      <c r="J177" s="173">
        <f t="shared" si="54"/>
        <v>0</v>
      </c>
      <c r="K177" s="173">
        <f t="shared" si="54"/>
        <v>0</v>
      </c>
      <c r="L177" s="173">
        <f t="shared" si="54"/>
        <v>0</v>
      </c>
      <c r="M177" s="173">
        <f t="shared" si="54"/>
        <v>0</v>
      </c>
    </row>
    <row r="178" spans="2:13" ht="15">
      <c r="B178" s="701"/>
      <c r="C178" s="170">
        <v>0.001</v>
      </c>
      <c r="D178" s="173">
        <f aca="true" t="shared" si="55" ref="D178">D153*D165</f>
        <v>0</v>
      </c>
      <c r="E178" s="173">
        <f aca="true" t="shared" si="56" ref="E178:M178">E153*E165</f>
        <v>0</v>
      </c>
      <c r="F178" s="173">
        <f t="shared" si="56"/>
        <v>0</v>
      </c>
      <c r="G178" s="173">
        <f t="shared" si="56"/>
        <v>0</v>
      </c>
      <c r="H178" s="173">
        <f t="shared" si="56"/>
        <v>0</v>
      </c>
      <c r="I178" s="173">
        <f t="shared" si="56"/>
        <v>0</v>
      </c>
      <c r="J178" s="173">
        <f t="shared" si="56"/>
        <v>0</v>
      </c>
      <c r="K178" s="173">
        <f t="shared" si="56"/>
        <v>0</v>
      </c>
      <c r="L178" s="173">
        <f t="shared" si="56"/>
        <v>0</v>
      </c>
      <c r="M178" s="173">
        <f t="shared" si="56"/>
        <v>0</v>
      </c>
    </row>
    <row r="179" ht="15.75" thickBot="1"/>
    <row r="180" spans="4:15" ht="16.5" thickBot="1" thickTop="1">
      <c r="D180" s="702" t="str">
        <f>IF(SUM(D169:M178)&gt;0,"Total annual benefits",IF(SUM(D169:M178)&lt;0,"Total annual damages","Enter number of properties"))</f>
        <v>Enter number of properties</v>
      </c>
      <c r="E180" s="703"/>
      <c r="F180" s="703"/>
      <c r="G180" s="703"/>
      <c r="H180" s="186">
        <f>SUM(D169:M178)</f>
        <v>0</v>
      </c>
      <c r="I180" s="366" t="s">
        <v>804</v>
      </c>
      <c r="J180" s="406"/>
      <c r="K180" s="593" t="s">
        <v>811</v>
      </c>
      <c r="L180" s="593"/>
      <c r="M180" s="594"/>
      <c r="N180" s="594"/>
      <c r="O180" s="595"/>
    </row>
    <row r="181" ht="15.75" thickTop="1"/>
  </sheetData>
  <sheetProtection sheet="1" objects="1" scenarios="1"/>
  <mergeCells count="52">
    <mergeCell ref="P1:T1"/>
    <mergeCell ref="K180:O180"/>
    <mergeCell ref="B70:B71"/>
    <mergeCell ref="A143:C143"/>
    <mergeCell ref="A155:C155"/>
    <mergeCell ref="A168:C168"/>
    <mergeCell ref="A81:C81"/>
    <mergeCell ref="B83:B84"/>
    <mergeCell ref="B140:C140"/>
    <mergeCell ref="A96:C96"/>
    <mergeCell ref="A97:C97"/>
    <mergeCell ref="B115:C115"/>
    <mergeCell ref="B116:C116"/>
    <mergeCell ref="B117:C117"/>
    <mergeCell ref="B118:C118"/>
    <mergeCell ref="B119:C119"/>
    <mergeCell ref="B120:C120"/>
    <mergeCell ref="D180:G180"/>
    <mergeCell ref="B124:C124"/>
    <mergeCell ref="B125:C125"/>
    <mergeCell ref="B126:C126"/>
    <mergeCell ref="B127:C127"/>
    <mergeCell ref="B128:C128"/>
    <mergeCell ref="B129:C129"/>
    <mergeCell ref="B134:C134"/>
    <mergeCell ref="B135:C135"/>
    <mergeCell ref="B136:C136"/>
    <mergeCell ref="B171:B178"/>
    <mergeCell ref="I1:K1"/>
    <mergeCell ref="B5:B6"/>
    <mergeCell ref="B123:C123"/>
    <mergeCell ref="B145:B146"/>
    <mergeCell ref="B158:B165"/>
    <mergeCell ref="B137:C137"/>
    <mergeCell ref="B138:C138"/>
    <mergeCell ref="B139:C139"/>
    <mergeCell ref="B18:B19"/>
    <mergeCell ref="B57:B58"/>
    <mergeCell ref="B31:B32"/>
    <mergeCell ref="A29:C29"/>
    <mergeCell ref="A42:C42"/>
    <mergeCell ref="B44:B45"/>
    <mergeCell ref="A55:C55"/>
    <mergeCell ref="A68:C68"/>
    <mergeCell ref="O100:Y100"/>
    <mergeCell ref="A112:C112"/>
    <mergeCell ref="B103:C103"/>
    <mergeCell ref="B104:C104"/>
    <mergeCell ref="B105:C105"/>
    <mergeCell ref="B106:C106"/>
    <mergeCell ref="B107:C107"/>
    <mergeCell ref="B108:C108"/>
  </mergeCells>
  <dataValidations count="2">
    <dataValidation type="list" allowBlank="1" showInputMessage="1" showErrorMessage="1" sqref="D100:M100">
      <formula1>"Permanent loss, One-off loss"</formula1>
    </dataValidation>
    <dataValidation type="list" allowBlank="1" showInputMessage="1" showErrorMessage="1" sqref="K180:O180">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8" scale="65"/>
  <headerFooter>
    <oddHeader>&amp;C&amp;A</oddHead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63"/>
  <sheetViews>
    <sheetView zoomScale="85" zoomScaleNormal="85" workbookViewId="0" topLeftCell="A94">
      <selection activeCell="G118" sqref="G118"/>
    </sheetView>
  </sheetViews>
  <sheetFormatPr defaultColWidth="9.140625" defaultRowHeight="15"/>
  <cols>
    <col min="1" max="1" width="9.140625" style="163" customWidth="1"/>
    <col min="2" max="2" width="10.00390625" style="163" customWidth="1"/>
    <col min="3" max="3" width="9.140625" style="163" customWidth="1"/>
    <col min="4" max="13" width="12.28125" style="163" customWidth="1"/>
    <col min="14" max="16384" width="9.140625" style="163" customWidth="1"/>
  </cols>
  <sheetData>
    <row r="1" spans="1:20" ht="15">
      <c r="A1" s="164" t="s">
        <v>270</v>
      </c>
      <c r="B1" s="165"/>
      <c r="C1" s="165"/>
      <c r="D1" s="162"/>
      <c r="E1" s="165"/>
      <c r="F1" s="166" t="s">
        <v>260</v>
      </c>
      <c r="I1" s="704" t="s">
        <v>322</v>
      </c>
      <c r="J1" s="704"/>
      <c r="K1" s="705"/>
      <c r="L1" s="472"/>
      <c r="M1" s="176" t="s">
        <v>992</v>
      </c>
      <c r="N1" s="176">
        <v>4</v>
      </c>
      <c r="O1" s="176" t="s">
        <v>991</v>
      </c>
      <c r="P1" s="707"/>
      <c r="Q1" s="590"/>
      <c r="R1" s="590"/>
      <c r="S1" s="590"/>
      <c r="T1" s="590"/>
    </row>
    <row r="2" spans="3:6" ht="15">
      <c r="C2" s="171" t="s">
        <v>324</v>
      </c>
      <c r="E2" s="163" t="s">
        <v>262</v>
      </c>
      <c r="F2" s="163" t="s">
        <v>490</v>
      </c>
    </row>
    <row r="3" spans="3:13" ht="15">
      <c r="C3" s="171" t="s">
        <v>323</v>
      </c>
      <c r="D3" s="169">
        <v>1</v>
      </c>
      <c r="E3" s="169">
        <v>0.5</v>
      </c>
      <c r="F3" s="169">
        <v>0.2</v>
      </c>
      <c r="G3" s="169">
        <v>0.1</v>
      </c>
      <c r="H3" s="169">
        <v>0.04</v>
      </c>
      <c r="I3" s="169">
        <v>0.02</v>
      </c>
      <c r="J3" s="407">
        <v>0.0133</v>
      </c>
      <c r="K3" s="169">
        <v>0.01</v>
      </c>
      <c r="L3" s="170">
        <v>0.005</v>
      </c>
      <c r="M3" s="170">
        <v>0.001</v>
      </c>
    </row>
    <row r="4" spans="3:15" ht="15">
      <c r="C4" s="169">
        <v>1</v>
      </c>
      <c r="D4" s="550"/>
      <c r="E4" s="550"/>
      <c r="F4" s="550"/>
      <c r="G4" s="550"/>
      <c r="H4" s="550"/>
      <c r="I4" s="550"/>
      <c r="J4" s="550"/>
      <c r="K4" s="550"/>
      <c r="L4" s="550"/>
      <c r="M4" s="550"/>
      <c r="O4" s="163" t="s">
        <v>506</v>
      </c>
    </row>
    <row r="5" spans="2:15" ht="15">
      <c r="B5" s="591" t="s">
        <v>294</v>
      </c>
      <c r="C5" s="169">
        <v>0.5</v>
      </c>
      <c r="D5" s="550"/>
      <c r="E5" s="550"/>
      <c r="F5" s="550"/>
      <c r="G5" s="550"/>
      <c r="H5" s="550"/>
      <c r="I5" s="550"/>
      <c r="J5" s="550"/>
      <c r="K5" s="550"/>
      <c r="L5" s="550"/>
      <c r="M5" s="550"/>
      <c r="O5" s="163" t="s">
        <v>319</v>
      </c>
    </row>
    <row r="6" spans="2:15" ht="15">
      <c r="B6" s="592"/>
      <c r="C6" s="169">
        <v>0.2</v>
      </c>
      <c r="D6" s="550"/>
      <c r="E6" s="550"/>
      <c r="F6" s="550"/>
      <c r="G6" s="550"/>
      <c r="H6" s="550"/>
      <c r="I6" s="550"/>
      <c r="J6" s="550"/>
      <c r="K6" s="550"/>
      <c r="L6" s="550"/>
      <c r="M6" s="550"/>
      <c r="O6" s="163" t="s">
        <v>612</v>
      </c>
    </row>
    <row r="7" spans="3:15" ht="15">
      <c r="C7" s="169">
        <v>0.1</v>
      </c>
      <c r="D7" s="550"/>
      <c r="E7" s="550"/>
      <c r="F7" s="550"/>
      <c r="G7" s="550"/>
      <c r="H7" s="550"/>
      <c r="I7" s="550"/>
      <c r="J7" s="550"/>
      <c r="K7" s="550"/>
      <c r="L7" s="550"/>
      <c r="M7" s="550"/>
      <c r="O7" s="163" t="s">
        <v>277</v>
      </c>
    </row>
    <row r="8" spans="3:15" ht="15">
      <c r="C8" s="169">
        <v>0.04</v>
      </c>
      <c r="D8" s="550"/>
      <c r="E8" s="550"/>
      <c r="F8" s="550"/>
      <c r="G8" s="550"/>
      <c r="H8" s="550"/>
      <c r="I8" s="550"/>
      <c r="J8" s="550"/>
      <c r="K8" s="550"/>
      <c r="L8" s="550"/>
      <c r="M8" s="550"/>
      <c r="O8" s="163" t="s">
        <v>613</v>
      </c>
    </row>
    <row r="9" spans="3:13" ht="15">
      <c r="C9" s="169">
        <v>0.02</v>
      </c>
      <c r="D9" s="550"/>
      <c r="E9" s="550"/>
      <c r="F9" s="550"/>
      <c r="G9" s="550"/>
      <c r="H9" s="550"/>
      <c r="I9" s="550"/>
      <c r="J9" s="550"/>
      <c r="K9" s="550"/>
      <c r="L9" s="550"/>
      <c r="M9" s="550"/>
    </row>
    <row r="10" spans="3:13" ht="15">
      <c r="C10" s="407">
        <v>0.0133</v>
      </c>
      <c r="D10" s="550"/>
      <c r="E10" s="550"/>
      <c r="F10" s="550"/>
      <c r="G10" s="550"/>
      <c r="H10" s="550"/>
      <c r="I10" s="550"/>
      <c r="J10" s="550"/>
      <c r="K10" s="550"/>
      <c r="L10" s="550"/>
      <c r="M10" s="550"/>
    </row>
    <row r="11" spans="3:13" ht="15">
      <c r="C11" s="169">
        <v>0.01</v>
      </c>
      <c r="D11" s="550"/>
      <c r="E11" s="550"/>
      <c r="F11" s="550"/>
      <c r="G11" s="550"/>
      <c r="H11" s="550"/>
      <c r="I11" s="550"/>
      <c r="J11" s="550"/>
      <c r="K11" s="550"/>
      <c r="L11" s="550"/>
      <c r="M11" s="550"/>
    </row>
    <row r="12" spans="3:13" ht="15">
      <c r="C12" s="170">
        <v>0.005</v>
      </c>
      <c r="D12" s="550"/>
      <c r="E12" s="550"/>
      <c r="F12" s="550"/>
      <c r="G12" s="550"/>
      <c r="H12" s="550"/>
      <c r="I12" s="550"/>
      <c r="J12" s="550"/>
      <c r="K12" s="550"/>
      <c r="L12" s="550"/>
      <c r="M12" s="550"/>
    </row>
    <row r="13" spans="3:13" ht="15">
      <c r="C13" s="170">
        <v>0.001</v>
      </c>
      <c r="D13" s="550"/>
      <c r="E13" s="550"/>
      <c r="F13" s="550"/>
      <c r="G13" s="550"/>
      <c r="H13" s="550"/>
      <c r="I13" s="550"/>
      <c r="J13" s="550"/>
      <c r="K13" s="550"/>
      <c r="L13" s="550"/>
      <c r="M13" s="550"/>
    </row>
    <row r="15" spans="3:6" ht="15">
      <c r="C15" s="171"/>
      <c r="E15" s="163" t="s">
        <v>262</v>
      </c>
      <c r="F15" s="163" t="s">
        <v>491</v>
      </c>
    </row>
    <row r="16" spans="3:13" ht="15">
      <c r="C16" s="171" t="s">
        <v>327</v>
      </c>
      <c r="D16" s="169">
        <v>1</v>
      </c>
      <c r="E16" s="169">
        <v>0.5</v>
      </c>
      <c r="F16" s="169">
        <v>0.2</v>
      </c>
      <c r="G16" s="169">
        <v>0.1</v>
      </c>
      <c r="H16" s="169">
        <v>0.04</v>
      </c>
      <c r="I16" s="169">
        <v>0.02</v>
      </c>
      <c r="J16" s="407">
        <v>0.0133</v>
      </c>
      <c r="K16" s="169">
        <v>0.01</v>
      </c>
      <c r="L16" s="170">
        <v>0.005</v>
      </c>
      <c r="M16" s="170">
        <v>0.001</v>
      </c>
    </row>
    <row r="17" spans="3:15" ht="15">
      <c r="C17" s="169">
        <v>1</v>
      </c>
      <c r="D17" s="550"/>
      <c r="E17" s="550"/>
      <c r="F17" s="550"/>
      <c r="G17" s="550"/>
      <c r="H17" s="550"/>
      <c r="I17" s="550"/>
      <c r="J17" s="550"/>
      <c r="K17" s="550"/>
      <c r="L17" s="550"/>
      <c r="M17" s="550"/>
      <c r="O17" s="163" t="s">
        <v>506</v>
      </c>
    </row>
    <row r="18" spans="2:15" ht="15">
      <c r="B18" s="591" t="s">
        <v>294</v>
      </c>
      <c r="C18" s="169">
        <v>0.5</v>
      </c>
      <c r="D18" s="550"/>
      <c r="E18" s="550"/>
      <c r="F18" s="550"/>
      <c r="G18" s="550"/>
      <c r="H18" s="550"/>
      <c r="I18" s="550"/>
      <c r="J18" s="550"/>
      <c r="K18" s="550"/>
      <c r="L18" s="550"/>
      <c r="M18" s="550"/>
      <c r="O18" s="163" t="s">
        <v>319</v>
      </c>
    </row>
    <row r="19" spans="2:15" ht="15">
      <c r="B19" s="592"/>
      <c r="C19" s="169">
        <v>0.2</v>
      </c>
      <c r="D19" s="550"/>
      <c r="E19" s="550"/>
      <c r="F19" s="550"/>
      <c r="G19" s="550"/>
      <c r="H19" s="550"/>
      <c r="I19" s="550"/>
      <c r="J19" s="550"/>
      <c r="K19" s="550"/>
      <c r="L19" s="550"/>
      <c r="M19" s="550"/>
      <c r="O19" s="163" t="s">
        <v>926</v>
      </c>
    </row>
    <row r="20" spans="3:15" ht="15">
      <c r="C20" s="169">
        <v>0.1</v>
      </c>
      <c r="D20" s="550"/>
      <c r="E20" s="550"/>
      <c r="F20" s="550"/>
      <c r="G20" s="550"/>
      <c r="H20" s="550"/>
      <c r="I20" s="550"/>
      <c r="J20" s="550"/>
      <c r="K20" s="550"/>
      <c r="L20" s="550"/>
      <c r="M20" s="550"/>
      <c r="O20" s="163" t="s">
        <v>277</v>
      </c>
    </row>
    <row r="21" spans="3:15" ht="15">
      <c r="C21" s="169">
        <v>0.04</v>
      </c>
      <c r="D21" s="550"/>
      <c r="E21" s="550"/>
      <c r="F21" s="550"/>
      <c r="G21" s="550"/>
      <c r="H21" s="550"/>
      <c r="I21" s="550"/>
      <c r="J21" s="550"/>
      <c r="K21" s="550"/>
      <c r="L21" s="550"/>
      <c r="M21" s="550"/>
      <c r="O21" s="163" t="s">
        <v>927</v>
      </c>
    </row>
    <row r="22" spans="3:13" ht="15">
      <c r="C22" s="169">
        <v>0.02</v>
      </c>
      <c r="D22" s="550"/>
      <c r="E22" s="550"/>
      <c r="F22" s="550"/>
      <c r="G22" s="550"/>
      <c r="H22" s="550"/>
      <c r="I22" s="550"/>
      <c r="J22" s="550"/>
      <c r="K22" s="550"/>
      <c r="L22" s="550"/>
      <c r="M22" s="550"/>
    </row>
    <row r="23" spans="3:13" ht="15">
      <c r="C23" s="407">
        <v>0.0133</v>
      </c>
      <c r="D23" s="550"/>
      <c r="E23" s="550"/>
      <c r="F23" s="550"/>
      <c r="G23" s="550"/>
      <c r="H23" s="550"/>
      <c r="I23" s="550"/>
      <c r="J23" s="550"/>
      <c r="K23" s="550"/>
      <c r="L23" s="550"/>
      <c r="M23" s="550"/>
    </row>
    <row r="24" spans="3:13" ht="15">
      <c r="C24" s="169">
        <v>0.01</v>
      </c>
      <c r="D24" s="550"/>
      <c r="E24" s="550"/>
      <c r="F24" s="550"/>
      <c r="G24" s="550"/>
      <c r="H24" s="550"/>
      <c r="I24" s="550"/>
      <c r="J24" s="550"/>
      <c r="K24" s="550"/>
      <c r="L24" s="550"/>
      <c r="M24" s="550"/>
    </row>
    <row r="25" spans="3:13" ht="15">
      <c r="C25" s="170">
        <v>0.005</v>
      </c>
      <c r="D25" s="550"/>
      <c r="E25" s="550"/>
      <c r="F25" s="550"/>
      <c r="G25" s="550"/>
      <c r="H25" s="550"/>
      <c r="I25" s="550"/>
      <c r="J25" s="550"/>
      <c r="K25" s="550"/>
      <c r="L25" s="550"/>
      <c r="M25" s="550"/>
    </row>
    <row r="26" spans="3:13" ht="15">
      <c r="C26" s="170">
        <v>0.001</v>
      </c>
      <c r="D26" s="550"/>
      <c r="E26" s="550"/>
      <c r="F26" s="550"/>
      <c r="G26" s="550"/>
      <c r="H26" s="550"/>
      <c r="I26" s="550"/>
      <c r="J26" s="550"/>
      <c r="K26" s="550"/>
      <c r="L26" s="550"/>
      <c r="M26" s="550"/>
    </row>
    <row r="28" spans="3:6" ht="15">
      <c r="C28" s="171"/>
      <c r="E28" s="163" t="s">
        <v>262</v>
      </c>
      <c r="F28" s="163" t="s">
        <v>492</v>
      </c>
    </row>
    <row r="29" spans="1:13" ht="30" customHeight="1">
      <c r="A29" s="706" t="s">
        <v>328</v>
      </c>
      <c r="B29" s="590"/>
      <c r="C29" s="590"/>
      <c r="D29" s="169">
        <v>1</v>
      </c>
      <c r="E29" s="169">
        <v>0.5</v>
      </c>
      <c r="F29" s="169">
        <v>0.2</v>
      </c>
      <c r="G29" s="169">
        <v>0.1</v>
      </c>
      <c r="H29" s="169">
        <v>0.04</v>
      </c>
      <c r="I29" s="169">
        <v>0.02</v>
      </c>
      <c r="J29" s="407">
        <v>0.0133</v>
      </c>
      <c r="K29" s="169">
        <v>0.01</v>
      </c>
      <c r="L29" s="170">
        <v>0.005</v>
      </c>
      <c r="M29" s="170">
        <v>0.001</v>
      </c>
    </row>
    <row r="30" spans="3:15" ht="15">
      <c r="C30" s="169">
        <v>1</v>
      </c>
      <c r="D30" s="550"/>
      <c r="E30" s="550"/>
      <c r="F30" s="550"/>
      <c r="G30" s="550"/>
      <c r="H30" s="550"/>
      <c r="I30" s="550"/>
      <c r="J30" s="550"/>
      <c r="K30" s="550"/>
      <c r="L30" s="550"/>
      <c r="M30" s="550"/>
      <c r="O30" s="163" t="s">
        <v>506</v>
      </c>
    </row>
    <row r="31" spans="2:15" ht="15">
      <c r="B31" s="591" t="s">
        <v>294</v>
      </c>
      <c r="C31" s="169">
        <v>0.5</v>
      </c>
      <c r="D31" s="550"/>
      <c r="E31" s="550"/>
      <c r="F31" s="550"/>
      <c r="G31" s="550"/>
      <c r="H31" s="550"/>
      <c r="I31" s="550"/>
      <c r="J31" s="550"/>
      <c r="K31" s="550"/>
      <c r="L31" s="550"/>
      <c r="M31" s="550"/>
      <c r="O31" s="163" t="s">
        <v>319</v>
      </c>
    </row>
    <row r="32" spans="2:15" ht="15">
      <c r="B32" s="592"/>
      <c r="C32" s="169">
        <v>0.2</v>
      </c>
      <c r="D32" s="550"/>
      <c r="E32" s="550"/>
      <c r="F32" s="550"/>
      <c r="G32" s="550"/>
      <c r="H32" s="550"/>
      <c r="I32" s="550"/>
      <c r="J32" s="550"/>
      <c r="K32" s="550"/>
      <c r="L32" s="550"/>
      <c r="M32" s="550"/>
      <c r="O32" s="163" t="s">
        <v>928</v>
      </c>
    </row>
    <row r="33" spans="3:15" ht="15">
      <c r="C33" s="169">
        <v>0.1</v>
      </c>
      <c r="D33" s="550"/>
      <c r="E33" s="550"/>
      <c r="F33" s="550"/>
      <c r="G33" s="550"/>
      <c r="H33" s="550"/>
      <c r="I33" s="550"/>
      <c r="J33" s="550"/>
      <c r="K33" s="550"/>
      <c r="L33" s="550"/>
      <c r="M33" s="550"/>
      <c r="O33" s="163" t="s">
        <v>277</v>
      </c>
    </row>
    <row r="34" spans="3:15" ht="15">
      <c r="C34" s="169">
        <v>0.04</v>
      </c>
      <c r="D34" s="550"/>
      <c r="E34" s="550"/>
      <c r="F34" s="550"/>
      <c r="G34" s="550"/>
      <c r="H34" s="550"/>
      <c r="I34" s="550"/>
      <c r="J34" s="550"/>
      <c r="K34" s="550"/>
      <c r="L34" s="550"/>
      <c r="M34" s="550"/>
      <c r="O34" s="163" t="s">
        <v>929</v>
      </c>
    </row>
    <row r="35" spans="3:13" ht="15">
      <c r="C35" s="169">
        <v>0.02</v>
      </c>
      <c r="D35" s="550"/>
      <c r="E35" s="550"/>
      <c r="F35" s="550"/>
      <c r="G35" s="550"/>
      <c r="H35" s="550"/>
      <c r="I35" s="550"/>
      <c r="J35" s="550"/>
      <c r="K35" s="550"/>
      <c r="L35" s="550"/>
      <c r="M35" s="550"/>
    </row>
    <row r="36" spans="3:13" ht="15">
      <c r="C36" s="407">
        <v>0.0133</v>
      </c>
      <c r="D36" s="550"/>
      <c r="E36" s="550"/>
      <c r="F36" s="550"/>
      <c r="G36" s="550"/>
      <c r="H36" s="550"/>
      <c r="I36" s="550"/>
      <c r="J36" s="550"/>
      <c r="K36" s="550"/>
      <c r="L36" s="550"/>
      <c r="M36" s="550"/>
    </row>
    <row r="37" spans="3:13" ht="15">
      <c r="C37" s="169">
        <v>0.01</v>
      </c>
      <c r="D37" s="550"/>
      <c r="E37" s="550"/>
      <c r="F37" s="550"/>
      <c r="G37" s="550"/>
      <c r="H37" s="550"/>
      <c r="I37" s="550"/>
      <c r="J37" s="550"/>
      <c r="K37" s="550"/>
      <c r="L37" s="550"/>
      <c r="M37" s="550"/>
    </row>
    <row r="38" spans="3:13" ht="15">
      <c r="C38" s="170">
        <v>0.005</v>
      </c>
      <c r="D38" s="550"/>
      <c r="E38" s="550"/>
      <c r="F38" s="550"/>
      <c r="G38" s="550"/>
      <c r="H38" s="550"/>
      <c r="I38" s="550"/>
      <c r="J38" s="550"/>
      <c r="K38" s="550"/>
      <c r="L38" s="550"/>
      <c r="M38" s="550"/>
    </row>
    <row r="39" spans="3:13" ht="15">
      <c r="C39" s="170">
        <v>0.001</v>
      </c>
      <c r="D39" s="550"/>
      <c r="E39" s="550"/>
      <c r="F39" s="550"/>
      <c r="G39" s="550"/>
      <c r="H39" s="550"/>
      <c r="I39" s="550"/>
      <c r="J39" s="550"/>
      <c r="K39" s="550"/>
      <c r="L39" s="550"/>
      <c r="M39" s="550"/>
    </row>
    <row r="40" spans="3:13" ht="15">
      <c r="C40" s="170"/>
      <c r="D40" s="181"/>
      <c r="E40" s="181"/>
      <c r="F40" s="181"/>
      <c r="G40" s="181"/>
      <c r="H40" s="181"/>
      <c r="I40" s="181"/>
      <c r="J40" s="181"/>
      <c r="K40" s="181"/>
      <c r="L40" s="181"/>
      <c r="M40" s="181"/>
    </row>
    <row r="41" spans="3:6" ht="15">
      <c r="C41" s="171"/>
      <c r="E41" s="163" t="s">
        <v>262</v>
      </c>
      <c r="F41" s="163" t="s">
        <v>493</v>
      </c>
    </row>
    <row r="42" spans="1:13" ht="30" customHeight="1">
      <c r="A42" s="706" t="s">
        <v>329</v>
      </c>
      <c r="B42" s="590"/>
      <c r="C42" s="590"/>
      <c r="D42" s="169">
        <v>1</v>
      </c>
      <c r="E42" s="169">
        <v>0.5</v>
      </c>
      <c r="F42" s="169">
        <v>0.2</v>
      </c>
      <c r="G42" s="169">
        <v>0.1</v>
      </c>
      <c r="H42" s="169">
        <v>0.04</v>
      </c>
      <c r="I42" s="169">
        <v>0.02</v>
      </c>
      <c r="J42" s="407">
        <v>0.0133</v>
      </c>
      <c r="K42" s="169">
        <v>0.01</v>
      </c>
      <c r="L42" s="170">
        <v>0.005</v>
      </c>
      <c r="M42" s="170">
        <v>0.001</v>
      </c>
    </row>
    <row r="43" spans="3:15" ht="15">
      <c r="C43" s="169">
        <v>1</v>
      </c>
      <c r="D43" s="550"/>
      <c r="E43" s="550"/>
      <c r="F43" s="550"/>
      <c r="G43" s="550"/>
      <c r="H43" s="550"/>
      <c r="I43" s="550"/>
      <c r="J43" s="550"/>
      <c r="K43" s="550"/>
      <c r="L43" s="550"/>
      <c r="M43" s="550"/>
      <c r="O43" s="163" t="s">
        <v>506</v>
      </c>
    </row>
    <row r="44" spans="2:15" ht="15">
      <c r="B44" s="591" t="s">
        <v>294</v>
      </c>
      <c r="C44" s="169">
        <v>0.5</v>
      </c>
      <c r="D44" s="550"/>
      <c r="E44" s="550"/>
      <c r="F44" s="550"/>
      <c r="G44" s="550"/>
      <c r="H44" s="550"/>
      <c r="I44" s="550"/>
      <c r="J44" s="550"/>
      <c r="K44" s="550"/>
      <c r="L44" s="550"/>
      <c r="M44" s="550"/>
      <c r="O44" s="163" t="s">
        <v>319</v>
      </c>
    </row>
    <row r="45" spans="2:15" ht="15">
      <c r="B45" s="592"/>
      <c r="C45" s="169">
        <v>0.2</v>
      </c>
      <c r="D45" s="550"/>
      <c r="E45" s="550"/>
      <c r="F45" s="550"/>
      <c r="G45" s="550"/>
      <c r="H45" s="550"/>
      <c r="I45" s="550"/>
      <c r="J45" s="550"/>
      <c r="K45" s="550"/>
      <c r="L45" s="550"/>
      <c r="M45" s="550"/>
      <c r="O45" s="163" t="s">
        <v>930</v>
      </c>
    </row>
    <row r="46" spans="3:15" ht="15">
      <c r="C46" s="169">
        <v>0.1</v>
      </c>
      <c r="D46" s="550"/>
      <c r="E46" s="550"/>
      <c r="F46" s="550"/>
      <c r="G46" s="550"/>
      <c r="H46" s="550"/>
      <c r="I46" s="550"/>
      <c r="J46" s="550"/>
      <c r="K46" s="550"/>
      <c r="L46" s="550"/>
      <c r="M46" s="550"/>
      <c r="O46" s="163" t="s">
        <v>277</v>
      </c>
    </row>
    <row r="47" spans="3:15" ht="15">
      <c r="C47" s="169">
        <v>0.04</v>
      </c>
      <c r="D47" s="550"/>
      <c r="E47" s="550"/>
      <c r="F47" s="550"/>
      <c r="G47" s="550"/>
      <c r="H47" s="550"/>
      <c r="I47" s="550"/>
      <c r="J47" s="550"/>
      <c r="K47" s="550"/>
      <c r="L47" s="550"/>
      <c r="M47" s="550"/>
      <c r="O47" s="163" t="s">
        <v>931</v>
      </c>
    </row>
    <row r="48" spans="3:13" ht="15">
      <c r="C48" s="169">
        <v>0.02</v>
      </c>
      <c r="D48" s="550"/>
      <c r="E48" s="550"/>
      <c r="F48" s="550"/>
      <c r="G48" s="550"/>
      <c r="H48" s="550"/>
      <c r="I48" s="550"/>
      <c r="J48" s="550"/>
      <c r="K48" s="550"/>
      <c r="L48" s="550"/>
      <c r="M48" s="550"/>
    </row>
    <row r="49" spans="3:13" ht="15">
      <c r="C49" s="407">
        <v>0.0133</v>
      </c>
      <c r="D49" s="550"/>
      <c r="E49" s="550"/>
      <c r="F49" s="550"/>
      <c r="G49" s="550"/>
      <c r="H49" s="550"/>
      <c r="I49" s="550"/>
      <c r="J49" s="550"/>
      <c r="K49" s="550"/>
      <c r="L49" s="550"/>
      <c r="M49" s="550"/>
    </row>
    <row r="50" spans="3:13" ht="15">
      <c r="C50" s="169">
        <v>0.01</v>
      </c>
      <c r="D50" s="550"/>
      <c r="E50" s="550"/>
      <c r="F50" s="550"/>
      <c r="G50" s="550"/>
      <c r="H50" s="550"/>
      <c r="I50" s="550"/>
      <c r="J50" s="550"/>
      <c r="K50" s="550"/>
      <c r="L50" s="550"/>
      <c r="M50" s="550"/>
    </row>
    <row r="51" spans="3:13" ht="15">
      <c r="C51" s="170">
        <v>0.005</v>
      </c>
      <c r="D51" s="550"/>
      <c r="E51" s="550"/>
      <c r="F51" s="550"/>
      <c r="G51" s="550"/>
      <c r="H51" s="550"/>
      <c r="I51" s="550"/>
      <c r="J51" s="550"/>
      <c r="K51" s="550"/>
      <c r="L51" s="550"/>
      <c r="M51" s="550"/>
    </row>
    <row r="52" spans="3:13" ht="15">
      <c r="C52" s="170">
        <v>0.001</v>
      </c>
      <c r="D52" s="550"/>
      <c r="E52" s="550"/>
      <c r="F52" s="550"/>
      <c r="G52" s="550"/>
      <c r="H52" s="550"/>
      <c r="I52" s="550"/>
      <c r="J52" s="550"/>
      <c r="K52" s="550"/>
      <c r="L52" s="550"/>
      <c r="M52" s="550"/>
    </row>
    <row r="54" spans="3:6" ht="15">
      <c r="C54" s="171"/>
      <c r="E54" s="163" t="s">
        <v>262</v>
      </c>
      <c r="F54" s="163" t="s">
        <v>494</v>
      </c>
    </row>
    <row r="55" spans="1:13" ht="30" customHeight="1">
      <c r="A55" s="706" t="s">
        <v>330</v>
      </c>
      <c r="B55" s="590"/>
      <c r="C55" s="590"/>
      <c r="D55" s="169">
        <v>1</v>
      </c>
      <c r="E55" s="169">
        <v>0.5</v>
      </c>
      <c r="F55" s="169">
        <v>0.2</v>
      </c>
      <c r="G55" s="169">
        <v>0.1</v>
      </c>
      <c r="H55" s="169">
        <v>0.04</v>
      </c>
      <c r="I55" s="169">
        <v>0.02</v>
      </c>
      <c r="J55" s="407">
        <v>0.0133</v>
      </c>
      <c r="K55" s="169">
        <v>0.01</v>
      </c>
      <c r="L55" s="170">
        <v>0.005</v>
      </c>
      <c r="M55" s="170">
        <v>0.001</v>
      </c>
    </row>
    <row r="56" spans="3:15" ht="15">
      <c r="C56" s="169">
        <v>1</v>
      </c>
      <c r="D56" s="550"/>
      <c r="E56" s="550"/>
      <c r="F56" s="550"/>
      <c r="G56" s="550"/>
      <c r="H56" s="550"/>
      <c r="I56" s="550"/>
      <c r="J56" s="550"/>
      <c r="K56" s="550"/>
      <c r="L56" s="550"/>
      <c r="M56" s="550"/>
      <c r="O56" s="163" t="s">
        <v>506</v>
      </c>
    </row>
    <row r="57" spans="2:15" ht="15">
      <c r="B57" s="591" t="s">
        <v>294</v>
      </c>
      <c r="C57" s="169">
        <v>0.5</v>
      </c>
      <c r="D57" s="550"/>
      <c r="E57" s="550"/>
      <c r="F57" s="550"/>
      <c r="G57" s="550"/>
      <c r="H57" s="550"/>
      <c r="I57" s="550"/>
      <c r="J57" s="550"/>
      <c r="K57" s="550"/>
      <c r="L57" s="550"/>
      <c r="M57" s="550"/>
      <c r="O57" s="163" t="s">
        <v>319</v>
      </c>
    </row>
    <row r="58" spans="2:15" ht="15">
      <c r="B58" s="592"/>
      <c r="C58" s="169">
        <v>0.2</v>
      </c>
      <c r="D58" s="550"/>
      <c r="E58" s="550"/>
      <c r="F58" s="550"/>
      <c r="G58" s="550"/>
      <c r="H58" s="550"/>
      <c r="I58" s="550"/>
      <c r="J58" s="550"/>
      <c r="K58" s="550"/>
      <c r="L58" s="550"/>
      <c r="M58" s="550"/>
      <c r="O58" s="163" t="s">
        <v>932</v>
      </c>
    </row>
    <row r="59" spans="3:15" ht="15">
      <c r="C59" s="169">
        <v>0.1</v>
      </c>
      <c r="D59" s="550"/>
      <c r="E59" s="550"/>
      <c r="F59" s="550"/>
      <c r="G59" s="550"/>
      <c r="H59" s="550"/>
      <c r="I59" s="550"/>
      <c r="J59" s="550"/>
      <c r="K59" s="550"/>
      <c r="L59" s="550"/>
      <c r="M59" s="550"/>
      <c r="O59" s="163" t="s">
        <v>277</v>
      </c>
    </row>
    <row r="60" spans="3:15" ht="15">
      <c r="C60" s="169">
        <v>0.04</v>
      </c>
      <c r="D60" s="550"/>
      <c r="E60" s="550"/>
      <c r="F60" s="550"/>
      <c r="G60" s="550"/>
      <c r="H60" s="550"/>
      <c r="I60" s="550"/>
      <c r="J60" s="550"/>
      <c r="K60" s="550"/>
      <c r="L60" s="550"/>
      <c r="M60" s="550"/>
      <c r="O60" s="163" t="s">
        <v>933</v>
      </c>
    </row>
    <row r="61" spans="3:13" ht="15">
      <c r="C61" s="169">
        <v>0.02</v>
      </c>
      <c r="D61" s="550"/>
      <c r="E61" s="550"/>
      <c r="F61" s="550"/>
      <c r="G61" s="550"/>
      <c r="H61" s="550"/>
      <c r="I61" s="550"/>
      <c r="J61" s="550"/>
      <c r="K61" s="550"/>
      <c r="L61" s="550"/>
      <c r="M61" s="550"/>
    </row>
    <row r="62" spans="3:13" ht="15">
      <c r="C62" s="407">
        <v>0.0133</v>
      </c>
      <c r="D62" s="550"/>
      <c r="E62" s="550"/>
      <c r="F62" s="550"/>
      <c r="G62" s="550"/>
      <c r="H62" s="550"/>
      <c r="I62" s="550"/>
      <c r="J62" s="550"/>
      <c r="K62" s="550"/>
      <c r="L62" s="550"/>
      <c r="M62" s="550"/>
    </row>
    <row r="63" spans="3:13" ht="15">
      <c r="C63" s="169">
        <v>0.01</v>
      </c>
      <c r="D63" s="550"/>
      <c r="E63" s="550"/>
      <c r="F63" s="550"/>
      <c r="G63" s="550"/>
      <c r="H63" s="550"/>
      <c r="I63" s="550"/>
      <c r="J63" s="550"/>
      <c r="K63" s="550"/>
      <c r="L63" s="550"/>
      <c r="M63" s="550"/>
    </row>
    <row r="64" spans="3:13" ht="15">
      <c r="C64" s="170">
        <v>0.005</v>
      </c>
      <c r="D64" s="550"/>
      <c r="E64" s="550"/>
      <c r="F64" s="550"/>
      <c r="G64" s="550"/>
      <c r="H64" s="550"/>
      <c r="I64" s="550"/>
      <c r="J64" s="550"/>
      <c r="K64" s="550"/>
      <c r="L64" s="550"/>
      <c r="M64" s="550"/>
    </row>
    <row r="65" spans="3:13" ht="15">
      <c r="C65" s="170">
        <v>0.001</v>
      </c>
      <c r="D65" s="550"/>
      <c r="E65" s="550"/>
      <c r="F65" s="550"/>
      <c r="G65" s="550"/>
      <c r="H65" s="550"/>
      <c r="I65" s="550"/>
      <c r="J65" s="550"/>
      <c r="K65" s="550"/>
      <c r="L65" s="550"/>
      <c r="M65" s="550"/>
    </row>
    <row r="67" spans="3:6" ht="15">
      <c r="C67" s="171"/>
      <c r="E67" s="163" t="s">
        <v>262</v>
      </c>
      <c r="F67" s="163" t="str">
        <f>"Number of "&amp;A68&amp;" whose risk changes due to changes in water levels"</f>
        <v>Number of OTHER whose risk changes due to changes in water levels</v>
      </c>
    </row>
    <row r="68" spans="1:13" ht="30" customHeight="1">
      <c r="A68" s="706" t="s">
        <v>331</v>
      </c>
      <c r="B68" s="707"/>
      <c r="C68" s="707"/>
      <c r="D68" s="169">
        <v>1</v>
      </c>
      <c r="E68" s="169">
        <v>0.5</v>
      </c>
      <c r="F68" s="169">
        <v>0.2</v>
      </c>
      <c r="G68" s="169">
        <v>0.1</v>
      </c>
      <c r="H68" s="169">
        <v>0.04</v>
      </c>
      <c r="I68" s="169">
        <v>0.02</v>
      </c>
      <c r="J68" s="407">
        <v>0.0133</v>
      </c>
      <c r="K68" s="169">
        <v>0.01</v>
      </c>
      <c r="L68" s="170">
        <v>0.005</v>
      </c>
      <c r="M68" s="170">
        <v>0.001</v>
      </c>
    </row>
    <row r="69" spans="3:13" ht="15">
      <c r="C69" s="169">
        <v>1</v>
      </c>
      <c r="D69" s="550"/>
      <c r="E69" s="550"/>
      <c r="F69" s="550"/>
      <c r="G69" s="550"/>
      <c r="H69" s="550"/>
      <c r="I69" s="550"/>
      <c r="J69" s="550"/>
      <c r="K69" s="550"/>
      <c r="L69" s="550"/>
      <c r="M69" s="550"/>
    </row>
    <row r="70" spans="2:13" ht="15">
      <c r="B70" s="591" t="s">
        <v>294</v>
      </c>
      <c r="C70" s="169">
        <v>0.5</v>
      </c>
      <c r="D70" s="550"/>
      <c r="E70" s="550"/>
      <c r="F70" s="550"/>
      <c r="G70" s="550"/>
      <c r="H70" s="550"/>
      <c r="I70" s="550"/>
      <c r="J70" s="550"/>
      <c r="K70" s="550"/>
      <c r="L70" s="550"/>
      <c r="M70" s="550"/>
    </row>
    <row r="71" spans="2:13" ht="15">
      <c r="B71" s="592"/>
      <c r="C71" s="169">
        <v>0.2</v>
      </c>
      <c r="D71" s="550"/>
      <c r="E71" s="550"/>
      <c r="F71" s="550"/>
      <c r="G71" s="550"/>
      <c r="H71" s="550"/>
      <c r="I71" s="550"/>
      <c r="J71" s="550"/>
      <c r="K71" s="550"/>
      <c r="L71" s="550"/>
      <c r="M71" s="550"/>
    </row>
    <row r="72" spans="3:13" ht="15">
      <c r="C72" s="169">
        <v>0.1</v>
      </c>
      <c r="D72" s="550"/>
      <c r="E72" s="550"/>
      <c r="F72" s="550"/>
      <c r="G72" s="550"/>
      <c r="H72" s="550"/>
      <c r="I72" s="550"/>
      <c r="J72" s="550"/>
      <c r="K72" s="550"/>
      <c r="L72" s="550"/>
      <c r="M72" s="550"/>
    </row>
    <row r="73" spans="3:13" ht="15">
      <c r="C73" s="169">
        <v>0.04</v>
      </c>
      <c r="D73" s="550"/>
      <c r="E73" s="550"/>
      <c r="F73" s="550"/>
      <c r="G73" s="550"/>
      <c r="H73" s="550"/>
      <c r="I73" s="550"/>
      <c r="J73" s="550"/>
      <c r="K73" s="550"/>
      <c r="L73" s="550"/>
      <c r="M73" s="550"/>
    </row>
    <row r="74" spans="3:13" ht="15">
      <c r="C74" s="169">
        <v>0.02</v>
      </c>
      <c r="D74" s="550"/>
      <c r="E74" s="550"/>
      <c r="F74" s="550"/>
      <c r="G74" s="550"/>
      <c r="H74" s="550"/>
      <c r="I74" s="550"/>
      <c r="J74" s="550"/>
      <c r="K74" s="550"/>
      <c r="L74" s="550"/>
      <c r="M74" s="550"/>
    </row>
    <row r="75" spans="3:13" ht="15">
      <c r="C75" s="407">
        <v>0.0133</v>
      </c>
      <c r="D75" s="550"/>
      <c r="E75" s="550"/>
      <c r="F75" s="550"/>
      <c r="G75" s="550"/>
      <c r="H75" s="550"/>
      <c r="I75" s="550"/>
      <c r="J75" s="550"/>
      <c r="K75" s="550"/>
      <c r="L75" s="550"/>
      <c r="M75" s="550"/>
    </row>
    <row r="76" spans="3:13" ht="15">
      <c r="C76" s="169">
        <v>0.01</v>
      </c>
      <c r="D76" s="550"/>
      <c r="E76" s="550"/>
      <c r="F76" s="550"/>
      <c r="G76" s="550"/>
      <c r="H76" s="550"/>
      <c r="I76" s="550"/>
      <c r="J76" s="550"/>
      <c r="K76" s="550"/>
      <c r="L76" s="550"/>
      <c r="M76" s="550"/>
    </row>
    <row r="77" spans="3:13" ht="15">
      <c r="C77" s="170">
        <v>0.005</v>
      </c>
      <c r="D77" s="550"/>
      <c r="E77" s="550"/>
      <c r="F77" s="550"/>
      <c r="G77" s="550"/>
      <c r="H77" s="550"/>
      <c r="I77" s="550"/>
      <c r="J77" s="550"/>
      <c r="K77" s="550"/>
      <c r="L77" s="550"/>
      <c r="M77" s="550"/>
    </row>
    <row r="78" spans="3:13" ht="15">
      <c r="C78" s="170">
        <v>0.001</v>
      </c>
      <c r="D78" s="550"/>
      <c r="E78" s="550"/>
      <c r="F78" s="550"/>
      <c r="G78" s="550"/>
      <c r="H78" s="550"/>
      <c r="I78" s="550"/>
      <c r="J78" s="550"/>
      <c r="K78" s="550"/>
      <c r="L78" s="550"/>
      <c r="M78" s="550"/>
    </row>
    <row r="80" spans="4:13" ht="15">
      <c r="D80" s="169">
        <v>1</v>
      </c>
      <c r="E80" s="169">
        <v>0.5</v>
      </c>
      <c r="F80" s="169">
        <v>0.2</v>
      </c>
      <c r="G80" s="169">
        <v>0.1</v>
      </c>
      <c r="H80" s="169">
        <v>0.04</v>
      </c>
      <c r="I80" s="169">
        <v>0.02</v>
      </c>
      <c r="J80" s="407">
        <v>0.0133</v>
      </c>
      <c r="K80" s="169">
        <v>0.01</v>
      </c>
      <c r="L80" s="170">
        <v>0.005</v>
      </c>
      <c r="M80" s="170">
        <v>0.001</v>
      </c>
    </row>
    <row r="81" spans="4:13" ht="15">
      <c r="D81" s="553">
        <v>0.01</v>
      </c>
      <c r="E81" s="553">
        <v>0.02</v>
      </c>
      <c r="F81" s="553">
        <v>0.05</v>
      </c>
      <c r="G81" s="553">
        <v>0.1</v>
      </c>
      <c r="H81" s="553">
        <v>0.25</v>
      </c>
      <c r="I81" s="553">
        <v>0.8</v>
      </c>
      <c r="J81" s="553">
        <f>(K81-I81)*0.67+I81</f>
        <v>0.8871</v>
      </c>
      <c r="K81" s="553">
        <v>0.93</v>
      </c>
      <c r="L81" s="553">
        <f>(K81+M81)/2</f>
        <v>0.9650000000000001</v>
      </c>
      <c r="M81" s="553">
        <v>1</v>
      </c>
    </row>
    <row r="82" spans="3:13" ht="15">
      <c r="C82" s="275" t="s">
        <v>590</v>
      </c>
      <c r="D82" s="552"/>
      <c r="E82" s="189"/>
      <c r="F82" s="189"/>
      <c r="G82" s="189"/>
      <c r="H82" s="189"/>
      <c r="I82" s="189"/>
      <c r="J82" s="189"/>
      <c r="K82" s="189"/>
      <c r="L82" s="189"/>
      <c r="M82" s="189"/>
    </row>
    <row r="83" spans="1:14" ht="32.25" customHeight="1">
      <c r="A83" s="706" t="s">
        <v>591</v>
      </c>
      <c r="B83" s="592"/>
      <c r="C83" s="592"/>
      <c r="D83" s="278">
        <f aca="true" t="shared" si="0" ref="D83:I83">$D$82*D81</f>
        <v>0</v>
      </c>
      <c r="E83" s="278">
        <f t="shared" si="0"/>
        <v>0</v>
      </c>
      <c r="F83" s="278">
        <f t="shared" si="0"/>
        <v>0</v>
      </c>
      <c r="G83" s="278">
        <f t="shared" si="0"/>
        <v>0</v>
      </c>
      <c r="H83" s="278">
        <f t="shared" si="0"/>
        <v>0</v>
      </c>
      <c r="I83" s="278">
        <f t="shared" si="0"/>
        <v>0</v>
      </c>
      <c r="J83" s="278">
        <f aca="true" t="shared" si="1" ref="J83:M83">$D$82*J81</f>
        <v>0</v>
      </c>
      <c r="K83" s="278">
        <f t="shared" si="1"/>
        <v>0</v>
      </c>
      <c r="L83" s="278">
        <f t="shared" si="1"/>
        <v>0</v>
      </c>
      <c r="M83" s="278">
        <f t="shared" si="1"/>
        <v>0</v>
      </c>
      <c r="N83" s="163" t="s">
        <v>587</v>
      </c>
    </row>
    <row r="84" spans="1:13" ht="32.25" customHeight="1">
      <c r="A84" s="706" t="s">
        <v>611</v>
      </c>
      <c r="B84" s="591"/>
      <c r="C84" s="591"/>
      <c r="D84" s="278">
        <f>D83</f>
        <v>0</v>
      </c>
      <c r="E84" s="278">
        <f>E83-D83</f>
        <v>0</v>
      </c>
      <c r="F84" s="278">
        <f aca="true" t="shared" si="2" ref="F84:I84">F83-E83</f>
        <v>0</v>
      </c>
      <c r="G84" s="278">
        <f t="shared" si="2"/>
        <v>0</v>
      </c>
      <c r="H84" s="278">
        <f t="shared" si="2"/>
        <v>0</v>
      </c>
      <c r="I84" s="278">
        <f t="shared" si="2"/>
        <v>0</v>
      </c>
      <c r="J84" s="278">
        <f aca="true" t="shared" si="3" ref="J84">J83-I83</f>
        <v>0</v>
      </c>
      <c r="K84" s="278">
        <f aca="true" t="shared" si="4" ref="K84">K83-J83</f>
        <v>0</v>
      </c>
      <c r="L84" s="278">
        <f aca="true" t="shared" si="5" ref="L84">L83-K83</f>
        <v>0</v>
      </c>
      <c r="M84" s="278">
        <f aca="true" t="shared" si="6" ref="M84">M83-L83</f>
        <v>0</v>
      </c>
    </row>
    <row r="86" spans="3:13" ht="15">
      <c r="C86" s="298" t="s">
        <v>651</v>
      </c>
      <c r="D86" s="206">
        <v>1</v>
      </c>
      <c r="E86" s="206">
        <v>0.5</v>
      </c>
      <c r="F86" s="206">
        <v>0.2</v>
      </c>
      <c r="G86" s="206">
        <v>0.1</v>
      </c>
      <c r="H86" s="206">
        <v>0.04</v>
      </c>
      <c r="I86" s="206">
        <v>0.02</v>
      </c>
      <c r="J86" s="407">
        <v>0.0133</v>
      </c>
      <c r="K86" s="169">
        <v>0.01</v>
      </c>
      <c r="L86" s="170">
        <v>0.005</v>
      </c>
      <c r="M86" s="170">
        <v>0.001</v>
      </c>
    </row>
    <row r="87" spans="3:25" ht="30">
      <c r="C87" s="163" t="s">
        <v>377</v>
      </c>
      <c r="D87" s="554" t="s">
        <v>195</v>
      </c>
      <c r="E87" s="554" t="s">
        <v>195</v>
      </c>
      <c r="F87" s="554" t="s">
        <v>378</v>
      </c>
      <c r="G87" s="554" t="s">
        <v>378</v>
      </c>
      <c r="H87" s="554" t="s">
        <v>378</v>
      </c>
      <c r="I87" s="554" t="s">
        <v>378</v>
      </c>
      <c r="J87" s="554" t="s">
        <v>378</v>
      </c>
      <c r="K87" s="554" t="s">
        <v>378</v>
      </c>
      <c r="L87" s="554" t="s">
        <v>378</v>
      </c>
      <c r="M87" s="554" t="s">
        <v>378</v>
      </c>
      <c r="O87" s="591"/>
      <c r="P87" s="590"/>
      <c r="Q87" s="590"/>
      <c r="R87" s="590"/>
      <c r="S87" s="590"/>
      <c r="T87" s="590"/>
      <c r="U87" s="590"/>
      <c r="V87" s="590"/>
      <c r="W87" s="590"/>
      <c r="X87" s="590"/>
      <c r="Y87" s="590"/>
    </row>
    <row r="88" spans="4:25" ht="15">
      <c r="D88" s="296"/>
      <c r="E88" s="296"/>
      <c r="F88" s="296"/>
      <c r="G88" s="296"/>
      <c r="H88" s="296"/>
      <c r="I88" s="296"/>
      <c r="J88" s="397"/>
      <c r="K88" s="296"/>
      <c r="L88" s="397"/>
      <c r="M88" s="296"/>
      <c r="O88" s="296"/>
      <c r="P88" s="276"/>
      <c r="Q88" s="276"/>
      <c r="R88" s="276"/>
      <c r="S88" s="276"/>
      <c r="T88" s="276"/>
      <c r="U88" s="276"/>
      <c r="V88" s="276"/>
      <c r="W88" s="276"/>
      <c r="X88" s="276"/>
      <c r="Y88" s="276"/>
    </row>
    <row r="89" spans="3:7" ht="30">
      <c r="C89" s="298" t="str">
        <f>C86</f>
        <v>EMERGENCY SERVICES</v>
      </c>
      <c r="D89" s="296" t="s">
        <v>195</v>
      </c>
      <c r="G89" s="296"/>
    </row>
    <row r="90" spans="2:10" ht="15">
      <c r="B90" s="708" t="s">
        <v>131</v>
      </c>
      <c r="C90" s="710"/>
      <c r="D90" s="555">
        <v>500000</v>
      </c>
      <c r="E90" s="276" t="s">
        <v>642</v>
      </c>
      <c r="F90" s="276"/>
      <c r="G90" s="296"/>
      <c r="H90" s="168"/>
      <c r="I90" s="296"/>
      <c r="J90" s="397"/>
    </row>
    <row r="91" spans="2:10" ht="15">
      <c r="B91" s="708" t="s">
        <v>132</v>
      </c>
      <c r="C91" s="710"/>
      <c r="D91" s="555">
        <v>500000</v>
      </c>
      <c r="E91" s="276" t="s">
        <v>645</v>
      </c>
      <c r="F91" s="276"/>
      <c r="G91" s="296"/>
      <c r="H91" s="168"/>
      <c r="I91" s="296"/>
      <c r="J91" s="397"/>
    </row>
    <row r="92" spans="2:10" ht="15" customHeight="1">
      <c r="B92" s="708" t="s">
        <v>133</v>
      </c>
      <c r="C92" s="710"/>
      <c r="D92" s="555">
        <v>500000</v>
      </c>
      <c r="E92" s="276" t="s">
        <v>646</v>
      </c>
      <c r="F92" s="276"/>
      <c r="G92" s="296"/>
      <c r="H92" s="168"/>
      <c r="I92" s="296"/>
      <c r="J92" s="397"/>
    </row>
    <row r="93" spans="2:10" ht="15" customHeight="1">
      <c r="B93" s="708" t="s">
        <v>332</v>
      </c>
      <c r="C93" s="710"/>
      <c r="D93" s="555">
        <v>250000</v>
      </c>
      <c r="E93" s="276" t="s">
        <v>647</v>
      </c>
      <c r="F93" s="276"/>
      <c r="G93" s="296"/>
      <c r="H93" s="168"/>
      <c r="I93" s="296"/>
      <c r="J93" s="397"/>
    </row>
    <row r="94" spans="2:10" ht="15" customHeight="1">
      <c r="B94" s="708" t="s">
        <v>333</v>
      </c>
      <c r="C94" s="710"/>
      <c r="D94" s="555">
        <v>250000</v>
      </c>
      <c r="E94" s="276" t="s">
        <v>648</v>
      </c>
      <c r="F94" s="276"/>
      <c r="G94" s="296"/>
      <c r="H94" s="168"/>
      <c r="I94" s="296"/>
      <c r="J94" s="397"/>
    </row>
    <row r="95" spans="2:5" ht="15" customHeight="1">
      <c r="B95" s="708" t="s">
        <v>92</v>
      </c>
      <c r="C95" s="710"/>
      <c r="D95" s="555">
        <v>500000</v>
      </c>
      <c r="E95" s="276" t="s">
        <v>649</v>
      </c>
    </row>
    <row r="96" spans="2:4" ht="15">
      <c r="B96" s="297"/>
      <c r="C96" s="298"/>
      <c r="D96" s="163" t="s">
        <v>386</v>
      </c>
    </row>
    <row r="97" ht="15">
      <c r="D97" s="163" t="s">
        <v>387</v>
      </c>
    </row>
    <row r="98" spans="1:5" ht="27.75" customHeight="1">
      <c r="A98" s="706" t="s">
        <v>639</v>
      </c>
      <c r="B98" s="592"/>
      <c r="C98" s="592"/>
      <c r="D98" s="556">
        <v>25</v>
      </c>
      <c r="E98" s="163" t="s">
        <v>391</v>
      </c>
    </row>
    <row r="99" spans="1:5" ht="15">
      <c r="A99" s="296"/>
      <c r="B99" s="296"/>
      <c r="C99" s="298" t="s">
        <v>390</v>
      </c>
      <c r="D99" s="162">
        <f>VLOOKUP(D98-1,Sheet1!A$15:C$114,3,FALSE)</f>
        <v>17.058367603016084</v>
      </c>
      <c r="E99" s="163" t="str">
        <f>"Sum of discount factors from year 0 to year "&amp;D98</f>
        <v>Sum of discount factors from year 0 to year 25</v>
      </c>
    </row>
    <row r="100" spans="1:5" ht="15">
      <c r="A100" s="329"/>
      <c r="B100" s="329"/>
      <c r="C100" s="330" t="s">
        <v>785</v>
      </c>
      <c r="D100" s="178">
        <v>0.5</v>
      </c>
      <c r="E100" s="163" t="s">
        <v>786</v>
      </c>
    </row>
    <row r="101" spans="2:5" ht="15">
      <c r="B101" s="708" t="s">
        <v>131</v>
      </c>
      <c r="C101" s="710"/>
      <c r="D101" s="308">
        <f>D90/D$99/E118-D90/D$99/E118*D100</f>
        <v>36.186578046784625</v>
      </c>
      <c r="E101" s="163" t="s">
        <v>644</v>
      </c>
    </row>
    <row r="102" spans="2:5" ht="15">
      <c r="B102" s="708" t="s">
        <v>132</v>
      </c>
      <c r="C102" s="710"/>
      <c r="D102" s="308">
        <f>D91/D$99/E119-D91/D$99/E119*D100</f>
        <v>36.186578046784625</v>
      </c>
      <c r="E102" s="163" t="s">
        <v>644</v>
      </c>
    </row>
    <row r="103" spans="2:5" ht="15" customHeight="1">
      <c r="B103" s="708" t="s">
        <v>133</v>
      </c>
      <c r="C103" s="710"/>
      <c r="D103" s="308">
        <f>D92/D$99/E120-D92/D$99/E120*D100</f>
        <v>44.41080033014477</v>
      </c>
      <c r="E103" s="163" t="s">
        <v>644</v>
      </c>
    </row>
    <row r="104" spans="2:5" ht="15" customHeight="1">
      <c r="B104" s="708" t="s">
        <v>332</v>
      </c>
      <c r="C104" s="710"/>
      <c r="D104" s="308">
        <f>D93/D$99/E121-D93/D$99/E121*D100</f>
        <v>18.093289023392312</v>
      </c>
      <c r="E104" s="163" t="s">
        <v>644</v>
      </c>
    </row>
    <row r="105" spans="2:5" ht="15" customHeight="1">
      <c r="B105" s="708" t="s">
        <v>333</v>
      </c>
      <c r="C105" s="710"/>
      <c r="D105" s="308">
        <f>D94/D$99/E122-D94/D$99/E122*D100</f>
        <v>18.093289023392312</v>
      </c>
      <c r="E105" s="163" t="s">
        <v>644</v>
      </c>
    </row>
    <row r="106" spans="2:5" ht="15" customHeight="1">
      <c r="B106" s="708" t="s">
        <v>92</v>
      </c>
      <c r="C106" s="710"/>
      <c r="D106" s="343">
        <f>D95/D$99/E123-D95/D$99/E123*D100</f>
        <v>36.186578046784625</v>
      </c>
      <c r="E106" s="163" t="s">
        <v>644</v>
      </c>
    </row>
    <row r="107" spans="3:4" ht="15">
      <c r="C107" s="298"/>
      <c r="D107" s="309"/>
    </row>
    <row r="108" spans="2:13" ht="33" customHeight="1">
      <c r="B108" s="591" t="s">
        <v>282</v>
      </c>
      <c r="C108" s="590"/>
      <c r="D108" s="169">
        <v>1</v>
      </c>
      <c r="E108" s="169">
        <v>0.5</v>
      </c>
      <c r="F108" s="169">
        <v>0.2</v>
      </c>
      <c r="G108" s="169">
        <v>0.1</v>
      </c>
      <c r="H108" s="169">
        <v>0.04</v>
      </c>
      <c r="I108" s="169">
        <v>0.02</v>
      </c>
      <c r="J108" s="407">
        <v>0.0133</v>
      </c>
      <c r="K108" s="169">
        <v>0.01</v>
      </c>
      <c r="L108" s="170">
        <v>0.005</v>
      </c>
      <c r="M108" s="170">
        <v>0.001</v>
      </c>
    </row>
    <row r="109" spans="2:15" ht="15">
      <c r="B109" s="708" t="s">
        <v>131</v>
      </c>
      <c r="C109" s="710"/>
      <c r="D109" s="277">
        <f>IF(D$87="One-off loss",'Water levels-Business'!D45,$D101)</f>
        <v>36.186578046784625</v>
      </c>
      <c r="E109" s="277">
        <f>IF(E$87="One-off loss",'Water levels-Business'!E45,$D101)</f>
        <v>36.186578046784625</v>
      </c>
      <c r="F109" s="277">
        <f>IF(F$87="One-off loss",'Water levels-Business'!F45,$D101)</f>
        <v>19.958300549651398</v>
      </c>
      <c r="G109" s="277">
        <f>IF(G$87="One-off loss",'Water levels-Business'!G45,$D101)</f>
        <v>11.739932753517232</v>
      </c>
      <c r="H109" s="277">
        <f>IF(H$87="One-off loss",'Water levels-Business'!H45,$D101)</f>
        <v>6.367345725379362</v>
      </c>
      <c r="I109" s="277">
        <f>IF(I$87="One-off loss",'Water levels-Business'!I45,$D101)</f>
        <v>3.0053981072020832</v>
      </c>
      <c r="J109" s="277">
        <f>IF(J$87="One-off loss",'Water levels-Business'!J45,$D101)</f>
        <v>1.5065823986733475</v>
      </c>
      <c r="K109" s="277">
        <f>IF(K$87="One-off loss",'Water levels-Business'!K45,$D101)</f>
        <v>0.761057889481286</v>
      </c>
      <c r="L109" s="277">
        <f>IF(L$87="One-off loss",'Water levels-Business'!L45,$D101)</f>
        <v>0.3565495109751966</v>
      </c>
      <c r="M109" s="277">
        <f>IF(M$87="One-off loss",'Water levels-Business'!M45,$D101)</f>
        <v>0</v>
      </c>
      <c r="N109" s="163" t="s">
        <v>114</v>
      </c>
      <c r="O109" s="163" t="s">
        <v>116</v>
      </c>
    </row>
    <row r="110" spans="2:15" ht="15" customHeight="1">
      <c r="B110" s="708" t="s">
        <v>132</v>
      </c>
      <c r="C110" s="710"/>
      <c r="D110" s="277">
        <f>IF(D87="One-off loss",'Water levels-Business'!D45,$D102)</f>
        <v>36.186578046784625</v>
      </c>
      <c r="E110" s="277">
        <f>IF(E87="One-off loss",'Water levels-Business'!E45,$D102)</f>
        <v>36.186578046784625</v>
      </c>
      <c r="F110" s="277">
        <f>IF(F87="One-off loss",'Water levels-Business'!F45,$D102)</f>
        <v>19.958300549651398</v>
      </c>
      <c r="G110" s="277">
        <f>IF(G87="One-off loss",'Water levels-Business'!G45,$D102)</f>
        <v>11.739932753517232</v>
      </c>
      <c r="H110" s="277">
        <f>IF(H87="One-off loss",'Water levels-Business'!H45,$D102)</f>
        <v>6.367345725379362</v>
      </c>
      <c r="I110" s="277">
        <f>IF(I87="One-off loss",'Water levels-Business'!I45,$D102)</f>
        <v>3.0053981072020832</v>
      </c>
      <c r="J110" s="277">
        <f>IF(J87="One-off loss",'Water levels-Business'!J45,$D102)</f>
        <v>1.5065823986733475</v>
      </c>
      <c r="K110" s="277">
        <f>IF(K87="One-off loss",'Water levels-Business'!K45,$D102)</f>
        <v>0.761057889481286</v>
      </c>
      <c r="L110" s="277">
        <f>IF(L87="One-off loss",'Water levels-Business'!L45,$D102)</f>
        <v>0.3565495109751966</v>
      </c>
      <c r="M110" s="277">
        <f>IF(M87="One-off loss",'Water levels-Business'!M45,$D102)</f>
        <v>0</v>
      </c>
      <c r="N110" s="163" t="s">
        <v>114</v>
      </c>
      <c r="O110" s="163" t="s">
        <v>310</v>
      </c>
    </row>
    <row r="111" spans="2:14" ht="15" customHeight="1">
      <c r="B111" s="708" t="s">
        <v>133</v>
      </c>
      <c r="C111" s="710"/>
      <c r="D111" s="277">
        <f>IF(D87="One-off loss",'Water levels-Business'!D45,$D103)</f>
        <v>44.41080033014477</v>
      </c>
      <c r="E111" s="277">
        <f>IF(E87="One-off loss",'Water levels-Business'!E45,$D103)</f>
        <v>44.41080033014477</v>
      </c>
      <c r="F111" s="277">
        <f>IF(F87="One-off loss",'Water levels-Business'!F45,$D103)</f>
        <v>19.958300549651398</v>
      </c>
      <c r="G111" s="277">
        <f>IF(G87="One-off loss",'Water levels-Business'!G45,$D103)</f>
        <v>11.739932753517232</v>
      </c>
      <c r="H111" s="277">
        <f>IF(H87="One-off loss",'Water levels-Business'!H45,$D103)</f>
        <v>6.367345725379362</v>
      </c>
      <c r="I111" s="277">
        <f>IF(I87="One-off loss",'Water levels-Business'!I45,$D103)</f>
        <v>3.0053981072020832</v>
      </c>
      <c r="J111" s="277">
        <f>IF(J87="One-off loss",'Water levels-Business'!J45,$D103)</f>
        <v>1.5065823986733475</v>
      </c>
      <c r="K111" s="277">
        <f>IF(K87="One-off loss",'Water levels-Business'!K45,$D103)</f>
        <v>0.761057889481286</v>
      </c>
      <c r="L111" s="277">
        <f>IF(L87="One-off loss",'Water levels-Business'!L45,$D103)</f>
        <v>0.3565495109751966</v>
      </c>
      <c r="M111" s="277">
        <f>IF(M87="One-off loss",'Water levels-Business'!M45,$D103)</f>
        <v>0</v>
      </c>
      <c r="N111" s="163" t="s">
        <v>114</v>
      </c>
    </row>
    <row r="112" spans="2:14" ht="15" customHeight="1">
      <c r="B112" s="708" t="s">
        <v>332</v>
      </c>
      <c r="C112" s="710"/>
      <c r="D112" s="277">
        <f>IF(D87="One-off loss",'Water levels-Business'!D45,$D104)</f>
        <v>18.093289023392312</v>
      </c>
      <c r="E112" s="277">
        <f>IF(E87="One-off loss",'Water levels-Business'!E45,$D104)</f>
        <v>18.093289023392312</v>
      </c>
      <c r="F112" s="277">
        <f>IF(F87="One-off loss",'Water levels-Business'!F45,$D104)</f>
        <v>19.958300549651398</v>
      </c>
      <c r="G112" s="277">
        <f>IF(G87="One-off loss",'Water levels-Business'!G45,$D104)</f>
        <v>11.739932753517232</v>
      </c>
      <c r="H112" s="277">
        <f>IF(H87="One-off loss",'Water levels-Business'!H45,$D104)</f>
        <v>6.367345725379362</v>
      </c>
      <c r="I112" s="277">
        <f>IF(I87="One-off loss",'Water levels-Business'!I45,$D104)</f>
        <v>3.0053981072020832</v>
      </c>
      <c r="J112" s="277">
        <f>IF(J87="One-off loss",'Water levels-Business'!J45,$D104)</f>
        <v>1.5065823986733475</v>
      </c>
      <c r="K112" s="277">
        <f>IF(K87="One-off loss",'Water levels-Business'!K45,$D104)</f>
        <v>0.761057889481286</v>
      </c>
      <c r="L112" s="277">
        <f>IF(L87="One-off loss",'Water levels-Business'!L45,$D104)</f>
        <v>0.3565495109751966</v>
      </c>
      <c r="M112" s="277">
        <f>IF(M87="One-off loss",'Water levels-Business'!M45,$D104)</f>
        <v>0</v>
      </c>
      <c r="N112" s="163" t="s">
        <v>114</v>
      </c>
    </row>
    <row r="113" spans="2:14" ht="15" customHeight="1">
      <c r="B113" s="708" t="s">
        <v>333</v>
      </c>
      <c r="C113" s="710"/>
      <c r="D113" s="277">
        <f>IF(D87="One-off loss",'Water levels-Business'!D45,$D105)</f>
        <v>18.093289023392312</v>
      </c>
      <c r="E113" s="277">
        <f>IF(E87="One-off loss",'Water levels-Business'!E45,$D105)</f>
        <v>18.093289023392312</v>
      </c>
      <c r="F113" s="277">
        <f>IF(F87="One-off loss",'Water levels-Business'!F45,$D105)</f>
        <v>19.958300549651398</v>
      </c>
      <c r="G113" s="277">
        <f>IF(G87="One-off loss",'Water levels-Business'!G45,$D105)</f>
        <v>11.739932753517232</v>
      </c>
      <c r="H113" s="277">
        <f>IF(H87="One-off loss",'Water levels-Business'!H45,$D105)</f>
        <v>6.367345725379362</v>
      </c>
      <c r="I113" s="277">
        <f>IF(I87="One-off loss",'Water levels-Business'!I45,$D105)</f>
        <v>3.0053981072020832</v>
      </c>
      <c r="J113" s="277">
        <f>IF(J87="One-off loss",'Water levels-Business'!J45,$D105)</f>
        <v>1.5065823986733475</v>
      </c>
      <c r="K113" s="277">
        <f>IF(K87="One-off loss",'Water levels-Business'!K45,$D105)</f>
        <v>0.761057889481286</v>
      </c>
      <c r="L113" s="277">
        <f>IF(L87="One-off loss",'Water levels-Business'!L45,$D105)</f>
        <v>0.3565495109751966</v>
      </c>
      <c r="M113" s="277">
        <f>IF(M87="One-off loss",'Water levels-Business'!M45,$D105)</f>
        <v>0</v>
      </c>
      <c r="N113" s="163" t="s">
        <v>114</v>
      </c>
    </row>
    <row r="114" spans="2:24" ht="15" customHeight="1">
      <c r="B114" s="708" t="str">
        <f>A68</f>
        <v>OTHER</v>
      </c>
      <c r="C114" s="710"/>
      <c r="D114" s="277">
        <f>IF(D87="One-off loss",'Water levels-Business'!D45,$D106)</f>
        <v>36.186578046784625</v>
      </c>
      <c r="E114" s="277">
        <f>IF(E87="One-off loss",'Water levels-Business'!E45,$D106)</f>
        <v>36.186578046784625</v>
      </c>
      <c r="F114" s="277">
        <f>IF(F87="One-off loss",'Water levels-Business'!F45,$D106)</f>
        <v>19.958300549651398</v>
      </c>
      <c r="G114" s="277">
        <f>IF(G87="One-off loss",'Water levels-Business'!G45,$D106)</f>
        <v>11.739932753517232</v>
      </c>
      <c r="H114" s="277">
        <f>IF(H87="One-off loss",'Water levels-Business'!H45,$D106)</f>
        <v>6.367345725379362</v>
      </c>
      <c r="I114" s="277">
        <f>IF(I87="One-off loss",'Water levels-Business'!I45,$D106)</f>
        <v>3.0053981072020832</v>
      </c>
      <c r="J114" s="277">
        <f>IF(J87="One-off loss",'Water levels-Business'!J45,$D106)</f>
        <v>1.5065823986733475</v>
      </c>
      <c r="K114" s="277">
        <f>IF(K87="One-off loss",'Water levels-Business'!K45,$D106)</f>
        <v>0.761057889481286</v>
      </c>
      <c r="L114" s="277">
        <f>IF(L87="One-off loss",'Water levels-Business'!L45,$D106)</f>
        <v>0.3565495109751966</v>
      </c>
      <c r="M114" s="277">
        <f>IF(M87="One-off loss",'Water levels-Business'!M45,$D106)</f>
        <v>0</v>
      </c>
      <c r="N114" s="163" t="s">
        <v>114</v>
      </c>
      <c r="Q114" s="168"/>
      <c r="R114" s="172"/>
      <c r="S114" s="172"/>
      <c r="T114" s="172"/>
      <c r="U114" s="172"/>
      <c r="V114" s="172"/>
      <c r="W114" s="172"/>
      <c r="X114" s="172"/>
    </row>
    <row r="115" spans="17:24" ht="15">
      <c r="Q115" s="168"/>
      <c r="R115" s="172"/>
      <c r="S115" s="172"/>
      <c r="T115" s="172"/>
      <c r="U115" s="172"/>
      <c r="V115" s="172"/>
      <c r="W115" s="172"/>
      <c r="X115" s="172"/>
    </row>
    <row r="116" spans="4:24" ht="32.25">
      <c r="D116" s="180" t="s">
        <v>287</v>
      </c>
      <c r="E116" s="182" t="s">
        <v>288</v>
      </c>
      <c r="F116" s="182" t="s">
        <v>289</v>
      </c>
      <c r="G116" s="177"/>
      <c r="Q116" s="168"/>
      <c r="R116" s="172"/>
      <c r="S116" s="172"/>
      <c r="T116" s="172"/>
      <c r="U116" s="172"/>
      <c r="V116" s="172"/>
      <c r="W116" s="172"/>
      <c r="X116" s="172"/>
    </row>
    <row r="117" spans="3:24" ht="15">
      <c r="C117" s="171" t="s">
        <v>325</v>
      </c>
      <c r="D117" s="280">
        <f>SUM(D118:D123)</f>
        <v>0</v>
      </c>
      <c r="E117" s="281">
        <f>IF(ISERROR(E118*G118+E119*G119+E120*G120+E121*G121+E122*G122+E123*G123),0,E118*G118+E119*G119+E120*G120+E121*G121+E122*G122+E123*G123)</f>
        <v>0</v>
      </c>
      <c r="F117" s="281">
        <f>SUM(F118:F123)</f>
        <v>0</v>
      </c>
      <c r="G117" s="177"/>
      <c r="Q117" s="168"/>
      <c r="R117" s="172"/>
      <c r="S117" s="172"/>
      <c r="T117" s="172"/>
      <c r="U117" s="172"/>
      <c r="V117" s="172"/>
      <c r="W117" s="172"/>
      <c r="X117" s="172"/>
    </row>
    <row r="118" spans="2:24" ht="31.5" customHeight="1">
      <c r="B118" s="708" t="s">
        <v>131</v>
      </c>
      <c r="C118" s="710"/>
      <c r="D118" s="279">
        <f>SUM(D4:M13)</f>
        <v>0</v>
      </c>
      <c r="E118" s="279">
        <v>405</v>
      </c>
      <c r="F118" s="557">
        <f>D118*E118</f>
        <v>0</v>
      </c>
      <c r="G118" s="167">
        <f>IF(ISERROR(F118/SUM($F$118:$F$123)),0,F118/SUM($F$118:$F$123))</f>
        <v>0</v>
      </c>
      <c r="H118" s="163" t="s">
        <v>119</v>
      </c>
      <c r="Q118" s="168"/>
      <c r="R118" s="172"/>
      <c r="S118" s="172"/>
      <c r="T118" s="172"/>
      <c r="U118" s="172"/>
      <c r="V118" s="172"/>
      <c r="W118" s="172"/>
      <c r="X118" s="172"/>
    </row>
    <row r="119" spans="2:24" ht="30" customHeight="1">
      <c r="B119" s="708" t="s">
        <v>132</v>
      </c>
      <c r="C119" s="710"/>
      <c r="D119" s="279">
        <f>SUM(D17:M26)</f>
        <v>0</v>
      </c>
      <c r="E119" s="279">
        <v>405</v>
      </c>
      <c r="F119" s="557">
        <f aca="true" t="shared" si="7" ref="F119:F123">D119*E119</f>
        <v>0</v>
      </c>
      <c r="G119" s="167">
        <f>IF(ISERROR(F119/SUM($F$118:$F$123)),0,F119/SUM($F$118:$F$123))</f>
        <v>0</v>
      </c>
      <c r="H119" s="163" t="s">
        <v>118</v>
      </c>
      <c r="I119" s="167"/>
      <c r="J119" s="167"/>
      <c r="Q119" s="168"/>
      <c r="R119" s="172"/>
      <c r="S119" s="172"/>
      <c r="T119" s="172"/>
      <c r="U119" s="172"/>
      <c r="V119" s="172"/>
      <c r="W119" s="172"/>
      <c r="X119" s="172"/>
    </row>
    <row r="120" spans="2:24" ht="43.5" customHeight="1">
      <c r="B120" s="708" t="s">
        <v>133</v>
      </c>
      <c r="C120" s="710"/>
      <c r="D120" s="279">
        <f>SUM(D30:M39)</f>
        <v>0</v>
      </c>
      <c r="E120" s="279">
        <v>330</v>
      </c>
      <c r="F120" s="557">
        <f t="shared" si="7"/>
        <v>0</v>
      </c>
      <c r="G120" s="167">
        <f aca="true" t="shared" si="8" ref="G120:G123">IF(ISERROR(F120/SUM($F$118:$F$123)),0,F120/SUM($F$118:$F$123))</f>
        <v>0</v>
      </c>
      <c r="H120" s="163" t="s">
        <v>118</v>
      </c>
      <c r="I120" s="167"/>
      <c r="J120" s="167"/>
      <c r="Q120" s="168"/>
      <c r="R120" s="172"/>
      <c r="S120" s="172"/>
      <c r="T120" s="172"/>
      <c r="U120" s="172"/>
      <c r="V120" s="172"/>
      <c r="W120" s="172"/>
      <c r="X120" s="172"/>
    </row>
    <row r="121" spans="2:24" ht="29.25" customHeight="1">
      <c r="B121" s="708" t="s">
        <v>332</v>
      </c>
      <c r="C121" s="710"/>
      <c r="D121" s="279">
        <f>SUM(D43:M52)</f>
        <v>0</v>
      </c>
      <c r="E121" s="279">
        <v>405</v>
      </c>
      <c r="F121" s="557">
        <f t="shared" si="7"/>
        <v>0</v>
      </c>
      <c r="G121" s="167">
        <f t="shared" si="8"/>
        <v>0</v>
      </c>
      <c r="H121" s="163" t="s">
        <v>119</v>
      </c>
      <c r="I121" s="167"/>
      <c r="J121" s="167"/>
      <c r="R121" s="172"/>
      <c r="S121" s="172"/>
      <c r="T121" s="172"/>
      <c r="U121" s="172"/>
      <c r="V121" s="172"/>
      <c r="W121" s="172"/>
      <c r="X121" s="172"/>
    </row>
    <row r="122" spans="2:24" ht="15">
      <c r="B122" s="708" t="s">
        <v>333</v>
      </c>
      <c r="C122" s="710"/>
      <c r="D122" s="279">
        <f>SUM(D56:M65)</f>
        <v>0</v>
      </c>
      <c r="E122" s="279">
        <v>405</v>
      </c>
      <c r="F122" s="557">
        <f t="shared" si="7"/>
        <v>0</v>
      </c>
      <c r="G122" s="167">
        <f t="shared" si="8"/>
        <v>0</v>
      </c>
      <c r="H122" s="163" t="s">
        <v>119</v>
      </c>
      <c r="I122" s="167"/>
      <c r="J122" s="167"/>
      <c r="R122" s="172"/>
      <c r="S122" s="172"/>
      <c r="T122" s="172"/>
      <c r="U122" s="172"/>
      <c r="V122" s="172"/>
      <c r="W122" s="172"/>
      <c r="X122" s="172"/>
    </row>
    <row r="123" spans="2:24" ht="15">
      <c r="B123" s="708" t="str">
        <f>A68</f>
        <v>OTHER</v>
      </c>
      <c r="C123" s="710"/>
      <c r="D123" s="279">
        <f>SUM(D69:M78)</f>
        <v>0</v>
      </c>
      <c r="E123" s="183">
        <v>405</v>
      </c>
      <c r="F123" s="557">
        <f t="shared" si="7"/>
        <v>0</v>
      </c>
      <c r="G123" s="167">
        <f t="shared" si="8"/>
        <v>0</v>
      </c>
      <c r="H123" s="163" t="s">
        <v>119</v>
      </c>
      <c r="I123" s="167"/>
      <c r="J123" s="167"/>
      <c r="R123" s="172"/>
      <c r="S123" s="172"/>
      <c r="T123" s="172"/>
      <c r="U123" s="172"/>
      <c r="V123" s="172"/>
      <c r="W123" s="172"/>
      <c r="X123" s="172"/>
    </row>
    <row r="124" spans="3:24" ht="15">
      <c r="C124" s="171"/>
      <c r="D124" s="171"/>
      <c r="R124" s="172"/>
      <c r="S124" s="172"/>
      <c r="T124" s="172"/>
      <c r="U124" s="172"/>
      <c r="V124" s="172"/>
      <c r="W124" s="172"/>
      <c r="X124" s="172"/>
    </row>
    <row r="125" spans="5:6" ht="15">
      <c r="E125" s="163" t="s">
        <v>262</v>
      </c>
      <c r="F125" s="163" t="s">
        <v>276</v>
      </c>
    </row>
    <row r="126" spans="1:13" ht="30" customHeight="1">
      <c r="A126" s="706" t="s">
        <v>326</v>
      </c>
      <c r="B126" s="590"/>
      <c r="C126" s="590"/>
      <c r="D126" s="169">
        <v>1</v>
      </c>
      <c r="E126" s="169">
        <v>0.5</v>
      </c>
      <c r="F126" s="169">
        <v>0.2</v>
      </c>
      <c r="G126" s="169">
        <v>0.1</v>
      </c>
      <c r="H126" s="169">
        <v>0.04</v>
      </c>
      <c r="I126" s="169">
        <v>0.02</v>
      </c>
      <c r="J126" s="407">
        <v>0.0133</v>
      </c>
      <c r="K126" s="169">
        <v>0.01</v>
      </c>
      <c r="L126" s="170">
        <v>0.005</v>
      </c>
      <c r="M126" s="170">
        <v>0.001</v>
      </c>
    </row>
    <row r="127" spans="3:15" ht="15">
      <c r="C127" s="169">
        <v>1</v>
      </c>
      <c r="D127" s="557">
        <f aca="true" t="shared" si="9" ref="D127:I132">D4*$E$118+D17*$E$119+D30*$E$120+D43*$E$121+D56*$E$122+D69*$E$123</f>
        <v>0</v>
      </c>
      <c r="E127" s="557">
        <f t="shared" si="9"/>
        <v>0</v>
      </c>
      <c r="F127" s="557">
        <f t="shared" si="9"/>
        <v>0</v>
      </c>
      <c r="G127" s="557">
        <f t="shared" si="9"/>
        <v>0</v>
      </c>
      <c r="H127" s="557">
        <f t="shared" si="9"/>
        <v>0</v>
      </c>
      <c r="I127" s="557">
        <f t="shared" si="9"/>
        <v>0</v>
      </c>
      <c r="J127" s="557">
        <f aca="true" t="shared" si="10" ref="J127:M127">J4*$E$118+J17*$E$119+J30*$E$120+J43*$E$121+J56*$E$122+J69*$E$123</f>
        <v>0</v>
      </c>
      <c r="K127" s="557">
        <f t="shared" si="10"/>
        <v>0</v>
      </c>
      <c r="L127" s="557">
        <f t="shared" si="10"/>
        <v>0</v>
      </c>
      <c r="M127" s="557">
        <f t="shared" si="10"/>
        <v>0</v>
      </c>
      <c r="O127" s="163" t="s">
        <v>291</v>
      </c>
    </row>
    <row r="128" spans="2:15" ht="15">
      <c r="B128" s="591" t="s">
        <v>295</v>
      </c>
      <c r="C128" s="169">
        <v>0.5</v>
      </c>
      <c r="D128" s="557">
        <f t="shared" si="9"/>
        <v>0</v>
      </c>
      <c r="E128" s="557">
        <f t="shared" si="9"/>
        <v>0</v>
      </c>
      <c r="F128" s="557">
        <f t="shared" si="9"/>
        <v>0</v>
      </c>
      <c r="G128" s="557">
        <f t="shared" si="9"/>
        <v>0</v>
      </c>
      <c r="H128" s="557">
        <f t="shared" si="9"/>
        <v>0</v>
      </c>
      <c r="I128" s="557">
        <f t="shared" si="9"/>
        <v>0</v>
      </c>
      <c r="J128" s="557">
        <f aca="true" t="shared" si="11" ref="J128:M128">J5*$E$118+J18*$E$119+J31*$E$120+J44*$E$121+J57*$E$122+J70*$E$123</f>
        <v>0</v>
      </c>
      <c r="K128" s="557">
        <f t="shared" si="11"/>
        <v>0</v>
      </c>
      <c r="L128" s="557">
        <f t="shared" si="11"/>
        <v>0</v>
      </c>
      <c r="M128" s="557">
        <f t="shared" si="11"/>
        <v>0</v>
      </c>
      <c r="O128" s="163" t="s">
        <v>293</v>
      </c>
    </row>
    <row r="129" spans="2:15" ht="17.25">
      <c r="B129" s="592"/>
      <c r="C129" s="169">
        <v>0.2</v>
      </c>
      <c r="D129" s="557">
        <f t="shared" si="9"/>
        <v>0</v>
      </c>
      <c r="E129" s="557">
        <f t="shared" si="9"/>
        <v>0</v>
      </c>
      <c r="F129" s="557">
        <f t="shared" si="9"/>
        <v>0</v>
      </c>
      <c r="G129" s="557">
        <f t="shared" si="9"/>
        <v>0</v>
      </c>
      <c r="H129" s="557">
        <f t="shared" si="9"/>
        <v>0</v>
      </c>
      <c r="I129" s="557">
        <f t="shared" si="9"/>
        <v>0</v>
      </c>
      <c r="J129" s="557">
        <f aca="true" t="shared" si="12" ref="J129:M129">J6*$E$118+J19*$E$119+J32*$E$120+J45*$E$121+J58*$E$122+J71*$E$123</f>
        <v>0</v>
      </c>
      <c r="K129" s="557">
        <f t="shared" si="12"/>
        <v>0</v>
      </c>
      <c r="L129" s="557">
        <f t="shared" si="12"/>
        <v>0</v>
      </c>
      <c r="M129" s="557">
        <f t="shared" si="12"/>
        <v>0</v>
      </c>
      <c r="O129" s="163" t="s">
        <v>980</v>
      </c>
    </row>
    <row r="130" spans="3:15" ht="15">
      <c r="C130" s="169">
        <v>0.1</v>
      </c>
      <c r="D130" s="557">
        <f t="shared" si="9"/>
        <v>0</v>
      </c>
      <c r="E130" s="557">
        <f t="shared" si="9"/>
        <v>0</v>
      </c>
      <c r="F130" s="557">
        <f t="shared" si="9"/>
        <v>0</v>
      </c>
      <c r="G130" s="557">
        <f t="shared" si="9"/>
        <v>0</v>
      </c>
      <c r="H130" s="557">
        <f t="shared" si="9"/>
        <v>0</v>
      </c>
      <c r="I130" s="557">
        <f t="shared" si="9"/>
        <v>0</v>
      </c>
      <c r="J130" s="557">
        <f aca="true" t="shared" si="13" ref="J130:M130">J7*$E$118+J20*$E$119+J33*$E$120+J46*$E$121+J59*$E$122+J72*$E$123</f>
        <v>0</v>
      </c>
      <c r="K130" s="557">
        <f t="shared" si="13"/>
        <v>0</v>
      </c>
      <c r="L130" s="557">
        <f t="shared" si="13"/>
        <v>0</v>
      </c>
      <c r="M130" s="557">
        <f t="shared" si="13"/>
        <v>0</v>
      </c>
      <c r="O130" s="163" t="s">
        <v>297</v>
      </c>
    </row>
    <row r="131" spans="3:15" ht="15">
      <c r="C131" s="169">
        <v>0.04</v>
      </c>
      <c r="D131" s="557">
        <f t="shared" si="9"/>
        <v>0</v>
      </c>
      <c r="E131" s="557">
        <f t="shared" si="9"/>
        <v>0</v>
      </c>
      <c r="F131" s="557">
        <f t="shared" si="9"/>
        <v>0</v>
      </c>
      <c r="G131" s="557">
        <f t="shared" si="9"/>
        <v>0</v>
      </c>
      <c r="H131" s="557">
        <f t="shared" si="9"/>
        <v>0</v>
      </c>
      <c r="I131" s="557">
        <f t="shared" si="9"/>
        <v>0</v>
      </c>
      <c r="J131" s="557">
        <f aca="true" t="shared" si="14" ref="J131:M131">J8*$E$118+J21*$E$119+J34*$E$120+J47*$E$121+J60*$E$122+J73*$E$123</f>
        <v>0</v>
      </c>
      <c r="K131" s="557">
        <f t="shared" si="14"/>
        <v>0</v>
      </c>
      <c r="L131" s="557">
        <f t="shared" si="14"/>
        <v>0</v>
      </c>
      <c r="M131" s="557">
        <f t="shared" si="14"/>
        <v>0</v>
      </c>
      <c r="O131" s="163" t="s">
        <v>970</v>
      </c>
    </row>
    <row r="132" spans="3:13" ht="15">
      <c r="C132" s="169">
        <v>0.02</v>
      </c>
      <c r="D132" s="557">
        <f t="shared" si="9"/>
        <v>0</v>
      </c>
      <c r="E132" s="557">
        <f t="shared" si="9"/>
        <v>0</v>
      </c>
      <c r="F132" s="557">
        <f t="shared" si="9"/>
        <v>0</v>
      </c>
      <c r="G132" s="557">
        <f t="shared" si="9"/>
        <v>0</v>
      </c>
      <c r="H132" s="557">
        <f t="shared" si="9"/>
        <v>0</v>
      </c>
      <c r="I132" s="557">
        <f t="shared" si="9"/>
        <v>0</v>
      </c>
      <c r="J132" s="557">
        <f aca="true" t="shared" si="15" ref="J132:M132">J9*$E$118+J22*$E$119+J35*$E$120+J48*$E$121+J61*$E$122+J74*$E$123</f>
        <v>0</v>
      </c>
      <c r="K132" s="557">
        <f t="shared" si="15"/>
        <v>0</v>
      </c>
      <c r="L132" s="557">
        <f t="shared" si="15"/>
        <v>0</v>
      </c>
      <c r="M132" s="557">
        <f t="shared" si="15"/>
        <v>0</v>
      </c>
    </row>
    <row r="133" spans="3:13" ht="15">
      <c r="C133" s="407">
        <v>0.0133</v>
      </c>
      <c r="D133" s="557">
        <f aca="true" t="shared" si="16" ref="D133:M133">D10*$E$118+D23*$E$119+D36*$E$120+D49*$E$121+D62*$E$122+D75*$E$123</f>
        <v>0</v>
      </c>
      <c r="E133" s="557">
        <f t="shared" si="16"/>
        <v>0</v>
      </c>
      <c r="F133" s="557">
        <f t="shared" si="16"/>
        <v>0</v>
      </c>
      <c r="G133" s="557">
        <f t="shared" si="16"/>
        <v>0</v>
      </c>
      <c r="H133" s="557">
        <f t="shared" si="16"/>
        <v>0</v>
      </c>
      <c r="I133" s="557">
        <f t="shared" si="16"/>
        <v>0</v>
      </c>
      <c r="J133" s="557">
        <f t="shared" si="16"/>
        <v>0</v>
      </c>
      <c r="K133" s="557">
        <f t="shared" si="16"/>
        <v>0</v>
      </c>
      <c r="L133" s="557">
        <f t="shared" si="16"/>
        <v>0</v>
      </c>
      <c r="M133" s="557">
        <f t="shared" si="16"/>
        <v>0</v>
      </c>
    </row>
    <row r="134" spans="3:13" ht="15">
      <c r="C134" s="169">
        <v>0.01</v>
      </c>
      <c r="D134" s="557">
        <f aca="true" t="shared" si="17" ref="D134:M134">D11*$E$118+D24*$E$119+D37*$E$120+D50*$E$121+D63*$E$122+D76*$E$123</f>
        <v>0</v>
      </c>
      <c r="E134" s="557">
        <f t="shared" si="17"/>
        <v>0</v>
      </c>
      <c r="F134" s="557">
        <f t="shared" si="17"/>
        <v>0</v>
      </c>
      <c r="G134" s="557">
        <f t="shared" si="17"/>
        <v>0</v>
      </c>
      <c r="H134" s="557">
        <f t="shared" si="17"/>
        <v>0</v>
      </c>
      <c r="I134" s="557">
        <f t="shared" si="17"/>
        <v>0</v>
      </c>
      <c r="J134" s="557">
        <f t="shared" si="17"/>
        <v>0</v>
      </c>
      <c r="K134" s="557">
        <f t="shared" si="17"/>
        <v>0</v>
      </c>
      <c r="L134" s="557">
        <f t="shared" si="17"/>
        <v>0</v>
      </c>
      <c r="M134" s="557">
        <f t="shared" si="17"/>
        <v>0</v>
      </c>
    </row>
    <row r="135" spans="3:13" ht="15">
      <c r="C135" s="170">
        <v>0.005</v>
      </c>
      <c r="D135" s="557">
        <f aca="true" t="shared" si="18" ref="D135:M135">D12*$E$118+D25*$E$119+D38*$E$120+D51*$E$121+D64*$E$122+D77*$E$123</f>
        <v>0</v>
      </c>
      <c r="E135" s="557">
        <f t="shared" si="18"/>
        <v>0</v>
      </c>
      <c r="F135" s="557">
        <f t="shared" si="18"/>
        <v>0</v>
      </c>
      <c r="G135" s="557">
        <f t="shared" si="18"/>
        <v>0</v>
      </c>
      <c r="H135" s="557">
        <f t="shared" si="18"/>
        <v>0</v>
      </c>
      <c r="I135" s="557">
        <f t="shared" si="18"/>
        <v>0</v>
      </c>
      <c r="J135" s="557">
        <f t="shared" si="18"/>
        <v>0</v>
      </c>
      <c r="K135" s="557">
        <f t="shared" si="18"/>
        <v>0</v>
      </c>
      <c r="L135" s="557">
        <f t="shared" si="18"/>
        <v>0</v>
      </c>
      <c r="M135" s="557">
        <f t="shared" si="18"/>
        <v>0</v>
      </c>
    </row>
    <row r="136" spans="3:13" ht="15">
      <c r="C136" s="170">
        <v>0.001</v>
      </c>
      <c r="D136" s="557">
        <f aca="true" t="shared" si="19" ref="D136:M136">D13*$E$118+D26*$E$119+D39*$E$120+D52*$E$121+D65*$E$122+D78*$E$123</f>
        <v>0</v>
      </c>
      <c r="E136" s="557">
        <f t="shared" si="19"/>
        <v>0</v>
      </c>
      <c r="F136" s="557">
        <f t="shared" si="19"/>
        <v>0</v>
      </c>
      <c r="G136" s="557">
        <f t="shared" si="19"/>
        <v>0</v>
      </c>
      <c r="H136" s="557">
        <f t="shared" si="19"/>
        <v>0</v>
      </c>
      <c r="I136" s="557">
        <f t="shared" si="19"/>
        <v>0</v>
      </c>
      <c r="J136" s="557">
        <f t="shared" si="19"/>
        <v>0</v>
      </c>
      <c r="K136" s="557">
        <f t="shared" si="19"/>
        <v>0</v>
      </c>
      <c r="L136" s="557">
        <f t="shared" si="19"/>
        <v>0</v>
      </c>
      <c r="M136" s="557">
        <f t="shared" si="19"/>
        <v>0</v>
      </c>
    </row>
    <row r="137" spans="5:24" ht="15">
      <c r="E137" s="163" t="s">
        <v>262</v>
      </c>
      <c r="F137" s="163" t="s">
        <v>280</v>
      </c>
      <c r="R137" s="168"/>
      <c r="S137" s="168"/>
      <c r="T137" s="168"/>
      <c r="U137" s="168"/>
      <c r="V137" s="168"/>
      <c r="W137" s="168"/>
      <c r="X137" s="168"/>
    </row>
    <row r="138" spans="1:13" ht="15">
      <c r="A138" s="711" t="s">
        <v>325</v>
      </c>
      <c r="B138" s="590"/>
      <c r="C138" s="590"/>
      <c r="D138" s="169">
        <v>1</v>
      </c>
      <c r="E138" s="169">
        <v>0.5</v>
      </c>
      <c r="F138" s="169">
        <v>0.2</v>
      </c>
      <c r="G138" s="169">
        <v>0.1</v>
      </c>
      <c r="H138" s="169">
        <v>0.04</v>
      </c>
      <c r="I138" s="169">
        <v>0.02</v>
      </c>
      <c r="J138" s="407">
        <v>0.0133</v>
      </c>
      <c r="K138" s="169">
        <v>0.01</v>
      </c>
      <c r="L138" s="170">
        <v>0.005</v>
      </c>
      <c r="M138" s="170">
        <v>0.001</v>
      </c>
    </row>
    <row r="139" spans="3:14" ht="17.25">
      <c r="C139" s="169">
        <v>1</v>
      </c>
      <c r="D139" s="173">
        <f>IF($D109-D109&lt;0,0,$D109-D109)</f>
        <v>0</v>
      </c>
      <c r="E139" s="173">
        <f aca="true" t="shared" si="20" ref="E139:M139">IF($D109-E109&lt;0,0,$D109-E109)</f>
        <v>0</v>
      </c>
      <c r="F139" s="173">
        <f t="shared" si="20"/>
        <v>16.228277497133227</v>
      </c>
      <c r="G139" s="173">
        <f t="shared" si="20"/>
        <v>24.446645293267395</v>
      </c>
      <c r="H139" s="173">
        <f t="shared" si="20"/>
        <v>29.819232321405263</v>
      </c>
      <c r="I139" s="173">
        <f t="shared" si="20"/>
        <v>33.18117993958254</v>
      </c>
      <c r="J139" s="173">
        <f t="shared" si="20"/>
        <v>34.67999564811128</v>
      </c>
      <c r="K139" s="173">
        <f t="shared" si="20"/>
        <v>35.42552015730334</v>
      </c>
      <c r="L139" s="173">
        <f t="shared" si="20"/>
        <v>35.830028535809426</v>
      </c>
      <c r="M139" s="173">
        <f t="shared" si="20"/>
        <v>36.186578046784625</v>
      </c>
      <c r="N139" s="163" t="s">
        <v>321</v>
      </c>
    </row>
    <row r="140" spans="2:13" ht="15">
      <c r="B140" s="163" t="s">
        <v>261</v>
      </c>
      <c r="C140" s="169">
        <v>0.5</v>
      </c>
      <c r="D140" s="173">
        <f>IF($E109-D109&gt;0,0,$E109-D109)</f>
        <v>0</v>
      </c>
      <c r="E140" s="173">
        <f aca="true" t="shared" si="21" ref="E140">$E109-E109</f>
        <v>0</v>
      </c>
      <c r="F140" s="173">
        <f>IF($E109-F109&lt;0,0,$E109-F109)</f>
        <v>16.228277497133227</v>
      </c>
      <c r="G140" s="173">
        <f aca="true" t="shared" si="22" ref="G140:M140">IF($E109-G109&lt;0,0,$E109-G109)</f>
        <v>24.446645293267395</v>
      </c>
      <c r="H140" s="173">
        <f t="shared" si="22"/>
        <v>29.819232321405263</v>
      </c>
      <c r="I140" s="173">
        <f t="shared" si="22"/>
        <v>33.18117993958254</v>
      </c>
      <c r="J140" s="173">
        <f t="shared" si="22"/>
        <v>34.67999564811128</v>
      </c>
      <c r="K140" s="173">
        <f t="shared" si="22"/>
        <v>35.42552015730334</v>
      </c>
      <c r="L140" s="173">
        <f t="shared" si="22"/>
        <v>35.830028535809426</v>
      </c>
      <c r="M140" s="173">
        <f t="shared" si="22"/>
        <v>36.186578046784625</v>
      </c>
    </row>
    <row r="141" spans="2:13" ht="15">
      <c r="B141" s="700" t="s">
        <v>281</v>
      </c>
      <c r="C141" s="169">
        <v>0.2</v>
      </c>
      <c r="D141" s="173">
        <f>IF($F109-D109&gt;0,0,$F109-D109)</f>
        <v>-16.228277497133227</v>
      </c>
      <c r="E141" s="173">
        <f>IF($F109-E109&gt;0,0,$F109-E109)</f>
        <v>-16.228277497133227</v>
      </c>
      <c r="F141" s="173">
        <f aca="true" t="shared" si="23" ref="F141">$F109-F109</f>
        <v>0</v>
      </c>
      <c r="G141" s="173">
        <f>IF($F109-G109&lt;0,0,$F109-G109)</f>
        <v>8.218367796134165</v>
      </c>
      <c r="H141" s="173">
        <f aca="true" t="shared" si="24" ref="H141:M141">IF($F109-H109&lt;0,0,$F109-H109)</f>
        <v>13.590954824272035</v>
      </c>
      <c r="I141" s="173">
        <f t="shared" si="24"/>
        <v>16.952902442449314</v>
      </c>
      <c r="J141" s="173">
        <f t="shared" si="24"/>
        <v>18.45171815097805</v>
      </c>
      <c r="K141" s="173">
        <f t="shared" si="24"/>
        <v>19.19724266017011</v>
      </c>
      <c r="L141" s="173">
        <f t="shared" si="24"/>
        <v>19.601751038676202</v>
      </c>
      <c r="M141" s="173">
        <f t="shared" si="24"/>
        <v>19.958300549651398</v>
      </c>
    </row>
    <row r="142" spans="2:13" ht="15">
      <c r="B142" s="701"/>
      <c r="C142" s="169">
        <v>0.1</v>
      </c>
      <c r="D142" s="173">
        <f>IF($G109-D109&gt;0,0,$G109-D109)</f>
        <v>-24.446645293267395</v>
      </c>
      <c r="E142" s="173">
        <f aca="true" t="shared" si="25" ref="E142:F142">IF($G109-E109&gt;0,0,$G109-E109)</f>
        <v>-24.446645293267395</v>
      </c>
      <c r="F142" s="173">
        <f t="shared" si="25"/>
        <v>-8.218367796134165</v>
      </c>
      <c r="G142" s="173">
        <f aca="true" t="shared" si="26" ref="G142">$G109-G109</f>
        <v>0</v>
      </c>
      <c r="H142" s="173">
        <f>IF($G109-H109&lt;0,0,$G109-H109)</f>
        <v>5.37258702813787</v>
      </c>
      <c r="I142" s="173">
        <f aca="true" t="shared" si="27" ref="I142:M142">IF($G109-I109&lt;0,0,$G109-I109)</f>
        <v>8.734534646315149</v>
      </c>
      <c r="J142" s="173">
        <f t="shared" si="27"/>
        <v>10.233350354843886</v>
      </c>
      <c r="K142" s="173">
        <f t="shared" si="27"/>
        <v>10.978874864035946</v>
      </c>
      <c r="L142" s="173">
        <f t="shared" si="27"/>
        <v>11.383383242542035</v>
      </c>
      <c r="M142" s="173">
        <f t="shared" si="27"/>
        <v>11.739932753517232</v>
      </c>
    </row>
    <row r="143" spans="2:13" ht="15">
      <c r="B143" s="701"/>
      <c r="C143" s="169">
        <v>0.04</v>
      </c>
      <c r="D143" s="173">
        <f>IF($H109-D109&gt;0,0,$H109-D109)</f>
        <v>-29.819232321405263</v>
      </c>
      <c r="E143" s="173">
        <f aca="true" t="shared" si="28" ref="E143:G143">IF($H109-E109&gt;0,0,$H109-E109)</f>
        <v>-29.819232321405263</v>
      </c>
      <c r="F143" s="173">
        <f t="shared" si="28"/>
        <v>-13.590954824272035</v>
      </c>
      <c r="G143" s="173">
        <f t="shared" si="28"/>
        <v>-5.37258702813787</v>
      </c>
      <c r="H143" s="173">
        <f aca="true" t="shared" si="29" ref="H143">$H109-H109</f>
        <v>0</v>
      </c>
      <c r="I143" s="173">
        <f>IF($H109-I109&lt;0,0,$H109-I109)</f>
        <v>3.361947618177279</v>
      </c>
      <c r="J143" s="173">
        <f aca="true" t="shared" si="30" ref="J143:M143">IF($H109-J109&lt;0,0,$H109-J109)</f>
        <v>4.860763326706015</v>
      </c>
      <c r="K143" s="173">
        <f t="shared" si="30"/>
        <v>5.606287835898076</v>
      </c>
      <c r="L143" s="173">
        <f t="shared" si="30"/>
        <v>6.010796214404166</v>
      </c>
      <c r="M143" s="173">
        <f t="shared" si="30"/>
        <v>6.367345725379362</v>
      </c>
    </row>
    <row r="144" spans="2:13" ht="15">
      <c r="B144" s="701"/>
      <c r="C144" s="169">
        <v>0.02</v>
      </c>
      <c r="D144" s="173">
        <f>IF($I109-D109&gt;0,0,$I109-D109)</f>
        <v>-33.18117993958254</v>
      </c>
      <c r="E144" s="173">
        <f aca="true" t="shared" si="31" ref="E144:H144">IF($I109-E109&gt;0,0,$I109-E109)</f>
        <v>-33.18117993958254</v>
      </c>
      <c r="F144" s="173">
        <f t="shared" si="31"/>
        <v>-16.952902442449314</v>
      </c>
      <c r="G144" s="173">
        <f t="shared" si="31"/>
        <v>-8.734534646315149</v>
      </c>
      <c r="H144" s="173">
        <f t="shared" si="31"/>
        <v>-3.361947618177279</v>
      </c>
      <c r="I144" s="173">
        <f aca="true" t="shared" si="32" ref="I144">$I109-I109</f>
        <v>0</v>
      </c>
      <c r="J144" s="173">
        <f>IF($I109-J109&lt;0,0,$I109-J109)</f>
        <v>1.4988157085287357</v>
      </c>
      <c r="K144" s="173">
        <f aca="true" t="shared" si="33" ref="K144:M144">IF($I109-K109&lt;0,0,$I109-K109)</f>
        <v>2.244340217720797</v>
      </c>
      <c r="L144" s="173">
        <f t="shared" si="33"/>
        <v>2.6488485962268866</v>
      </c>
      <c r="M144" s="173">
        <f t="shared" si="33"/>
        <v>3.0053981072020832</v>
      </c>
    </row>
    <row r="145" spans="2:13" ht="15">
      <c r="B145" s="701"/>
      <c r="C145" s="407">
        <v>0.0133</v>
      </c>
      <c r="D145" s="173">
        <f>IF($J109-D109&gt;0,0,$J109-D109)</f>
        <v>-34.67999564811128</v>
      </c>
      <c r="E145" s="173">
        <f aca="true" t="shared" si="34" ref="E145:I145">IF($J109-E109&gt;0,0,$J109-E109)</f>
        <v>-34.67999564811128</v>
      </c>
      <c r="F145" s="173">
        <f t="shared" si="34"/>
        <v>-18.45171815097805</v>
      </c>
      <c r="G145" s="173">
        <f t="shared" si="34"/>
        <v>-10.233350354843886</v>
      </c>
      <c r="H145" s="173">
        <f t="shared" si="34"/>
        <v>-4.860763326706015</v>
      </c>
      <c r="I145" s="173">
        <f t="shared" si="34"/>
        <v>-1.4988157085287357</v>
      </c>
      <c r="J145" s="173">
        <f aca="true" t="shared" si="35" ref="J145">$J109-J109</f>
        <v>0</v>
      </c>
      <c r="K145" s="173">
        <f>IF($J109-K109&lt;0,0,$J109-K109)</f>
        <v>0.7455245091920615</v>
      </c>
      <c r="L145" s="173">
        <f aca="true" t="shared" si="36" ref="L145:M145">IF($J109-L109&lt;0,0,$J109-L109)</f>
        <v>1.150032887698151</v>
      </c>
      <c r="M145" s="173">
        <f t="shared" si="36"/>
        <v>1.5065823986733475</v>
      </c>
    </row>
    <row r="146" spans="2:13" ht="15">
      <c r="B146" s="701"/>
      <c r="C146" s="169">
        <v>0.01</v>
      </c>
      <c r="D146" s="173">
        <f>IF($K109-D109&gt;0,0,$K109-D109)</f>
        <v>-35.42552015730334</v>
      </c>
      <c r="E146" s="173">
        <f aca="true" t="shared" si="37" ref="E146:J146">IF($K109-E109&gt;0,0,$K109-E109)</f>
        <v>-35.42552015730334</v>
      </c>
      <c r="F146" s="173">
        <f t="shared" si="37"/>
        <v>-19.19724266017011</v>
      </c>
      <c r="G146" s="173">
        <f t="shared" si="37"/>
        <v>-10.978874864035946</v>
      </c>
      <c r="H146" s="173">
        <f t="shared" si="37"/>
        <v>-5.606287835898076</v>
      </c>
      <c r="I146" s="173">
        <f t="shared" si="37"/>
        <v>-2.244340217720797</v>
      </c>
      <c r="J146" s="173">
        <f t="shared" si="37"/>
        <v>-0.7455245091920615</v>
      </c>
      <c r="K146" s="173">
        <f aca="true" t="shared" si="38" ref="K146">$K109-K109</f>
        <v>0</v>
      </c>
      <c r="L146" s="173">
        <f>IF($K109-L109&lt;0,0,$K109-L109)</f>
        <v>0.40450837850608945</v>
      </c>
      <c r="M146" s="173">
        <f>IF($K109-M109&lt;0,0,$K109-M109)</f>
        <v>0.761057889481286</v>
      </c>
    </row>
    <row r="147" spans="2:13" ht="15">
      <c r="B147" s="701"/>
      <c r="C147" s="170">
        <v>0.005</v>
      </c>
      <c r="D147" s="173">
        <f>IF($L109-D109&gt;0,0,$L109-D109)</f>
        <v>-35.830028535809426</v>
      </c>
      <c r="E147" s="173">
        <f aca="true" t="shared" si="39" ref="E147:K147">IF($L109-E109&gt;0,0,$L109-E109)</f>
        <v>-35.830028535809426</v>
      </c>
      <c r="F147" s="173">
        <f t="shared" si="39"/>
        <v>-19.601751038676202</v>
      </c>
      <c r="G147" s="173">
        <f t="shared" si="39"/>
        <v>-11.383383242542035</v>
      </c>
      <c r="H147" s="173">
        <f t="shared" si="39"/>
        <v>-6.010796214404166</v>
      </c>
      <c r="I147" s="173">
        <f t="shared" si="39"/>
        <v>-2.6488485962268866</v>
      </c>
      <c r="J147" s="173">
        <f t="shared" si="39"/>
        <v>-1.150032887698151</v>
      </c>
      <c r="K147" s="173">
        <f t="shared" si="39"/>
        <v>-0.40450837850608945</v>
      </c>
      <c r="L147" s="173">
        <f aca="true" t="shared" si="40" ref="L147">$L109-L109</f>
        <v>0</v>
      </c>
      <c r="M147" s="173">
        <f>IF($L109-M109&lt;0,0,$L109-M109)</f>
        <v>0.3565495109751966</v>
      </c>
    </row>
    <row r="148" spans="2:13" ht="15">
      <c r="B148" s="701"/>
      <c r="C148" s="170">
        <v>0.001</v>
      </c>
      <c r="D148" s="173">
        <f>IF($M109-D109&gt;0,0,$M109-D109)</f>
        <v>-36.186578046784625</v>
      </c>
      <c r="E148" s="173">
        <f aca="true" t="shared" si="41" ref="E148:M148">IF($M109-E109&gt;0,0,$M109-E109)</f>
        <v>-36.186578046784625</v>
      </c>
      <c r="F148" s="173">
        <f t="shared" si="41"/>
        <v>-19.958300549651398</v>
      </c>
      <c r="G148" s="173">
        <f t="shared" si="41"/>
        <v>-11.739932753517232</v>
      </c>
      <c r="H148" s="173">
        <f t="shared" si="41"/>
        <v>-6.367345725379362</v>
      </c>
      <c r="I148" s="173">
        <f t="shared" si="41"/>
        <v>-3.0053981072020832</v>
      </c>
      <c r="J148" s="173">
        <f t="shared" si="41"/>
        <v>-1.5065823986733475</v>
      </c>
      <c r="K148" s="173">
        <f t="shared" si="41"/>
        <v>-0.761057889481286</v>
      </c>
      <c r="L148" s="173">
        <f t="shared" si="41"/>
        <v>-0.3565495109751966</v>
      </c>
      <c r="M148" s="173">
        <f t="shared" si="41"/>
        <v>0</v>
      </c>
    </row>
    <row r="150" spans="5:6" ht="15">
      <c r="E150" s="163" t="s">
        <v>262</v>
      </c>
      <c r="F150" s="163" t="s">
        <v>280</v>
      </c>
    </row>
    <row r="151" spans="1:13" ht="15">
      <c r="A151" s="711" t="s">
        <v>325</v>
      </c>
      <c r="B151" s="590"/>
      <c r="C151" s="590"/>
      <c r="D151" s="169">
        <v>1</v>
      </c>
      <c r="E151" s="169">
        <v>0.5</v>
      </c>
      <c r="F151" s="169">
        <v>0.2</v>
      </c>
      <c r="G151" s="169">
        <v>0.1</v>
      </c>
      <c r="H151" s="169">
        <v>0.04</v>
      </c>
      <c r="I151" s="169">
        <v>0.02</v>
      </c>
      <c r="J151" s="407">
        <v>0.0133</v>
      </c>
      <c r="K151" s="169">
        <v>0.01</v>
      </c>
      <c r="L151" s="170">
        <v>0.005</v>
      </c>
      <c r="M151" s="170">
        <v>0.001</v>
      </c>
    </row>
    <row r="152" spans="3:13" ht="15">
      <c r="C152" s="169">
        <v>1</v>
      </c>
      <c r="D152" s="173">
        <f aca="true" t="shared" si="42" ref="D152:D161">D127*D139</f>
        <v>0</v>
      </c>
      <c r="E152" s="173">
        <f aca="true" t="shared" si="43" ref="E152:M152">E127*E139</f>
        <v>0</v>
      </c>
      <c r="F152" s="173">
        <f t="shared" si="43"/>
        <v>0</v>
      </c>
      <c r="G152" s="173">
        <f t="shared" si="43"/>
        <v>0</v>
      </c>
      <c r="H152" s="173">
        <f t="shared" si="43"/>
        <v>0</v>
      </c>
      <c r="I152" s="173">
        <f t="shared" si="43"/>
        <v>0</v>
      </c>
      <c r="J152" s="173">
        <f t="shared" si="43"/>
        <v>0</v>
      </c>
      <c r="K152" s="173">
        <f t="shared" si="43"/>
        <v>0</v>
      </c>
      <c r="L152" s="173">
        <f t="shared" si="43"/>
        <v>0</v>
      </c>
      <c r="M152" s="173">
        <f t="shared" si="43"/>
        <v>0</v>
      </c>
    </row>
    <row r="153" spans="2:13" ht="15">
      <c r="B153" s="163" t="s">
        <v>261</v>
      </c>
      <c r="C153" s="169">
        <v>0.5</v>
      </c>
      <c r="D153" s="173">
        <f t="shared" si="42"/>
        <v>0</v>
      </c>
      <c r="E153" s="173">
        <f aca="true" t="shared" si="44" ref="E153:M153">E128*E140</f>
        <v>0</v>
      </c>
      <c r="F153" s="173">
        <f t="shared" si="44"/>
        <v>0</v>
      </c>
      <c r="G153" s="173">
        <f t="shared" si="44"/>
        <v>0</v>
      </c>
      <c r="H153" s="173">
        <f t="shared" si="44"/>
        <v>0</v>
      </c>
      <c r="I153" s="173">
        <f t="shared" si="44"/>
        <v>0</v>
      </c>
      <c r="J153" s="173">
        <f t="shared" si="44"/>
        <v>0</v>
      </c>
      <c r="K153" s="173">
        <f t="shared" si="44"/>
        <v>0</v>
      </c>
      <c r="L153" s="173">
        <f t="shared" si="44"/>
        <v>0</v>
      </c>
      <c r="M153" s="173">
        <f t="shared" si="44"/>
        <v>0</v>
      </c>
    </row>
    <row r="154" spans="2:13" ht="15">
      <c r="B154" s="700" t="s">
        <v>281</v>
      </c>
      <c r="C154" s="169">
        <v>0.2</v>
      </c>
      <c r="D154" s="173">
        <f t="shared" si="42"/>
        <v>0</v>
      </c>
      <c r="E154" s="173">
        <f aca="true" t="shared" si="45" ref="E154:M154">E129*E141</f>
        <v>0</v>
      </c>
      <c r="F154" s="173">
        <f t="shared" si="45"/>
        <v>0</v>
      </c>
      <c r="G154" s="173">
        <f t="shared" si="45"/>
        <v>0</v>
      </c>
      <c r="H154" s="173">
        <f t="shared" si="45"/>
        <v>0</v>
      </c>
      <c r="I154" s="173">
        <f t="shared" si="45"/>
        <v>0</v>
      </c>
      <c r="J154" s="173">
        <f t="shared" si="45"/>
        <v>0</v>
      </c>
      <c r="K154" s="173">
        <f t="shared" si="45"/>
        <v>0</v>
      </c>
      <c r="L154" s="173">
        <f t="shared" si="45"/>
        <v>0</v>
      </c>
      <c r="M154" s="173">
        <f t="shared" si="45"/>
        <v>0</v>
      </c>
    </row>
    <row r="155" spans="2:13" ht="15">
      <c r="B155" s="701"/>
      <c r="C155" s="169">
        <v>0.1</v>
      </c>
      <c r="D155" s="173">
        <f t="shared" si="42"/>
        <v>0</v>
      </c>
      <c r="E155" s="173">
        <f aca="true" t="shared" si="46" ref="E155:M155">E130*E142</f>
        <v>0</v>
      </c>
      <c r="F155" s="173">
        <f t="shared" si="46"/>
        <v>0</v>
      </c>
      <c r="G155" s="173">
        <f t="shared" si="46"/>
        <v>0</v>
      </c>
      <c r="H155" s="173">
        <f t="shared" si="46"/>
        <v>0</v>
      </c>
      <c r="I155" s="173">
        <f t="shared" si="46"/>
        <v>0</v>
      </c>
      <c r="J155" s="173">
        <f t="shared" si="46"/>
        <v>0</v>
      </c>
      <c r="K155" s="173">
        <f t="shared" si="46"/>
        <v>0</v>
      </c>
      <c r="L155" s="173">
        <f t="shared" si="46"/>
        <v>0</v>
      </c>
      <c r="M155" s="173">
        <f t="shared" si="46"/>
        <v>0</v>
      </c>
    </row>
    <row r="156" spans="2:13" ht="15">
      <c r="B156" s="701"/>
      <c r="C156" s="169">
        <v>0.04</v>
      </c>
      <c r="D156" s="173">
        <f t="shared" si="42"/>
        <v>0</v>
      </c>
      <c r="E156" s="173">
        <f aca="true" t="shared" si="47" ref="E156:M156">E131*E143</f>
        <v>0</v>
      </c>
      <c r="F156" s="173">
        <f t="shared" si="47"/>
        <v>0</v>
      </c>
      <c r="G156" s="173">
        <f t="shared" si="47"/>
        <v>0</v>
      </c>
      <c r="H156" s="173">
        <f t="shared" si="47"/>
        <v>0</v>
      </c>
      <c r="I156" s="173">
        <f t="shared" si="47"/>
        <v>0</v>
      </c>
      <c r="J156" s="173">
        <f t="shared" si="47"/>
        <v>0</v>
      </c>
      <c r="K156" s="173">
        <f t="shared" si="47"/>
        <v>0</v>
      </c>
      <c r="L156" s="173">
        <f t="shared" si="47"/>
        <v>0</v>
      </c>
      <c r="M156" s="173">
        <f t="shared" si="47"/>
        <v>0</v>
      </c>
    </row>
    <row r="157" spans="2:13" ht="15">
      <c r="B157" s="701"/>
      <c r="C157" s="169">
        <v>0.02</v>
      </c>
      <c r="D157" s="173">
        <f t="shared" si="42"/>
        <v>0</v>
      </c>
      <c r="E157" s="173">
        <f aca="true" t="shared" si="48" ref="E157:M157">E132*E144</f>
        <v>0</v>
      </c>
      <c r="F157" s="173">
        <f t="shared" si="48"/>
        <v>0</v>
      </c>
      <c r="G157" s="173">
        <f t="shared" si="48"/>
        <v>0</v>
      </c>
      <c r="H157" s="173">
        <f t="shared" si="48"/>
        <v>0</v>
      </c>
      <c r="I157" s="173">
        <f t="shared" si="48"/>
        <v>0</v>
      </c>
      <c r="J157" s="173">
        <f t="shared" si="48"/>
        <v>0</v>
      </c>
      <c r="K157" s="173">
        <f t="shared" si="48"/>
        <v>0</v>
      </c>
      <c r="L157" s="173">
        <f t="shared" si="48"/>
        <v>0</v>
      </c>
      <c r="M157" s="173">
        <f t="shared" si="48"/>
        <v>0</v>
      </c>
    </row>
    <row r="158" spans="2:13" ht="15">
      <c r="B158" s="701"/>
      <c r="C158" s="407">
        <v>0.0133</v>
      </c>
      <c r="D158" s="173">
        <f t="shared" si="42"/>
        <v>0</v>
      </c>
      <c r="E158" s="173">
        <f aca="true" t="shared" si="49" ref="E158:M158">E133*E145</f>
        <v>0</v>
      </c>
      <c r="F158" s="173">
        <f t="shared" si="49"/>
        <v>0</v>
      </c>
      <c r="G158" s="173">
        <f t="shared" si="49"/>
        <v>0</v>
      </c>
      <c r="H158" s="173">
        <f t="shared" si="49"/>
        <v>0</v>
      </c>
      <c r="I158" s="173">
        <f t="shared" si="49"/>
        <v>0</v>
      </c>
      <c r="J158" s="173">
        <f t="shared" si="49"/>
        <v>0</v>
      </c>
      <c r="K158" s="173">
        <f t="shared" si="49"/>
        <v>0</v>
      </c>
      <c r="L158" s="173">
        <f t="shared" si="49"/>
        <v>0</v>
      </c>
      <c r="M158" s="173">
        <f t="shared" si="49"/>
        <v>0</v>
      </c>
    </row>
    <row r="159" spans="2:13" ht="15">
      <c r="B159" s="701"/>
      <c r="C159" s="169">
        <v>0.01</v>
      </c>
      <c r="D159" s="173">
        <f t="shared" si="42"/>
        <v>0</v>
      </c>
      <c r="E159" s="173">
        <f aca="true" t="shared" si="50" ref="E159:M159">E134*E146</f>
        <v>0</v>
      </c>
      <c r="F159" s="173">
        <f t="shared" si="50"/>
        <v>0</v>
      </c>
      <c r="G159" s="173">
        <f t="shared" si="50"/>
        <v>0</v>
      </c>
      <c r="H159" s="173">
        <f t="shared" si="50"/>
        <v>0</v>
      </c>
      <c r="I159" s="173">
        <f t="shared" si="50"/>
        <v>0</v>
      </c>
      <c r="J159" s="173">
        <f t="shared" si="50"/>
        <v>0</v>
      </c>
      <c r="K159" s="173">
        <f t="shared" si="50"/>
        <v>0</v>
      </c>
      <c r="L159" s="173">
        <f t="shared" si="50"/>
        <v>0</v>
      </c>
      <c r="M159" s="173">
        <f t="shared" si="50"/>
        <v>0</v>
      </c>
    </row>
    <row r="160" spans="2:13" ht="15">
      <c r="B160" s="701"/>
      <c r="C160" s="170">
        <v>0.005</v>
      </c>
      <c r="D160" s="173">
        <f t="shared" si="42"/>
        <v>0</v>
      </c>
      <c r="E160" s="173">
        <f aca="true" t="shared" si="51" ref="E160:M160">E135*E147</f>
        <v>0</v>
      </c>
      <c r="F160" s="173">
        <f t="shared" si="51"/>
        <v>0</v>
      </c>
      <c r="G160" s="173">
        <f t="shared" si="51"/>
        <v>0</v>
      </c>
      <c r="H160" s="173">
        <f t="shared" si="51"/>
        <v>0</v>
      </c>
      <c r="I160" s="173">
        <f t="shared" si="51"/>
        <v>0</v>
      </c>
      <c r="J160" s="173">
        <f t="shared" si="51"/>
        <v>0</v>
      </c>
      <c r="K160" s="173">
        <f t="shared" si="51"/>
        <v>0</v>
      </c>
      <c r="L160" s="173">
        <f t="shared" si="51"/>
        <v>0</v>
      </c>
      <c r="M160" s="173">
        <f t="shared" si="51"/>
        <v>0</v>
      </c>
    </row>
    <row r="161" spans="2:13" ht="15">
      <c r="B161" s="701"/>
      <c r="C161" s="170">
        <v>0.001</v>
      </c>
      <c r="D161" s="173">
        <f t="shared" si="42"/>
        <v>0</v>
      </c>
      <c r="E161" s="173">
        <f aca="true" t="shared" si="52" ref="E161:M161">E136*E148</f>
        <v>0</v>
      </c>
      <c r="F161" s="173">
        <f t="shared" si="52"/>
        <v>0</v>
      </c>
      <c r="G161" s="173">
        <f t="shared" si="52"/>
        <v>0</v>
      </c>
      <c r="H161" s="173">
        <f t="shared" si="52"/>
        <v>0</v>
      </c>
      <c r="I161" s="173">
        <f t="shared" si="52"/>
        <v>0</v>
      </c>
      <c r="J161" s="173">
        <f t="shared" si="52"/>
        <v>0</v>
      </c>
      <c r="K161" s="173">
        <f t="shared" si="52"/>
        <v>0</v>
      </c>
      <c r="L161" s="173">
        <f t="shared" si="52"/>
        <v>0</v>
      </c>
      <c r="M161" s="173">
        <f t="shared" si="52"/>
        <v>0</v>
      </c>
    </row>
    <row r="162" ht="15.75" thickBot="1"/>
    <row r="163" spans="4:15" ht="16.5" thickBot="1" thickTop="1">
      <c r="D163" s="702" t="str">
        <f>IF(SUM(D152:M161)&gt;0,"Total annual benefits",IF(SUM(D152:M161)&lt;0,"Total annual damages","Enter number of stations"))</f>
        <v>Enter number of stations</v>
      </c>
      <c r="E163" s="703"/>
      <c r="F163" s="703"/>
      <c r="G163" s="703"/>
      <c r="H163" s="186">
        <f>SUM(D152:M161)</f>
        <v>0</v>
      </c>
      <c r="I163" s="366" t="s">
        <v>804</v>
      </c>
      <c r="J163" s="406"/>
      <c r="K163" s="593" t="s">
        <v>811</v>
      </c>
      <c r="L163" s="593"/>
      <c r="M163" s="594"/>
      <c r="N163" s="594"/>
      <c r="O163" s="595"/>
    </row>
    <row r="164" ht="15.75" thickTop="1"/>
  </sheetData>
  <sheetProtection sheet="1" objects="1" scenarios="1"/>
  <mergeCells count="49">
    <mergeCell ref="P1:T1"/>
    <mergeCell ref="K163:O163"/>
    <mergeCell ref="B123:C123"/>
    <mergeCell ref="B109:C109"/>
    <mergeCell ref="B110:C110"/>
    <mergeCell ref="B111:C111"/>
    <mergeCell ref="B112:C112"/>
    <mergeCell ref="B113:C113"/>
    <mergeCell ref="B114:C114"/>
    <mergeCell ref="B118:C118"/>
    <mergeCell ref="B119:C119"/>
    <mergeCell ref="B120:C120"/>
    <mergeCell ref="B121:C121"/>
    <mergeCell ref="B122:C122"/>
    <mergeCell ref="D163:G163"/>
    <mergeCell ref="A126:C126"/>
    <mergeCell ref="B128:B129"/>
    <mergeCell ref="A138:C138"/>
    <mergeCell ref="B141:B148"/>
    <mergeCell ref="A151:C151"/>
    <mergeCell ref="B154:B161"/>
    <mergeCell ref="B108:C108"/>
    <mergeCell ref="I1:K1"/>
    <mergeCell ref="B5:B6"/>
    <mergeCell ref="B18:B19"/>
    <mergeCell ref="A29:C29"/>
    <mergeCell ref="B31:B32"/>
    <mergeCell ref="A42:C42"/>
    <mergeCell ref="B44:B45"/>
    <mergeCell ref="A55:C55"/>
    <mergeCell ref="B57:B58"/>
    <mergeCell ref="A68:C68"/>
    <mergeCell ref="B70:B71"/>
    <mergeCell ref="A83:C83"/>
    <mergeCell ref="A84:C84"/>
    <mergeCell ref="B94:C94"/>
    <mergeCell ref="B95:C95"/>
    <mergeCell ref="O87:Y87"/>
    <mergeCell ref="B90:C90"/>
    <mergeCell ref="B91:C91"/>
    <mergeCell ref="B92:C92"/>
    <mergeCell ref="B93:C93"/>
    <mergeCell ref="B105:C105"/>
    <mergeCell ref="B106:C106"/>
    <mergeCell ref="A98:C98"/>
    <mergeCell ref="B101:C101"/>
    <mergeCell ref="B102:C102"/>
    <mergeCell ref="B103:C103"/>
    <mergeCell ref="B104:C104"/>
  </mergeCells>
  <dataValidations count="2">
    <dataValidation type="list" allowBlank="1" showInputMessage="1" showErrorMessage="1" sqref="D87:M87">
      <formula1>"Permanent loss, One-off loss"</formula1>
    </dataValidation>
    <dataValidation type="list" allowBlank="1" showInputMessage="1" showErrorMessage="1" sqref="K163:O163">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8" scale="70"/>
  <headerFooter>
    <oddHeader>&amp;C&amp;A</oddHead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200"/>
  <sheetViews>
    <sheetView zoomScale="85" zoomScaleNormal="85" workbookViewId="0" topLeftCell="A1"/>
  </sheetViews>
  <sheetFormatPr defaultColWidth="9.140625" defaultRowHeight="15"/>
  <cols>
    <col min="1" max="1" width="9.140625" style="163" customWidth="1"/>
    <col min="2" max="2" width="10.00390625" style="163" customWidth="1"/>
    <col min="3" max="3" width="9.140625" style="163" customWidth="1"/>
    <col min="4" max="13" width="12.28125" style="163" customWidth="1"/>
    <col min="14" max="16384" width="9.140625" style="163" customWidth="1"/>
  </cols>
  <sheetData>
    <row r="1" spans="1:20" ht="15">
      <c r="A1" s="164" t="s">
        <v>270</v>
      </c>
      <c r="B1" s="165"/>
      <c r="C1" s="165"/>
      <c r="D1" s="162"/>
      <c r="E1" s="165"/>
      <c r="F1" s="166" t="s">
        <v>260</v>
      </c>
      <c r="I1" s="704" t="s">
        <v>335</v>
      </c>
      <c r="J1" s="704"/>
      <c r="K1" s="705"/>
      <c r="L1" s="472"/>
      <c r="M1" s="176" t="s">
        <v>992</v>
      </c>
      <c r="N1" s="176">
        <v>5</v>
      </c>
      <c r="O1" s="176" t="s">
        <v>991</v>
      </c>
      <c r="P1" s="707"/>
      <c r="Q1" s="590"/>
      <c r="R1" s="590"/>
      <c r="S1" s="590"/>
      <c r="T1" s="590"/>
    </row>
    <row r="2" spans="3:6" ht="15">
      <c r="C2" s="171" t="s">
        <v>597</v>
      </c>
      <c r="E2" s="163" t="s">
        <v>262</v>
      </c>
      <c r="F2" s="163" t="str">
        <f>"Number of "&amp;C3&amp;" whose risk changes due to changes in water levels"</f>
        <v>Number of SEWAGE TREATMENT WORKS whose risk changes due to changes in water levels</v>
      </c>
    </row>
    <row r="3" spans="3:13" ht="15">
      <c r="C3" s="171" t="s">
        <v>336</v>
      </c>
      <c r="D3" s="169">
        <v>1</v>
      </c>
      <c r="E3" s="169">
        <v>0.5</v>
      </c>
      <c r="F3" s="169">
        <v>0.2</v>
      </c>
      <c r="G3" s="169">
        <v>0.1</v>
      </c>
      <c r="H3" s="169">
        <v>0.04</v>
      </c>
      <c r="I3" s="169">
        <v>0.02</v>
      </c>
      <c r="J3" s="407">
        <v>0.0133</v>
      </c>
      <c r="K3" s="169">
        <v>0.01</v>
      </c>
      <c r="L3" s="170">
        <v>0.005</v>
      </c>
      <c r="M3" s="170">
        <v>0.001</v>
      </c>
    </row>
    <row r="4" spans="3:15" ht="15">
      <c r="C4" s="169">
        <v>1</v>
      </c>
      <c r="D4" s="550"/>
      <c r="E4" s="550"/>
      <c r="F4" s="550"/>
      <c r="G4" s="550"/>
      <c r="H4" s="550"/>
      <c r="I4" s="550"/>
      <c r="J4" s="550"/>
      <c r="K4" s="550"/>
      <c r="L4" s="550"/>
      <c r="M4" s="550"/>
      <c r="O4" s="163" t="s">
        <v>507</v>
      </c>
    </row>
    <row r="5" spans="2:15" ht="15">
      <c r="B5" s="591" t="s">
        <v>294</v>
      </c>
      <c r="C5" s="169">
        <v>0.5</v>
      </c>
      <c r="D5" s="550"/>
      <c r="E5" s="550"/>
      <c r="F5" s="550"/>
      <c r="G5" s="550"/>
      <c r="H5" s="550"/>
      <c r="I5" s="550"/>
      <c r="J5" s="550"/>
      <c r="K5" s="550"/>
      <c r="L5" s="550"/>
      <c r="M5" s="550"/>
      <c r="O5" s="163" t="s">
        <v>319</v>
      </c>
    </row>
    <row r="6" spans="2:15" ht="15">
      <c r="B6" s="592"/>
      <c r="C6" s="169">
        <v>0.2</v>
      </c>
      <c r="D6" s="550"/>
      <c r="E6" s="550"/>
      <c r="F6" s="550"/>
      <c r="G6" s="550"/>
      <c r="H6" s="550"/>
      <c r="I6" s="550"/>
      <c r="J6" s="550"/>
      <c r="K6" s="550"/>
      <c r="L6" s="550"/>
      <c r="M6" s="550"/>
      <c r="O6" s="163" t="s">
        <v>615</v>
      </c>
    </row>
    <row r="7" spans="3:15" ht="15">
      <c r="C7" s="169">
        <v>0.1</v>
      </c>
      <c r="D7" s="550"/>
      <c r="E7" s="550"/>
      <c r="F7" s="550"/>
      <c r="G7" s="550"/>
      <c r="H7" s="550"/>
      <c r="I7" s="550"/>
      <c r="J7" s="550"/>
      <c r="K7" s="550"/>
      <c r="L7" s="550"/>
      <c r="M7" s="550"/>
      <c r="O7" s="163" t="s">
        <v>277</v>
      </c>
    </row>
    <row r="8" spans="3:15" ht="15">
      <c r="C8" s="169">
        <v>0.04</v>
      </c>
      <c r="D8" s="550"/>
      <c r="E8" s="550"/>
      <c r="F8" s="550"/>
      <c r="G8" s="550"/>
      <c r="H8" s="550"/>
      <c r="I8" s="550"/>
      <c r="J8" s="550"/>
      <c r="K8" s="550"/>
      <c r="L8" s="550"/>
      <c r="M8" s="550"/>
      <c r="O8" s="163" t="s">
        <v>616</v>
      </c>
    </row>
    <row r="9" spans="3:13" ht="15">
      <c r="C9" s="169">
        <v>0.02</v>
      </c>
      <c r="D9" s="550"/>
      <c r="E9" s="550"/>
      <c r="F9" s="550"/>
      <c r="G9" s="550"/>
      <c r="H9" s="550"/>
      <c r="I9" s="550"/>
      <c r="J9" s="550"/>
      <c r="K9" s="550"/>
      <c r="L9" s="550"/>
      <c r="M9" s="550"/>
    </row>
    <row r="10" spans="3:13" ht="15">
      <c r="C10" s="407">
        <v>0.0133</v>
      </c>
      <c r="D10" s="550"/>
      <c r="E10" s="550"/>
      <c r="F10" s="550"/>
      <c r="G10" s="550"/>
      <c r="H10" s="550"/>
      <c r="I10" s="550"/>
      <c r="J10" s="550"/>
      <c r="K10" s="550"/>
      <c r="L10" s="550"/>
      <c r="M10" s="550"/>
    </row>
    <row r="11" spans="3:13" ht="15">
      <c r="C11" s="169">
        <v>0.01</v>
      </c>
      <c r="D11" s="550"/>
      <c r="E11" s="550"/>
      <c r="F11" s="550"/>
      <c r="G11" s="550"/>
      <c r="H11" s="550"/>
      <c r="I11" s="550"/>
      <c r="J11" s="550"/>
      <c r="K11" s="550"/>
      <c r="L11" s="550"/>
      <c r="M11" s="550"/>
    </row>
    <row r="12" spans="3:13" ht="15">
      <c r="C12" s="170">
        <v>0.005</v>
      </c>
      <c r="D12" s="550"/>
      <c r="E12" s="550"/>
      <c r="F12" s="550"/>
      <c r="G12" s="550"/>
      <c r="H12" s="550"/>
      <c r="I12" s="550"/>
      <c r="J12" s="550"/>
      <c r="K12" s="550"/>
      <c r="L12" s="550"/>
      <c r="M12" s="550"/>
    </row>
    <row r="13" spans="3:13" ht="15">
      <c r="C13" s="170">
        <v>0.001</v>
      </c>
      <c r="D13" s="550"/>
      <c r="E13" s="550"/>
      <c r="F13" s="550"/>
      <c r="G13" s="550"/>
      <c r="H13" s="550"/>
      <c r="I13" s="550"/>
      <c r="J13" s="550"/>
      <c r="K13" s="550"/>
      <c r="L13" s="550"/>
      <c r="M13" s="550"/>
    </row>
    <row r="15" spans="3:6" ht="15">
      <c r="C15" s="171"/>
      <c r="E15" s="163" t="s">
        <v>262</v>
      </c>
      <c r="F15" s="163" t="str">
        <f>"Number of "&amp;C16&amp;" whose risk changes due to changes in water levels"</f>
        <v>Number of WATER TREATMENT WORKS whose risk changes due to changes in water levels</v>
      </c>
    </row>
    <row r="16" spans="3:13" ht="15">
      <c r="C16" s="171" t="s">
        <v>337</v>
      </c>
      <c r="D16" s="169">
        <v>1</v>
      </c>
      <c r="E16" s="169">
        <v>0.5</v>
      </c>
      <c r="F16" s="169">
        <v>0.2</v>
      </c>
      <c r="G16" s="169">
        <v>0.1</v>
      </c>
      <c r="H16" s="169">
        <v>0.04</v>
      </c>
      <c r="I16" s="169">
        <v>0.02</v>
      </c>
      <c r="J16" s="407">
        <v>0.0133</v>
      </c>
      <c r="K16" s="169">
        <v>0.01</v>
      </c>
      <c r="L16" s="170">
        <v>0.005</v>
      </c>
      <c r="M16" s="170">
        <v>0.001</v>
      </c>
    </row>
    <row r="17" spans="3:15" ht="15">
      <c r="C17" s="169">
        <v>1</v>
      </c>
      <c r="D17" s="550"/>
      <c r="E17" s="550"/>
      <c r="F17" s="550"/>
      <c r="G17" s="550"/>
      <c r="H17" s="550"/>
      <c r="I17" s="550"/>
      <c r="J17" s="550"/>
      <c r="K17" s="550"/>
      <c r="L17" s="550"/>
      <c r="M17" s="550"/>
      <c r="O17" s="163" t="s">
        <v>507</v>
      </c>
    </row>
    <row r="18" spans="2:15" ht="15">
      <c r="B18" s="591" t="s">
        <v>294</v>
      </c>
      <c r="C18" s="169">
        <v>0.5</v>
      </c>
      <c r="D18" s="550"/>
      <c r="E18" s="550"/>
      <c r="F18" s="550"/>
      <c r="G18" s="550"/>
      <c r="H18" s="550"/>
      <c r="I18" s="550"/>
      <c r="J18" s="550"/>
      <c r="K18" s="550"/>
      <c r="L18" s="550"/>
      <c r="M18" s="550"/>
      <c r="O18" s="163" t="s">
        <v>319</v>
      </c>
    </row>
    <row r="19" spans="2:15" ht="15">
      <c r="B19" s="592"/>
      <c r="C19" s="169">
        <v>0.2</v>
      </c>
      <c r="D19" s="550"/>
      <c r="E19" s="550"/>
      <c r="F19" s="550"/>
      <c r="G19" s="550"/>
      <c r="H19" s="550"/>
      <c r="I19" s="550"/>
      <c r="J19" s="550"/>
      <c r="K19" s="550"/>
      <c r="L19" s="550"/>
      <c r="M19" s="550"/>
      <c r="O19" s="163" t="s">
        <v>934</v>
      </c>
    </row>
    <row r="20" spans="3:15" ht="15">
      <c r="C20" s="169">
        <v>0.1</v>
      </c>
      <c r="D20" s="550"/>
      <c r="E20" s="550"/>
      <c r="F20" s="550"/>
      <c r="G20" s="550"/>
      <c r="H20" s="550"/>
      <c r="I20" s="550"/>
      <c r="J20" s="550"/>
      <c r="K20" s="550"/>
      <c r="L20" s="550"/>
      <c r="M20" s="550"/>
      <c r="O20" s="163" t="s">
        <v>277</v>
      </c>
    </row>
    <row r="21" spans="3:15" ht="15">
      <c r="C21" s="169">
        <v>0.04</v>
      </c>
      <c r="D21" s="550"/>
      <c r="E21" s="550"/>
      <c r="F21" s="550"/>
      <c r="G21" s="550"/>
      <c r="H21" s="550"/>
      <c r="I21" s="550"/>
      <c r="J21" s="550"/>
      <c r="K21" s="550"/>
      <c r="L21" s="550"/>
      <c r="M21" s="550"/>
      <c r="O21" s="163" t="s">
        <v>935</v>
      </c>
    </row>
    <row r="22" spans="3:13" ht="15">
      <c r="C22" s="169">
        <v>0.02</v>
      </c>
      <c r="D22" s="550"/>
      <c r="E22" s="550"/>
      <c r="F22" s="550"/>
      <c r="G22" s="550"/>
      <c r="H22" s="550"/>
      <c r="I22" s="550"/>
      <c r="J22" s="550"/>
      <c r="K22" s="550"/>
      <c r="L22" s="550"/>
      <c r="M22" s="550"/>
    </row>
    <row r="23" spans="3:13" ht="15">
      <c r="C23" s="407">
        <v>0.0133</v>
      </c>
      <c r="D23" s="550"/>
      <c r="E23" s="550"/>
      <c r="F23" s="550"/>
      <c r="G23" s="550"/>
      <c r="H23" s="550"/>
      <c r="I23" s="550"/>
      <c r="J23" s="550"/>
      <c r="K23" s="550"/>
      <c r="L23" s="550"/>
      <c r="M23" s="550"/>
    </row>
    <row r="24" spans="3:15" ht="15">
      <c r="C24" s="169">
        <v>0.01</v>
      </c>
      <c r="D24" s="550"/>
      <c r="E24" s="550"/>
      <c r="F24" s="550"/>
      <c r="G24" s="550"/>
      <c r="H24" s="550"/>
      <c r="I24" s="550"/>
      <c r="J24" s="550"/>
      <c r="K24" s="550"/>
      <c r="L24" s="550"/>
      <c r="M24" s="550"/>
      <c r="O24" s="184"/>
    </row>
    <row r="25" spans="3:15" ht="15">
      <c r="C25" s="170">
        <v>0.005</v>
      </c>
      <c r="D25" s="550"/>
      <c r="E25" s="550"/>
      <c r="F25" s="550"/>
      <c r="G25" s="550"/>
      <c r="H25" s="550"/>
      <c r="I25" s="550"/>
      <c r="J25" s="550"/>
      <c r="K25" s="550"/>
      <c r="L25" s="550"/>
      <c r="M25" s="550"/>
      <c r="O25" s="184"/>
    </row>
    <row r="26" spans="3:15" ht="15">
      <c r="C26" s="170">
        <v>0.001</v>
      </c>
      <c r="D26" s="550"/>
      <c r="E26" s="550"/>
      <c r="F26" s="550"/>
      <c r="G26" s="550"/>
      <c r="H26" s="550"/>
      <c r="I26" s="550"/>
      <c r="J26" s="550"/>
      <c r="K26" s="550"/>
      <c r="L26" s="550"/>
      <c r="M26" s="550"/>
      <c r="O26" s="184"/>
    </row>
    <row r="27" ht="15">
      <c r="O27" s="184"/>
    </row>
    <row r="28" spans="3:15" ht="15">
      <c r="C28" s="171"/>
      <c r="E28" s="163" t="s">
        <v>262</v>
      </c>
      <c r="F28" s="163" t="str">
        <f>"Number of "&amp;A29&amp;" whose risk changes due to changes in water levels"</f>
        <v>Number of PHONE MASTS whose risk changes due to changes in water levels</v>
      </c>
      <c r="O28" s="184"/>
    </row>
    <row r="29" spans="1:15" ht="30" customHeight="1">
      <c r="A29" s="706" t="s">
        <v>338</v>
      </c>
      <c r="B29" s="590"/>
      <c r="C29" s="590"/>
      <c r="D29" s="169">
        <v>1</v>
      </c>
      <c r="E29" s="169">
        <v>0.5</v>
      </c>
      <c r="F29" s="169">
        <v>0.2</v>
      </c>
      <c r="G29" s="169">
        <v>0.1</v>
      </c>
      <c r="H29" s="169">
        <v>0.04</v>
      </c>
      <c r="I29" s="169">
        <v>0.02</v>
      </c>
      <c r="J29" s="407">
        <v>0.0133</v>
      </c>
      <c r="K29" s="169">
        <v>0.01</v>
      </c>
      <c r="L29" s="170">
        <v>0.005</v>
      </c>
      <c r="M29" s="170">
        <v>0.001</v>
      </c>
      <c r="O29" s="184"/>
    </row>
    <row r="30" spans="3:15" ht="15">
      <c r="C30" s="169">
        <v>1</v>
      </c>
      <c r="D30" s="550"/>
      <c r="E30" s="550"/>
      <c r="F30" s="550"/>
      <c r="G30" s="550"/>
      <c r="H30" s="550"/>
      <c r="I30" s="550"/>
      <c r="J30" s="550"/>
      <c r="K30" s="550"/>
      <c r="L30" s="550"/>
      <c r="M30" s="550"/>
      <c r="O30" s="163" t="s">
        <v>509</v>
      </c>
    </row>
    <row r="31" spans="2:15" ht="15">
      <c r="B31" s="591" t="s">
        <v>294</v>
      </c>
      <c r="C31" s="169">
        <v>0.5</v>
      </c>
      <c r="D31" s="550"/>
      <c r="E31" s="550"/>
      <c r="F31" s="550"/>
      <c r="G31" s="550"/>
      <c r="H31" s="550"/>
      <c r="I31" s="550"/>
      <c r="J31" s="550"/>
      <c r="K31" s="550"/>
      <c r="L31" s="550"/>
      <c r="M31" s="550"/>
      <c r="O31" s="163" t="s">
        <v>319</v>
      </c>
    </row>
    <row r="32" spans="2:15" ht="15">
      <c r="B32" s="592"/>
      <c r="C32" s="169">
        <v>0.2</v>
      </c>
      <c r="D32" s="550"/>
      <c r="E32" s="550"/>
      <c r="F32" s="550"/>
      <c r="G32" s="550"/>
      <c r="H32" s="550"/>
      <c r="I32" s="550"/>
      <c r="J32" s="550"/>
      <c r="K32" s="550"/>
      <c r="L32" s="550"/>
      <c r="M32" s="550"/>
      <c r="O32" s="163" t="s">
        <v>936</v>
      </c>
    </row>
    <row r="33" spans="3:15" ht="15">
      <c r="C33" s="169">
        <v>0.1</v>
      </c>
      <c r="D33" s="550"/>
      <c r="E33" s="550"/>
      <c r="F33" s="550"/>
      <c r="G33" s="550"/>
      <c r="H33" s="550"/>
      <c r="I33" s="550"/>
      <c r="J33" s="550"/>
      <c r="K33" s="550"/>
      <c r="L33" s="550"/>
      <c r="M33" s="550"/>
      <c r="O33" s="163" t="s">
        <v>277</v>
      </c>
    </row>
    <row r="34" spans="3:15" ht="15">
      <c r="C34" s="169">
        <v>0.04</v>
      </c>
      <c r="D34" s="550"/>
      <c r="E34" s="550"/>
      <c r="F34" s="550"/>
      <c r="G34" s="550"/>
      <c r="H34" s="550"/>
      <c r="I34" s="550"/>
      <c r="J34" s="550"/>
      <c r="K34" s="550"/>
      <c r="L34" s="550"/>
      <c r="M34" s="550"/>
      <c r="O34" s="163" t="s">
        <v>937</v>
      </c>
    </row>
    <row r="35" spans="3:13" ht="15">
      <c r="C35" s="169">
        <v>0.02</v>
      </c>
      <c r="D35" s="550"/>
      <c r="E35" s="550"/>
      <c r="F35" s="550"/>
      <c r="G35" s="550"/>
      <c r="H35" s="550"/>
      <c r="I35" s="550"/>
      <c r="J35" s="550"/>
      <c r="K35" s="550"/>
      <c r="L35" s="550"/>
      <c r="M35" s="550"/>
    </row>
    <row r="36" spans="3:13" ht="15">
      <c r="C36" s="407">
        <v>0.0133</v>
      </c>
      <c r="D36" s="550"/>
      <c r="E36" s="550"/>
      <c r="F36" s="550"/>
      <c r="G36" s="550"/>
      <c r="H36" s="550"/>
      <c r="I36" s="550"/>
      <c r="J36" s="550"/>
      <c r="K36" s="550"/>
      <c r="L36" s="550"/>
      <c r="M36" s="550"/>
    </row>
    <row r="37" spans="3:13" ht="15">
      <c r="C37" s="169">
        <v>0.01</v>
      </c>
      <c r="D37" s="550"/>
      <c r="E37" s="550"/>
      <c r="F37" s="550"/>
      <c r="G37" s="550"/>
      <c r="H37" s="550"/>
      <c r="I37" s="550"/>
      <c r="J37" s="550"/>
      <c r="K37" s="550"/>
      <c r="L37" s="550"/>
      <c r="M37" s="550"/>
    </row>
    <row r="38" spans="3:13" ht="15">
      <c r="C38" s="170">
        <v>0.005</v>
      </c>
      <c r="D38" s="550"/>
      <c r="E38" s="550"/>
      <c r="F38" s="550"/>
      <c r="G38" s="550"/>
      <c r="H38" s="550"/>
      <c r="I38" s="550"/>
      <c r="J38" s="550"/>
      <c r="K38" s="550"/>
      <c r="L38" s="550"/>
      <c r="M38" s="550"/>
    </row>
    <row r="39" spans="3:13" ht="15">
      <c r="C39" s="170">
        <v>0.001</v>
      </c>
      <c r="D39" s="550"/>
      <c r="E39" s="550"/>
      <c r="F39" s="550"/>
      <c r="G39" s="550"/>
      <c r="H39" s="550"/>
      <c r="I39" s="550"/>
      <c r="J39" s="550"/>
      <c r="K39" s="550"/>
      <c r="L39" s="550"/>
      <c r="M39" s="550"/>
    </row>
    <row r="40" spans="3:13" ht="15">
      <c r="C40" s="170"/>
      <c r="D40" s="181"/>
      <c r="E40" s="181"/>
      <c r="F40" s="181"/>
      <c r="G40" s="181"/>
      <c r="H40" s="181"/>
      <c r="I40" s="181"/>
      <c r="J40" s="181"/>
      <c r="K40" s="181"/>
      <c r="L40" s="181"/>
      <c r="M40" s="181"/>
    </row>
    <row r="41" spans="3:6" ht="15">
      <c r="C41" s="171"/>
      <c r="E41" s="163" t="s">
        <v>262</v>
      </c>
      <c r="F41" s="163" t="str">
        <f>"Number of "&amp;A42&amp;" whose risk changes due to changes in water levels"</f>
        <v>Number of ELECTRICITY SUB-STATIONS whose risk changes due to changes in water levels</v>
      </c>
    </row>
    <row r="42" spans="1:13" ht="30" customHeight="1">
      <c r="A42" s="706" t="s">
        <v>339</v>
      </c>
      <c r="B42" s="590"/>
      <c r="C42" s="590"/>
      <c r="D42" s="169">
        <v>1</v>
      </c>
      <c r="E42" s="169">
        <v>0.5</v>
      </c>
      <c r="F42" s="169">
        <v>0.2</v>
      </c>
      <c r="G42" s="169">
        <v>0.1</v>
      </c>
      <c r="H42" s="169">
        <v>0.04</v>
      </c>
      <c r="I42" s="169">
        <v>0.02</v>
      </c>
      <c r="J42" s="407">
        <v>0.0133</v>
      </c>
      <c r="K42" s="169">
        <v>0.01</v>
      </c>
      <c r="L42" s="170">
        <v>0.005</v>
      </c>
      <c r="M42" s="170">
        <v>0.001</v>
      </c>
    </row>
    <row r="43" spans="3:15" ht="15">
      <c r="C43" s="169">
        <v>1</v>
      </c>
      <c r="D43" s="550"/>
      <c r="E43" s="550"/>
      <c r="F43" s="550"/>
      <c r="G43" s="550"/>
      <c r="H43" s="550"/>
      <c r="I43" s="550"/>
      <c r="J43" s="550"/>
      <c r="K43" s="550"/>
      <c r="L43" s="550"/>
      <c r="M43" s="550"/>
      <c r="O43" s="163" t="s">
        <v>508</v>
      </c>
    </row>
    <row r="44" spans="2:15" ht="15">
      <c r="B44" s="591" t="s">
        <v>294</v>
      </c>
      <c r="C44" s="169">
        <v>0.5</v>
      </c>
      <c r="D44" s="550"/>
      <c r="E44" s="550"/>
      <c r="F44" s="550"/>
      <c r="G44" s="550"/>
      <c r="H44" s="550"/>
      <c r="I44" s="550"/>
      <c r="J44" s="550"/>
      <c r="K44" s="550"/>
      <c r="L44" s="550"/>
      <c r="M44" s="550"/>
      <c r="O44" s="163" t="s">
        <v>319</v>
      </c>
    </row>
    <row r="45" spans="2:15" ht="15">
      <c r="B45" s="592"/>
      <c r="C45" s="169">
        <v>0.2</v>
      </c>
      <c r="D45" s="550"/>
      <c r="E45" s="550"/>
      <c r="F45" s="550"/>
      <c r="G45" s="550"/>
      <c r="H45" s="550"/>
      <c r="I45" s="550"/>
      <c r="J45" s="550"/>
      <c r="K45" s="550"/>
      <c r="L45" s="550"/>
      <c r="M45" s="550"/>
      <c r="O45" s="163" t="s">
        <v>938</v>
      </c>
    </row>
    <row r="46" spans="3:15" ht="15">
      <c r="C46" s="169">
        <v>0.1</v>
      </c>
      <c r="D46" s="550"/>
      <c r="E46" s="550"/>
      <c r="F46" s="550"/>
      <c r="G46" s="550"/>
      <c r="H46" s="550"/>
      <c r="I46" s="550"/>
      <c r="J46" s="550"/>
      <c r="K46" s="550"/>
      <c r="L46" s="550"/>
      <c r="M46" s="550"/>
      <c r="O46" s="163" t="s">
        <v>277</v>
      </c>
    </row>
    <row r="47" spans="3:15" ht="15">
      <c r="C47" s="169">
        <v>0.04</v>
      </c>
      <c r="D47" s="550"/>
      <c r="E47" s="550"/>
      <c r="F47" s="550"/>
      <c r="G47" s="550"/>
      <c r="H47" s="550"/>
      <c r="I47" s="550"/>
      <c r="J47" s="550"/>
      <c r="K47" s="550"/>
      <c r="L47" s="550"/>
      <c r="M47" s="550"/>
      <c r="O47" s="163" t="s">
        <v>939</v>
      </c>
    </row>
    <row r="48" spans="3:13" ht="15">
      <c r="C48" s="169">
        <v>0.02</v>
      </c>
      <c r="D48" s="550"/>
      <c r="E48" s="550"/>
      <c r="F48" s="550"/>
      <c r="G48" s="550"/>
      <c r="H48" s="550"/>
      <c r="I48" s="550"/>
      <c r="J48" s="550"/>
      <c r="K48" s="550"/>
      <c r="L48" s="550"/>
      <c r="M48" s="550"/>
    </row>
    <row r="49" spans="3:13" ht="15">
      <c r="C49" s="407">
        <v>0.0133</v>
      </c>
      <c r="D49" s="550"/>
      <c r="E49" s="550"/>
      <c r="F49" s="550"/>
      <c r="G49" s="550"/>
      <c r="H49" s="550"/>
      <c r="I49" s="550"/>
      <c r="J49" s="550"/>
      <c r="K49" s="550"/>
      <c r="L49" s="550"/>
      <c r="M49" s="550"/>
    </row>
    <row r="50" spans="3:13" ht="15">
      <c r="C50" s="169">
        <v>0.01</v>
      </c>
      <c r="D50" s="550"/>
      <c r="E50" s="550"/>
      <c r="F50" s="550"/>
      <c r="G50" s="550"/>
      <c r="H50" s="550"/>
      <c r="I50" s="550"/>
      <c r="J50" s="550"/>
      <c r="K50" s="550"/>
      <c r="L50" s="550"/>
      <c r="M50" s="550"/>
    </row>
    <row r="51" spans="3:13" ht="15">
      <c r="C51" s="170">
        <v>0.005</v>
      </c>
      <c r="D51" s="550"/>
      <c r="E51" s="550"/>
      <c r="F51" s="550"/>
      <c r="G51" s="550"/>
      <c r="H51" s="550"/>
      <c r="I51" s="550"/>
      <c r="J51" s="550"/>
      <c r="K51" s="550"/>
      <c r="L51" s="550"/>
      <c r="M51" s="550"/>
    </row>
    <row r="52" spans="3:13" ht="15">
      <c r="C52" s="170">
        <v>0.001</v>
      </c>
      <c r="D52" s="550"/>
      <c r="E52" s="550"/>
      <c r="F52" s="550"/>
      <c r="G52" s="550"/>
      <c r="H52" s="550"/>
      <c r="I52" s="550"/>
      <c r="J52" s="550"/>
      <c r="K52" s="550"/>
      <c r="L52" s="550"/>
      <c r="M52" s="550"/>
    </row>
    <row r="54" spans="3:6" ht="15">
      <c r="C54" s="171"/>
      <c r="E54" s="163" t="s">
        <v>262</v>
      </c>
      <c r="F54" s="163" t="str">
        <f>"Number of "&amp;A55&amp;" whose risk changes due to changes in water levels"</f>
        <v>Number of TELEPHONE EXCHANGES whose risk changes due to changes in water levels</v>
      </c>
    </row>
    <row r="55" spans="1:13" ht="30" customHeight="1">
      <c r="A55" s="706" t="s">
        <v>340</v>
      </c>
      <c r="B55" s="590"/>
      <c r="C55" s="590"/>
      <c r="D55" s="169">
        <v>1</v>
      </c>
      <c r="E55" s="169">
        <v>0.5</v>
      </c>
      <c r="F55" s="169">
        <v>0.2</v>
      </c>
      <c r="G55" s="169">
        <v>0.1</v>
      </c>
      <c r="H55" s="169">
        <v>0.04</v>
      </c>
      <c r="I55" s="169">
        <v>0.02</v>
      </c>
      <c r="J55" s="407">
        <v>0.0133</v>
      </c>
      <c r="K55" s="169">
        <v>0.01</v>
      </c>
      <c r="L55" s="170">
        <v>0.005</v>
      </c>
      <c r="M55" s="170">
        <v>0.001</v>
      </c>
    </row>
    <row r="56" spans="3:15" ht="15">
      <c r="C56" s="169">
        <v>1</v>
      </c>
      <c r="D56" s="550"/>
      <c r="E56" s="550"/>
      <c r="F56" s="550"/>
      <c r="G56" s="550"/>
      <c r="H56" s="550"/>
      <c r="I56" s="550"/>
      <c r="J56" s="550"/>
      <c r="K56" s="550"/>
      <c r="L56" s="550"/>
      <c r="M56" s="550"/>
      <c r="O56" s="163" t="s">
        <v>510</v>
      </c>
    </row>
    <row r="57" spans="2:15" ht="15">
      <c r="B57" s="591" t="s">
        <v>294</v>
      </c>
      <c r="C57" s="169">
        <v>0.5</v>
      </c>
      <c r="D57" s="550"/>
      <c r="E57" s="550"/>
      <c r="F57" s="550"/>
      <c r="G57" s="550"/>
      <c r="H57" s="550"/>
      <c r="I57" s="550"/>
      <c r="J57" s="550"/>
      <c r="K57" s="550"/>
      <c r="L57" s="550"/>
      <c r="M57" s="550"/>
      <c r="O57" s="163" t="s">
        <v>319</v>
      </c>
    </row>
    <row r="58" spans="2:15" ht="15">
      <c r="B58" s="592"/>
      <c r="C58" s="169">
        <v>0.2</v>
      </c>
      <c r="D58" s="550"/>
      <c r="E58" s="550"/>
      <c r="F58" s="550"/>
      <c r="G58" s="550"/>
      <c r="H58" s="550"/>
      <c r="I58" s="550"/>
      <c r="J58" s="550"/>
      <c r="K58" s="550"/>
      <c r="L58" s="550"/>
      <c r="M58" s="550"/>
      <c r="O58" s="163" t="s">
        <v>940</v>
      </c>
    </row>
    <row r="59" spans="3:15" ht="15">
      <c r="C59" s="169">
        <v>0.1</v>
      </c>
      <c r="D59" s="550"/>
      <c r="E59" s="550"/>
      <c r="F59" s="550"/>
      <c r="G59" s="550"/>
      <c r="H59" s="550"/>
      <c r="I59" s="550"/>
      <c r="J59" s="550"/>
      <c r="K59" s="550"/>
      <c r="L59" s="550"/>
      <c r="M59" s="550"/>
      <c r="O59" s="163" t="s">
        <v>277</v>
      </c>
    </row>
    <row r="60" spans="3:15" ht="15">
      <c r="C60" s="169">
        <v>0.04</v>
      </c>
      <c r="D60" s="550"/>
      <c r="E60" s="550"/>
      <c r="F60" s="550"/>
      <c r="G60" s="550"/>
      <c r="H60" s="550"/>
      <c r="I60" s="550"/>
      <c r="J60" s="550"/>
      <c r="K60" s="550"/>
      <c r="L60" s="550"/>
      <c r="M60" s="550"/>
      <c r="O60" s="163" t="s">
        <v>941</v>
      </c>
    </row>
    <row r="61" spans="3:13" ht="15">
      <c r="C61" s="169">
        <v>0.02</v>
      </c>
      <c r="D61" s="550"/>
      <c r="E61" s="550"/>
      <c r="F61" s="550"/>
      <c r="G61" s="550"/>
      <c r="H61" s="550"/>
      <c r="I61" s="550"/>
      <c r="J61" s="550"/>
      <c r="K61" s="550"/>
      <c r="L61" s="550"/>
      <c r="M61" s="550"/>
    </row>
    <row r="62" spans="3:13" ht="15">
      <c r="C62" s="407">
        <v>0.0133</v>
      </c>
      <c r="D62" s="550"/>
      <c r="E62" s="550"/>
      <c r="F62" s="550"/>
      <c r="G62" s="550"/>
      <c r="H62" s="550"/>
      <c r="I62" s="550"/>
      <c r="J62" s="550"/>
      <c r="K62" s="550"/>
      <c r="L62" s="550"/>
      <c r="M62" s="550"/>
    </row>
    <row r="63" spans="3:13" ht="15">
      <c r="C63" s="169">
        <v>0.01</v>
      </c>
      <c r="D63" s="550"/>
      <c r="E63" s="550"/>
      <c r="F63" s="550"/>
      <c r="G63" s="550"/>
      <c r="H63" s="550"/>
      <c r="I63" s="550"/>
      <c r="J63" s="550"/>
      <c r="K63" s="550"/>
      <c r="L63" s="550"/>
      <c r="M63" s="550"/>
    </row>
    <row r="64" spans="3:13" ht="15">
      <c r="C64" s="170">
        <v>0.005</v>
      </c>
      <c r="D64" s="550"/>
      <c r="E64" s="550"/>
      <c r="F64" s="550"/>
      <c r="G64" s="550"/>
      <c r="H64" s="550"/>
      <c r="I64" s="550"/>
      <c r="J64" s="550"/>
      <c r="K64" s="550"/>
      <c r="L64" s="550"/>
      <c r="M64" s="550"/>
    </row>
    <row r="65" spans="3:13" ht="15">
      <c r="C65" s="170">
        <v>0.001</v>
      </c>
      <c r="D65" s="550"/>
      <c r="E65" s="550"/>
      <c r="F65" s="550"/>
      <c r="G65" s="550"/>
      <c r="H65" s="550"/>
      <c r="I65" s="550"/>
      <c r="J65" s="550"/>
      <c r="K65" s="550"/>
      <c r="L65" s="550"/>
      <c r="M65" s="550"/>
    </row>
    <row r="67" spans="3:6" ht="15">
      <c r="C67" s="171"/>
      <c r="E67" s="163" t="s">
        <v>262</v>
      </c>
      <c r="F67" s="163" t="str">
        <f>"Number of "&amp;A68&amp;" whose risk changes due to changes in water levels"</f>
        <v>Number of GAS WORKS/PIPELINES whose risk changes due to changes in water levels</v>
      </c>
    </row>
    <row r="68" spans="1:13" ht="30" customHeight="1">
      <c r="A68" s="706" t="s">
        <v>698</v>
      </c>
      <c r="B68" s="590"/>
      <c r="C68" s="590"/>
      <c r="D68" s="169">
        <v>1</v>
      </c>
      <c r="E68" s="169">
        <v>0.5</v>
      </c>
      <c r="F68" s="169">
        <v>0.2</v>
      </c>
      <c r="G68" s="169">
        <v>0.1</v>
      </c>
      <c r="H68" s="169">
        <v>0.04</v>
      </c>
      <c r="I68" s="169">
        <v>0.02</v>
      </c>
      <c r="J68" s="407">
        <v>0.0133</v>
      </c>
      <c r="K68" s="169">
        <v>0.01</v>
      </c>
      <c r="L68" s="170">
        <v>0.005</v>
      </c>
      <c r="M68" s="170">
        <v>0.001</v>
      </c>
    </row>
    <row r="69" spans="3:15" ht="15">
      <c r="C69" s="169">
        <v>1</v>
      </c>
      <c r="D69" s="550"/>
      <c r="E69" s="550"/>
      <c r="F69" s="550"/>
      <c r="G69" s="550"/>
      <c r="H69" s="550"/>
      <c r="I69" s="550"/>
      <c r="J69" s="550"/>
      <c r="K69" s="550"/>
      <c r="L69" s="550"/>
      <c r="M69" s="550"/>
      <c r="O69" s="163" t="s">
        <v>507</v>
      </c>
    </row>
    <row r="70" spans="2:15" ht="15">
      <c r="B70" s="591" t="s">
        <v>294</v>
      </c>
      <c r="C70" s="169">
        <v>0.5</v>
      </c>
      <c r="D70" s="550"/>
      <c r="E70" s="550"/>
      <c r="F70" s="550"/>
      <c r="G70" s="550"/>
      <c r="H70" s="550"/>
      <c r="I70" s="550"/>
      <c r="J70" s="550"/>
      <c r="K70" s="550"/>
      <c r="L70" s="550"/>
      <c r="M70" s="550"/>
      <c r="O70" s="163" t="s">
        <v>319</v>
      </c>
    </row>
    <row r="71" spans="2:15" ht="15">
      <c r="B71" s="592"/>
      <c r="C71" s="169">
        <v>0.2</v>
      </c>
      <c r="D71" s="550"/>
      <c r="E71" s="550"/>
      <c r="F71" s="550"/>
      <c r="G71" s="550"/>
      <c r="H71" s="550"/>
      <c r="I71" s="550"/>
      <c r="J71" s="550"/>
      <c r="K71" s="550"/>
      <c r="L71" s="550"/>
      <c r="M71" s="550"/>
      <c r="O71" s="163" t="s">
        <v>942</v>
      </c>
    </row>
    <row r="72" spans="3:15" ht="15">
      <c r="C72" s="169">
        <v>0.1</v>
      </c>
      <c r="D72" s="550"/>
      <c r="E72" s="550"/>
      <c r="F72" s="550"/>
      <c r="G72" s="550"/>
      <c r="H72" s="550"/>
      <c r="I72" s="550"/>
      <c r="J72" s="550"/>
      <c r="K72" s="550"/>
      <c r="L72" s="550"/>
      <c r="M72" s="550"/>
      <c r="O72" s="163" t="s">
        <v>277</v>
      </c>
    </row>
    <row r="73" spans="3:15" ht="15">
      <c r="C73" s="169">
        <v>0.04</v>
      </c>
      <c r="D73" s="550"/>
      <c r="E73" s="550"/>
      <c r="F73" s="550"/>
      <c r="G73" s="550"/>
      <c r="H73" s="550"/>
      <c r="I73" s="550"/>
      <c r="J73" s="550"/>
      <c r="K73" s="550"/>
      <c r="L73" s="550"/>
      <c r="M73" s="550"/>
      <c r="O73" s="163" t="s">
        <v>943</v>
      </c>
    </row>
    <row r="74" spans="3:13" ht="15">
      <c r="C74" s="169">
        <v>0.02</v>
      </c>
      <c r="D74" s="550"/>
      <c r="E74" s="550"/>
      <c r="F74" s="550"/>
      <c r="G74" s="550"/>
      <c r="H74" s="550"/>
      <c r="I74" s="550"/>
      <c r="J74" s="550"/>
      <c r="K74" s="550"/>
      <c r="L74" s="550"/>
      <c r="M74" s="550"/>
    </row>
    <row r="75" spans="3:13" ht="15">
      <c r="C75" s="407">
        <v>0.0133</v>
      </c>
      <c r="D75" s="550"/>
      <c r="E75" s="550"/>
      <c r="F75" s="550"/>
      <c r="G75" s="550"/>
      <c r="H75" s="550"/>
      <c r="I75" s="550"/>
      <c r="J75" s="550"/>
      <c r="K75" s="550"/>
      <c r="L75" s="550"/>
      <c r="M75" s="550"/>
    </row>
    <row r="76" spans="3:13" ht="15">
      <c r="C76" s="169">
        <v>0.01</v>
      </c>
      <c r="D76" s="550"/>
      <c r="E76" s="550"/>
      <c r="F76" s="550"/>
      <c r="G76" s="550"/>
      <c r="H76" s="550"/>
      <c r="I76" s="550"/>
      <c r="J76" s="550"/>
      <c r="K76" s="550"/>
      <c r="L76" s="550"/>
      <c r="M76" s="550"/>
    </row>
    <row r="77" spans="3:13" ht="15">
      <c r="C77" s="170">
        <v>0.005</v>
      </c>
      <c r="D77" s="550"/>
      <c r="E77" s="550"/>
      <c r="F77" s="550"/>
      <c r="G77" s="550"/>
      <c r="H77" s="550"/>
      <c r="I77" s="550"/>
      <c r="J77" s="550"/>
      <c r="K77" s="550"/>
      <c r="L77" s="550"/>
      <c r="M77" s="550"/>
    </row>
    <row r="78" spans="3:13" ht="15">
      <c r="C78" s="170">
        <v>0.001</v>
      </c>
      <c r="D78" s="550"/>
      <c r="E78" s="550"/>
      <c r="F78" s="550"/>
      <c r="G78" s="550"/>
      <c r="H78" s="550"/>
      <c r="I78" s="550"/>
      <c r="J78" s="550"/>
      <c r="K78" s="550"/>
      <c r="L78" s="550"/>
      <c r="M78" s="550"/>
    </row>
    <row r="80" spans="3:6" ht="15">
      <c r="C80" s="171"/>
      <c r="E80" s="163" t="s">
        <v>262</v>
      </c>
      <c r="F80" s="163" t="str">
        <f>"Number of "&amp;A81&amp;" whose risk changes due to changes in water levels"</f>
        <v>Number of OIL REFINERIES whose risk changes due to changes in water levels</v>
      </c>
    </row>
    <row r="81" spans="1:13" ht="30" customHeight="1">
      <c r="A81" s="706" t="s">
        <v>341</v>
      </c>
      <c r="B81" s="590"/>
      <c r="C81" s="590"/>
      <c r="D81" s="169">
        <v>1</v>
      </c>
      <c r="E81" s="169">
        <v>0.5</v>
      </c>
      <c r="F81" s="169">
        <v>0.2</v>
      </c>
      <c r="G81" s="169">
        <v>0.1</v>
      </c>
      <c r="H81" s="169">
        <v>0.04</v>
      </c>
      <c r="I81" s="169">
        <v>0.02</v>
      </c>
      <c r="J81" s="407">
        <v>0.0133</v>
      </c>
      <c r="K81" s="169">
        <v>0.01</v>
      </c>
      <c r="L81" s="170">
        <v>0.005</v>
      </c>
      <c r="M81" s="170">
        <v>0.001</v>
      </c>
    </row>
    <row r="82" spans="3:15" ht="15">
      <c r="C82" s="169">
        <v>1</v>
      </c>
      <c r="D82" s="550"/>
      <c r="E82" s="550"/>
      <c r="F82" s="550"/>
      <c r="G82" s="550"/>
      <c r="H82" s="550"/>
      <c r="I82" s="550"/>
      <c r="J82" s="550"/>
      <c r="K82" s="550"/>
      <c r="L82" s="550"/>
      <c r="M82" s="550"/>
      <c r="O82" s="163" t="s">
        <v>511</v>
      </c>
    </row>
    <row r="83" spans="2:15" ht="15">
      <c r="B83" s="591" t="s">
        <v>294</v>
      </c>
      <c r="C83" s="169">
        <v>0.5</v>
      </c>
      <c r="D83" s="550"/>
      <c r="E83" s="550"/>
      <c r="F83" s="550"/>
      <c r="G83" s="550"/>
      <c r="H83" s="550"/>
      <c r="I83" s="550"/>
      <c r="J83" s="550"/>
      <c r="K83" s="550"/>
      <c r="L83" s="550"/>
      <c r="M83" s="550"/>
      <c r="O83" s="163" t="s">
        <v>319</v>
      </c>
    </row>
    <row r="84" spans="2:15" ht="15">
      <c r="B84" s="592"/>
      <c r="C84" s="169">
        <v>0.2</v>
      </c>
      <c r="D84" s="550"/>
      <c r="E84" s="550"/>
      <c r="F84" s="550"/>
      <c r="G84" s="550"/>
      <c r="H84" s="550"/>
      <c r="I84" s="550"/>
      <c r="J84" s="550"/>
      <c r="K84" s="550"/>
      <c r="L84" s="550"/>
      <c r="M84" s="550"/>
      <c r="O84" s="163" t="s">
        <v>944</v>
      </c>
    </row>
    <row r="85" spans="3:15" ht="15">
      <c r="C85" s="169">
        <v>0.1</v>
      </c>
      <c r="D85" s="550"/>
      <c r="E85" s="550"/>
      <c r="F85" s="550"/>
      <c r="G85" s="550"/>
      <c r="H85" s="550"/>
      <c r="I85" s="550"/>
      <c r="J85" s="550"/>
      <c r="K85" s="550"/>
      <c r="L85" s="550"/>
      <c r="M85" s="550"/>
      <c r="O85" s="163" t="s">
        <v>277</v>
      </c>
    </row>
    <row r="86" spans="3:15" ht="15">
      <c r="C86" s="169">
        <v>0.04</v>
      </c>
      <c r="D86" s="550"/>
      <c r="E86" s="550"/>
      <c r="F86" s="550"/>
      <c r="G86" s="550"/>
      <c r="H86" s="550"/>
      <c r="I86" s="550"/>
      <c r="J86" s="550"/>
      <c r="K86" s="550"/>
      <c r="L86" s="550"/>
      <c r="M86" s="550"/>
      <c r="O86" s="163" t="s">
        <v>945</v>
      </c>
    </row>
    <row r="87" spans="3:13" ht="15">
      <c r="C87" s="169">
        <v>0.02</v>
      </c>
      <c r="D87" s="550"/>
      <c r="E87" s="550"/>
      <c r="F87" s="550"/>
      <c r="G87" s="550"/>
      <c r="H87" s="550"/>
      <c r="I87" s="550"/>
      <c r="J87" s="550"/>
      <c r="K87" s="550"/>
      <c r="L87" s="550"/>
      <c r="M87" s="550"/>
    </row>
    <row r="88" spans="3:13" ht="15">
      <c r="C88" s="407">
        <v>0.0133</v>
      </c>
      <c r="D88" s="550"/>
      <c r="E88" s="550"/>
      <c r="F88" s="550"/>
      <c r="G88" s="550"/>
      <c r="H88" s="550"/>
      <c r="I88" s="550"/>
      <c r="J88" s="550"/>
      <c r="K88" s="550"/>
      <c r="L88" s="550"/>
      <c r="M88" s="550"/>
    </row>
    <row r="89" spans="3:13" ht="15">
      <c r="C89" s="169">
        <v>0.01</v>
      </c>
      <c r="D89" s="550"/>
      <c r="E89" s="550"/>
      <c r="F89" s="550"/>
      <c r="G89" s="550"/>
      <c r="H89" s="550"/>
      <c r="I89" s="550"/>
      <c r="J89" s="550"/>
      <c r="K89" s="550"/>
      <c r="L89" s="550"/>
      <c r="M89" s="550"/>
    </row>
    <row r="90" spans="3:13" ht="15">
      <c r="C90" s="170">
        <v>0.005</v>
      </c>
      <c r="D90" s="550"/>
      <c r="E90" s="550"/>
      <c r="F90" s="550"/>
      <c r="G90" s="550"/>
      <c r="H90" s="550"/>
      <c r="I90" s="550"/>
      <c r="J90" s="550"/>
      <c r="K90" s="550"/>
      <c r="L90" s="550"/>
      <c r="M90" s="550"/>
    </row>
    <row r="91" spans="3:13" ht="15">
      <c r="C91" s="170">
        <v>0.001</v>
      </c>
      <c r="D91" s="550"/>
      <c r="E91" s="550"/>
      <c r="F91" s="550"/>
      <c r="G91" s="550"/>
      <c r="H91" s="550"/>
      <c r="I91" s="550"/>
      <c r="J91" s="550"/>
      <c r="K91" s="550"/>
      <c r="L91" s="550"/>
      <c r="M91" s="550"/>
    </row>
    <row r="93" spans="3:6" ht="15">
      <c r="C93" s="171"/>
      <c r="E93" s="163" t="s">
        <v>262</v>
      </c>
      <c r="F93" s="163" t="str">
        <f>"Number of "&amp;A94&amp;" whose risk changes due to changes in water levels"</f>
        <v>Number of OTHER whose risk changes due to changes in water levels</v>
      </c>
    </row>
    <row r="94" spans="1:13" ht="30" customHeight="1">
      <c r="A94" s="706" t="s">
        <v>331</v>
      </c>
      <c r="B94" s="707"/>
      <c r="C94" s="707"/>
      <c r="D94" s="169">
        <v>1</v>
      </c>
      <c r="E94" s="169">
        <v>0.5</v>
      </c>
      <c r="F94" s="169">
        <v>0.2</v>
      </c>
      <c r="G94" s="169">
        <v>0.1</v>
      </c>
      <c r="H94" s="169">
        <v>0.04</v>
      </c>
      <c r="I94" s="169">
        <v>0.02</v>
      </c>
      <c r="J94" s="407">
        <v>0.0133</v>
      </c>
      <c r="K94" s="169">
        <v>0.01</v>
      </c>
      <c r="L94" s="170">
        <v>0.005</v>
      </c>
      <c r="M94" s="170">
        <v>0.001</v>
      </c>
    </row>
    <row r="95" spans="3:13" ht="15">
      <c r="C95" s="169">
        <v>1</v>
      </c>
      <c r="D95" s="550"/>
      <c r="E95" s="550"/>
      <c r="F95" s="550"/>
      <c r="G95" s="550"/>
      <c r="H95" s="550"/>
      <c r="I95" s="550"/>
      <c r="J95" s="550"/>
      <c r="K95" s="550"/>
      <c r="L95" s="550"/>
      <c r="M95" s="550"/>
    </row>
    <row r="96" spans="2:13" ht="15">
      <c r="B96" s="591" t="s">
        <v>294</v>
      </c>
      <c r="C96" s="169">
        <v>0.5</v>
      </c>
      <c r="D96" s="550"/>
      <c r="E96" s="550"/>
      <c r="F96" s="550"/>
      <c r="G96" s="550"/>
      <c r="H96" s="550"/>
      <c r="I96" s="550"/>
      <c r="J96" s="550"/>
      <c r="K96" s="550"/>
      <c r="L96" s="550"/>
      <c r="M96" s="550"/>
    </row>
    <row r="97" spans="2:13" ht="15">
      <c r="B97" s="592"/>
      <c r="C97" s="169">
        <v>0.2</v>
      </c>
      <c r="D97" s="550"/>
      <c r="E97" s="550"/>
      <c r="F97" s="550"/>
      <c r="G97" s="550"/>
      <c r="H97" s="550"/>
      <c r="I97" s="550"/>
      <c r="J97" s="550"/>
      <c r="K97" s="550"/>
      <c r="L97" s="550"/>
      <c r="M97" s="550"/>
    </row>
    <row r="98" spans="3:13" ht="15">
      <c r="C98" s="169">
        <v>0.1</v>
      </c>
      <c r="D98" s="550"/>
      <c r="E98" s="550"/>
      <c r="F98" s="550"/>
      <c r="G98" s="550"/>
      <c r="H98" s="550"/>
      <c r="I98" s="550"/>
      <c r="J98" s="550"/>
      <c r="K98" s="550"/>
      <c r="L98" s="550"/>
      <c r="M98" s="550"/>
    </row>
    <row r="99" spans="3:13" ht="15">
      <c r="C99" s="169">
        <v>0.04</v>
      </c>
      <c r="D99" s="550"/>
      <c r="E99" s="550"/>
      <c r="F99" s="550"/>
      <c r="G99" s="550"/>
      <c r="H99" s="550"/>
      <c r="I99" s="550"/>
      <c r="J99" s="550"/>
      <c r="K99" s="550"/>
      <c r="L99" s="550"/>
      <c r="M99" s="550"/>
    </row>
    <row r="100" spans="3:13" ht="15">
      <c r="C100" s="169">
        <v>0.02</v>
      </c>
      <c r="D100" s="550"/>
      <c r="E100" s="550"/>
      <c r="F100" s="550"/>
      <c r="G100" s="550"/>
      <c r="H100" s="550"/>
      <c r="I100" s="550"/>
      <c r="J100" s="550"/>
      <c r="K100" s="550"/>
      <c r="L100" s="550"/>
      <c r="M100" s="550"/>
    </row>
    <row r="101" spans="3:13" ht="15">
      <c r="C101" s="407">
        <v>0.0133</v>
      </c>
      <c r="D101" s="550"/>
      <c r="E101" s="550"/>
      <c r="F101" s="550"/>
      <c r="G101" s="550"/>
      <c r="H101" s="550"/>
      <c r="I101" s="550"/>
      <c r="J101" s="550"/>
      <c r="K101" s="550"/>
      <c r="L101" s="550"/>
      <c r="M101" s="550"/>
    </row>
    <row r="102" spans="3:13" ht="15">
      <c r="C102" s="169">
        <v>0.01</v>
      </c>
      <c r="D102" s="550"/>
      <c r="E102" s="550"/>
      <c r="F102" s="550"/>
      <c r="G102" s="550"/>
      <c r="H102" s="550"/>
      <c r="I102" s="550"/>
      <c r="J102" s="550"/>
      <c r="K102" s="550"/>
      <c r="L102" s="550"/>
      <c r="M102" s="550"/>
    </row>
    <row r="103" spans="3:13" ht="15">
      <c r="C103" s="170">
        <v>0.005</v>
      </c>
      <c r="D103" s="550"/>
      <c r="E103" s="550"/>
      <c r="F103" s="550"/>
      <c r="G103" s="550"/>
      <c r="H103" s="550"/>
      <c r="I103" s="550"/>
      <c r="J103" s="550"/>
      <c r="K103" s="550"/>
      <c r="L103" s="550"/>
      <c r="M103" s="550"/>
    </row>
    <row r="104" spans="3:13" ht="15">
      <c r="C104" s="170">
        <v>0.001</v>
      </c>
      <c r="D104" s="550"/>
      <c r="E104" s="550"/>
      <c r="F104" s="550"/>
      <c r="G104" s="550"/>
      <c r="H104" s="550"/>
      <c r="I104" s="550"/>
      <c r="J104" s="550"/>
      <c r="K104" s="550"/>
      <c r="L104" s="550"/>
      <c r="M104" s="550"/>
    </row>
    <row r="106" spans="4:13" ht="15">
      <c r="D106" s="169">
        <v>1</v>
      </c>
      <c r="E106" s="169">
        <v>0.5</v>
      </c>
      <c r="F106" s="169">
        <v>0.2</v>
      </c>
      <c r="G106" s="169">
        <v>0.1</v>
      </c>
      <c r="H106" s="169">
        <v>0.04</v>
      </c>
      <c r="I106" s="169">
        <v>0.02</v>
      </c>
      <c r="J106" s="407">
        <v>0.0133</v>
      </c>
      <c r="K106" s="169">
        <v>0.01</v>
      </c>
      <c r="L106" s="170">
        <v>0.005</v>
      </c>
      <c r="M106" s="170">
        <v>0.001</v>
      </c>
    </row>
    <row r="107" spans="4:13" ht="15">
      <c r="D107" s="553">
        <v>0.01</v>
      </c>
      <c r="E107" s="553">
        <v>0.02</v>
      </c>
      <c r="F107" s="553">
        <v>0.05</v>
      </c>
      <c r="G107" s="553">
        <v>0.1</v>
      </c>
      <c r="H107" s="553">
        <v>0.25</v>
      </c>
      <c r="I107" s="553">
        <v>0.8</v>
      </c>
      <c r="J107" s="553">
        <f>(K107-I107)*0.67+I107</f>
        <v>0.8871</v>
      </c>
      <c r="K107" s="553">
        <v>0.93</v>
      </c>
      <c r="L107" s="553">
        <f>(K107+M107)/2</f>
        <v>0.9650000000000001</v>
      </c>
      <c r="M107" s="553">
        <v>1</v>
      </c>
    </row>
    <row r="108" spans="3:13" ht="15">
      <c r="C108" s="275" t="s">
        <v>598</v>
      </c>
      <c r="D108" s="552"/>
      <c r="E108" s="189"/>
      <c r="F108" s="189"/>
      <c r="G108" s="189"/>
      <c r="H108" s="189"/>
      <c r="I108" s="189"/>
      <c r="J108" s="189"/>
      <c r="K108" s="189"/>
      <c r="L108" s="189"/>
      <c r="M108" s="189"/>
    </row>
    <row r="109" spans="1:14" ht="32.25" customHeight="1">
      <c r="A109" s="706" t="s">
        <v>599</v>
      </c>
      <c r="B109" s="592"/>
      <c r="C109" s="592"/>
      <c r="D109" s="278">
        <f aca="true" t="shared" si="0" ref="D109:I109">$D$108*D107</f>
        <v>0</v>
      </c>
      <c r="E109" s="278">
        <f t="shared" si="0"/>
        <v>0</v>
      </c>
      <c r="F109" s="278">
        <f t="shared" si="0"/>
        <v>0</v>
      </c>
      <c r="G109" s="278">
        <f t="shared" si="0"/>
        <v>0</v>
      </c>
      <c r="H109" s="278">
        <f t="shared" si="0"/>
        <v>0</v>
      </c>
      <c r="I109" s="278">
        <f t="shared" si="0"/>
        <v>0</v>
      </c>
      <c r="J109" s="278">
        <f aca="true" t="shared" si="1" ref="J109:M109">$D$108*J107</f>
        <v>0</v>
      </c>
      <c r="K109" s="278">
        <f t="shared" si="1"/>
        <v>0</v>
      </c>
      <c r="L109" s="278">
        <f t="shared" si="1"/>
        <v>0</v>
      </c>
      <c r="M109" s="278">
        <f t="shared" si="1"/>
        <v>0</v>
      </c>
      <c r="N109" s="163" t="s">
        <v>587</v>
      </c>
    </row>
    <row r="110" spans="1:13" ht="32.25" customHeight="1">
      <c r="A110" s="706" t="s">
        <v>614</v>
      </c>
      <c r="B110" s="591"/>
      <c r="C110" s="591"/>
      <c r="D110" s="278">
        <f>D109</f>
        <v>0</v>
      </c>
      <c r="E110" s="278">
        <f>E109-D109</f>
        <v>0</v>
      </c>
      <c r="F110" s="278">
        <f aca="true" t="shared" si="2" ref="F110:I110">F109-E109</f>
        <v>0</v>
      </c>
      <c r="G110" s="278">
        <f t="shared" si="2"/>
        <v>0</v>
      </c>
      <c r="H110" s="278">
        <f t="shared" si="2"/>
        <v>0</v>
      </c>
      <c r="I110" s="278">
        <f t="shared" si="2"/>
        <v>0</v>
      </c>
      <c r="J110" s="278">
        <f aca="true" t="shared" si="3" ref="J110">J109-I109</f>
        <v>0</v>
      </c>
      <c r="K110" s="278">
        <f aca="true" t="shared" si="4" ref="K110">K109-J109</f>
        <v>0</v>
      </c>
      <c r="L110" s="278">
        <f aca="true" t="shared" si="5" ref="L110">L109-K109</f>
        <v>0</v>
      </c>
      <c r="M110" s="278">
        <f aca="true" t="shared" si="6" ref="M110">M109-L109</f>
        <v>0</v>
      </c>
    </row>
    <row r="112" spans="3:13" ht="15">
      <c r="C112" s="298" t="s">
        <v>652</v>
      </c>
      <c r="D112" s="206">
        <v>1</v>
      </c>
      <c r="E112" s="206">
        <v>0.5</v>
      </c>
      <c r="F112" s="206">
        <v>0.2</v>
      </c>
      <c r="G112" s="206">
        <v>0.1</v>
      </c>
      <c r="H112" s="206">
        <v>0.04</v>
      </c>
      <c r="I112" s="206">
        <v>0.02</v>
      </c>
      <c r="J112" s="407">
        <v>0.0133</v>
      </c>
      <c r="K112" s="169">
        <v>0.01</v>
      </c>
      <c r="L112" s="170">
        <v>0.005</v>
      </c>
      <c r="M112" s="170">
        <v>0.001</v>
      </c>
    </row>
    <row r="113" spans="3:25" ht="30">
      <c r="C113" s="163" t="s">
        <v>377</v>
      </c>
      <c r="D113" s="554" t="s">
        <v>195</v>
      </c>
      <c r="E113" s="554" t="s">
        <v>195</v>
      </c>
      <c r="F113" s="554" t="s">
        <v>378</v>
      </c>
      <c r="G113" s="554" t="s">
        <v>378</v>
      </c>
      <c r="H113" s="554" t="s">
        <v>378</v>
      </c>
      <c r="I113" s="554" t="s">
        <v>378</v>
      </c>
      <c r="J113" s="554" t="s">
        <v>378</v>
      </c>
      <c r="K113" s="554" t="s">
        <v>378</v>
      </c>
      <c r="L113" s="554" t="s">
        <v>378</v>
      </c>
      <c r="M113" s="554" t="s">
        <v>378</v>
      </c>
      <c r="O113" s="591"/>
      <c r="P113" s="590"/>
      <c r="Q113" s="590"/>
      <c r="R113" s="590"/>
      <c r="S113" s="590"/>
      <c r="T113" s="590"/>
      <c r="U113" s="590"/>
      <c r="V113" s="590"/>
      <c r="W113" s="590"/>
      <c r="X113" s="590"/>
      <c r="Y113" s="590"/>
    </row>
    <row r="114" spans="4:25" ht="15">
      <c r="D114" s="296"/>
      <c r="E114" s="296"/>
      <c r="F114" s="296"/>
      <c r="G114" s="296"/>
      <c r="H114" s="296"/>
      <c r="I114" s="296"/>
      <c r="J114" s="397"/>
      <c r="K114" s="296"/>
      <c r="L114" s="397"/>
      <c r="M114" s="296"/>
      <c r="O114" s="296"/>
      <c r="P114" s="276"/>
      <c r="Q114" s="276"/>
      <c r="R114" s="276"/>
      <c r="S114" s="276"/>
      <c r="T114" s="276"/>
      <c r="U114" s="276"/>
      <c r="V114" s="276"/>
      <c r="W114" s="276"/>
      <c r="X114" s="276"/>
      <c r="Y114" s="276"/>
    </row>
    <row r="115" spans="3:7" ht="30">
      <c r="C115" s="298" t="str">
        <f>C112</f>
        <v>UTILITIES</v>
      </c>
      <c r="D115" s="296" t="s">
        <v>195</v>
      </c>
      <c r="G115" s="296"/>
    </row>
    <row r="116" spans="3:7" ht="15">
      <c r="C116" s="310" t="s">
        <v>563</v>
      </c>
      <c r="D116" s="555">
        <v>5000000</v>
      </c>
      <c r="E116" s="276" t="s">
        <v>642</v>
      </c>
      <c r="G116" s="296"/>
    </row>
    <row r="117" spans="2:10" ht="15" customHeight="1">
      <c r="B117" s="708" t="s">
        <v>134</v>
      </c>
      <c r="C117" s="708"/>
      <c r="D117" s="555">
        <v>5000000</v>
      </c>
      <c r="E117" s="276" t="s">
        <v>642</v>
      </c>
      <c r="F117" s="276"/>
      <c r="G117" s="296"/>
      <c r="H117" s="168"/>
      <c r="I117" s="296"/>
      <c r="J117" s="397"/>
    </row>
    <row r="118" spans="2:10" ht="15" customHeight="1">
      <c r="B118" s="708" t="s">
        <v>135</v>
      </c>
      <c r="C118" s="708"/>
      <c r="D118" s="555">
        <v>5000000</v>
      </c>
      <c r="E118" s="276" t="s">
        <v>645</v>
      </c>
      <c r="F118" s="276"/>
      <c r="G118" s="296"/>
      <c r="H118" s="168"/>
      <c r="I118" s="296"/>
      <c r="J118" s="397"/>
    </row>
    <row r="119" spans="2:10" ht="15" customHeight="1">
      <c r="B119" s="708" t="s">
        <v>136</v>
      </c>
      <c r="C119" s="708"/>
      <c r="D119" s="555">
        <v>5000000</v>
      </c>
      <c r="E119" s="276" t="s">
        <v>646</v>
      </c>
      <c r="F119" s="276"/>
      <c r="G119" s="296"/>
      <c r="H119" s="168"/>
      <c r="I119" s="296"/>
      <c r="J119" s="397"/>
    </row>
    <row r="120" spans="2:10" ht="15" customHeight="1">
      <c r="B120" s="708" t="s">
        <v>342</v>
      </c>
      <c r="C120" s="708"/>
      <c r="D120" s="555">
        <v>5000000</v>
      </c>
      <c r="E120" s="276" t="s">
        <v>647</v>
      </c>
      <c r="F120" s="276"/>
      <c r="G120" s="296"/>
      <c r="H120" s="168"/>
      <c r="I120" s="296"/>
      <c r="J120" s="397"/>
    </row>
    <row r="121" spans="2:10" ht="15" customHeight="1">
      <c r="B121" s="708" t="s">
        <v>343</v>
      </c>
      <c r="C121" s="708"/>
      <c r="D121" s="555">
        <v>5000000</v>
      </c>
      <c r="E121" s="276" t="s">
        <v>648</v>
      </c>
      <c r="F121" s="276"/>
      <c r="G121" s="296"/>
      <c r="H121" s="168"/>
      <c r="I121" s="296"/>
      <c r="J121" s="397"/>
    </row>
    <row r="122" spans="2:5" ht="15" customHeight="1">
      <c r="B122" s="708" t="s">
        <v>699</v>
      </c>
      <c r="C122" s="710"/>
      <c r="D122" s="555">
        <v>5000000</v>
      </c>
      <c r="E122" s="276" t="s">
        <v>649</v>
      </c>
    </row>
    <row r="123" spans="2:5" ht="15" customHeight="1">
      <c r="B123" s="708" t="s">
        <v>137</v>
      </c>
      <c r="C123" s="708"/>
      <c r="D123" s="555">
        <v>5000000</v>
      </c>
      <c r="E123" s="276" t="s">
        <v>649</v>
      </c>
    </row>
    <row r="124" spans="2:5" ht="15">
      <c r="B124" s="708" t="s">
        <v>92</v>
      </c>
      <c r="C124" s="708"/>
      <c r="D124" s="555">
        <v>5000000</v>
      </c>
      <c r="E124" s="276" t="s">
        <v>649</v>
      </c>
    </row>
    <row r="125" spans="2:4" ht="15">
      <c r="B125" s="297"/>
      <c r="C125" s="297"/>
      <c r="D125" s="163" t="s">
        <v>386</v>
      </c>
    </row>
    <row r="126" spans="2:4" ht="15">
      <c r="B126" s="297"/>
      <c r="C126" s="297"/>
      <c r="D126" s="163" t="s">
        <v>387</v>
      </c>
    </row>
    <row r="127" spans="1:5" ht="27.75" customHeight="1">
      <c r="A127" s="706" t="s">
        <v>639</v>
      </c>
      <c r="B127" s="592"/>
      <c r="C127" s="592"/>
      <c r="D127" s="556">
        <v>25</v>
      </c>
      <c r="E127" s="163" t="s">
        <v>391</v>
      </c>
    </row>
    <row r="128" spans="1:5" ht="15">
      <c r="A128" s="296"/>
      <c r="B128" s="296"/>
      <c r="C128" s="298" t="s">
        <v>390</v>
      </c>
      <c r="D128" s="162">
        <f>VLOOKUP(D127-1,Sheet1!A$15:C$114,3,FALSE)</f>
        <v>17.058367603016084</v>
      </c>
      <c r="E128" s="163" t="str">
        <f>"Sum of discount factors from year 0 to year "&amp;D127</f>
        <v>Sum of discount factors from year 0 to year 25</v>
      </c>
    </row>
    <row r="129" spans="1:5" ht="15">
      <c r="A129" s="329"/>
      <c r="B129" s="329"/>
      <c r="C129" s="330" t="s">
        <v>785</v>
      </c>
      <c r="D129" s="178">
        <v>0.5</v>
      </c>
      <c r="E129" s="163" t="s">
        <v>786</v>
      </c>
    </row>
    <row r="130" spans="1:5" ht="15">
      <c r="A130" s="296"/>
      <c r="B130" s="296"/>
      <c r="C130" s="310" t="s">
        <v>563</v>
      </c>
      <c r="D130" s="308">
        <f>IF(ISERROR(D116/D$128/E152-D116/D$128/E152*D129),MODE(D131:D138),D116/D$128/E152-D116/D$128/E152*D129)</f>
        <v>14.655564108947775</v>
      </c>
      <c r="E130" s="163" t="s">
        <v>644</v>
      </c>
    </row>
    <row r="131" spans="2:5" ht="15" customHeight="1">
      <c r="B131" s="708" t="s">
        <v>134</v>
      </c>
      <c r="C131" s="708"/>
      <c r="D131" s="308">
        <f>D117/D$128/E153-D117/D$128/E153*D129</f>
        <v>14.655564108947775</v>
      </c>
      <c r="E131" s="163" t="s">
        <v>644</v>
      </c>
    </row>
    <row r="132" spans="2:5" ht="15" customHeight="1">
      <c r="B132" s="708" t="s">
        <v>135</v>
      </c>
      <c r="C132" s="708"/>
      <c r="D132" s="308">
        <f>D118/D$128/E154-D118/D$128/E154*D129</f>
        <v>14.655564108947775</v>
      </c>
      <c r="E132" s="163" t="s">
        <v>644</v>
      </c>
    </row>
    <row r="133" spans="2:5" ht="15" customHeight="1">
      <c r="B133" s="708" t="s">
        <v>136</v>
      </c>
      <c r="C133" s="708"/>
      <c r="D133" s="308">
        <f>D119/D$128/E155-D119/D$128/E155*D129</f>
        <v>586.222564357911</v>
      </c>
      <c r="E133" s="163" t="s">
        <v>644</v>
      </c>
    </row>
    <row r="134" spans="2:5" ht="15" customHeight="1">
      <c r="B134" s="708" t="s">
        <v>342</v>
      </c>
      <c r="C134" s="708"/>
      <c r="D134" s="308">
        <f>D120/D$128/E156-D120/D$128/E156*D129</f>
        <v>586.222564357911</v>
      </c>
      <c r="E134" s="163" t="s">
        <v>644</v>
      </c>
    </row>
    <row r="135" spans="2:5" ht="15" customHeight="1">
      <c r="B135" s="708" t="s">
        <v>343</v>
      </c>
      <c r="C135" s="708"/>
      <c r="D135" s="308">
        <f>D121/D$128/E157-D121/D$128/E157*D129</f>
        <v>14.655564108947775</v>
      </c>
      <c r="E135" s="163" t="s">
        <v>644</v>
      </c>
    </row>
    <row r="136" spans="2:5" ht="15" customHeight="1">
      <c r="B136" s="708" t="s">
        <v>699</v>
      </c>
      <c r="C136" s="710"/>
      <c r="D136" s="308">
        <f>D122/D$128/E158-D122/D$128/E158*D129</f>
        <v>14.655564108947775</v>
      </c>
      <c r="E136" s="163" t="s">
        <v>644</v>
      </c>
    </row>
    <row r="137" spans="2:5" ht="15" customHeight="1">
      <c r="B137" s="708" t="s">
        <v>137</v>
      </c>
      <c r="C137" s="708"/>
      <c r="D137" s="308">
        <f>D123/D$128/E159-D123/D$128/E159*D129</f>
        <v>14.655564108947775</v>
      </c>
      <c r="E137" s="163" t="s">
        <v>644</v>
      </c>
    </row>
    <row r="138" spans="2:5" ht="15" customHeight="1">
      <c r="B138" s="708" t="s">
        <v>92</v>
      </c>
      <c r="C138" s="708"/>
      <c r="D138" s="308">
        <f>D124/D$128/E160-D124/D$128/E160*D129</f>
        <v>14.655564108947775</v>
      </c>
      <c r="E138" s="163" t="s">
        <v>644</v>
      </c>
    </row>
    <row r="139" spans="3:4" ht="15">
      <c r="C139" s="298"/>
      <c r="D139" s="309"/>
    </row>
    <row r="140" spans="2:13" ht="33" customHeight="1">
      <c r="B140" s="591" t="s">
        <v>282</v>
      </c>
      <c r="C140" s="590"/>
      <c r="D140" s="169">
        <v>1</v>
      </c>
      <c r="E140" s="169">
        <v>0.5</v>
      </c>
      <c r="F140" s="169">
        <v>0.2</v>
      </c>
      <c r="G140" s="169">
        <v>0.1</v>
      </c>
      <c r="H140" s="169">
        <v>0.04</v>
      </c>
      <c r="I140" s="169">
        <v>0.02</v>
      </c>
      <c r="J140" s="407">
        <v>0.0133</v>
      </c>
      <c r="K140" s="169">
        <v>0.01</v>
      </c>
      <c r="L140" s="170">
        <v>0.005</v>
      </c>
      <c r="M140" s="170">
        <v>0.001</v>
      </c>
    </row>
    <row r="141" spans="2:13" ht="33" customHeight="1">
      <c r="B141" s="488"/>
      <c r="C141" s="489" t="s">
        <v>345</v>
      </c>
      <c r="D141" s="277">
        <f>IF(D$113="One-off loss",'Water levels-Business'!D$45,$D130)</f>
        <v>14.655564108947775</v>
      </c>
      <c r="E141" s="277">
        <f>IF(E$113="One-off loss",'Water levels-Business'!E$45,$D130)</f>
        <v>14.655564108947775</v>
      </c>
      <c r="F141" s="277">
        <f>IF(F$113="One-off loss",'Water levels-Business'!F$45,$D130)</f>
        <v>19.958300549651398</v>
      </c>
      <c r="G141" s="277">
        <f>IF(G$113="One-off loss",'Water levels-Business'!G$45,$D130)</f>
        <v>11.739932753517232</v>
      </c>
      <c r="H141" s="277">
        <f>IF(H$113="One-off loss",'Water levels-Business'!H$45,$D130)</f>
        <v>6.367345725379362</v>
      </c>
      <c r="I141" s="277">
        <f>IF(I$113="One-off loss",'Water levels-Business'!I$45,$D130)</f>
        <v>3.0053981072020832</v>
      </c>
      <c r="J141" s="277">
        <f>IF(J$113="One-off loss",'Water levels-Business'!J$45,$D130)</f>
        <v>1.5065823986733475</v>
      </c>
      <c r="K141" s="277">
        <f>IF(K$113="One-off loss",'Water levels-Business'!K$45,$D130)</f>
        <v>0.761057889481286</v>
      </c>
      <c r="L141" s="277">
        <f>IF(L$113="One-off loss",'Water levels-Business'!L$45,$D130)</f>
        <v>0.3565495109751966</v>
      </c>
      <c r="M141" s="277">
        <f>IF(M$113="One-off loss",'Water levels-Business'!M$45,$D130)</f>
        <v>0</v>
      </c>
    </row>
    <row r="142" spans="2:15" ht="28.5" customHeight="1">
      <c r="B142" s="708" t="s">
        <v>134</v>
      </c>
      <c r="C142" s="708"/>
      <c r="D142" s="277">
        <f>IF(D$113="One-off loss",'Water levels-Business'!D$45,$D131)</f>
        <v>14.655564108947775</v>
      </c>
      <c r="E142" s="277">
        <f>IF(E$113="One-off loss",'Water levels-Business'!E$45,$D131)</f>
        <v>14.655564108947775</v>
      </c>
      <c r="F142" s="277">
        <f>IF(F$113="One-off loss",'Water levels-Business'!F$45,$D131)</f>
        <v>19.958300549651398</v>
      </c>
      <c r="G142" s="277">
        <f>IF(G$113="One-off loss",'Water levels-Business'!G$45,$D131)</f>
        <v>11.739932753517232</v>
      </c>
      <c r="H142" s="277">
        <f>IF(H$113="One-off loss",'Water levels-Business'!H$45,$D131)</f>
        <v>6.367345725379362</v>
      </c>
      <c r="I142" s="277">
        <f>IF(I$113="One-off loss",'Water levels-Business'!I$45,$D131)</f>
        <v>3.0053981072020832</v>
      </c>
      <c r="J142" s="277">
        <f>IF(J$113="One-off loss",'Water levels-Business'!J$45,$D131)</f>
        <v>1.5065823986733475</v>
      </c>
      <c r="K142" s="277">
        <f>IF(K$113="One-off loss",'Water levels-Business'!K$45,$D131)</f>
        <v>0.761057889481286</v>
      </c>
      <c r="L142" s="277">
        <f>IF(L$113="One-off loss",'Water levels-Business'!L$45,$D131)</f>
        <v>0.3565495109751966</v>
      </c>
      <c r="M142" s="277">
        <f>IF(M$113="One-off loss",'Water levels-Business'!M$45,$D131)</f>
        <v>0</v>
      </c>
      <c r="N142" s="163" t="s">
        <v>114</v>
      </c>
      <c r="O142" s="163" t="s">
        <v>116</v>
      </c>
    </row>
    <row r="143" spans="2:15" ht="27.75" customHeight="1">
      <c r="B143" s="708" t="s">
        <v>135</v>
      </c>
      <c r="C143" s="708"/>
      <c r="D143" s="277">
        <f>IF(D$113="One-off loss",'Water levels-Business'!D$45,$D132)</f>
        <v>14.655564108947775</v>
      </c>
      <c r="E143" s="277">
        <f>IF(E$113="One-off loss",'Water levels-Business'!E$45,$D132)</f>
        <v>14.655564108947775</v>
      </c>
      <c r="F143" s="277">
        <f>IF(F$113="One-off loss",'Water levels-Business'!F$45,$D132)</f>
        <v>19.958300549651398</v>
      </c>
      <c r="G143" s="277">
        <f>IF(G$113="One-off loss",'Water levels-Business'!G$45,$D132)</f>
        <v>11.739932753517232</v>
      </c>
      <c r="H143" s="277">
        <f>IF(H$113="One-off loss",'Water levels-Business'!H$45,$D132)</f>
        <v>6.367345725379362</v>
      </c>
      <c r="I143" s="277">
        <f>IF(I$113="One-off loss",'Water levels-Business'!I$45,$D132)</f>
        <v>3.0053981072020832</v>
      </c>
      <c r="J143" s="277">
        <f>IF(J$113="One-off loss",'Water levels-Business'!J$45,$D132)</f>
        <v>1.5065823986733475</v>
      </c>
      <c r="K143" s="277">
        <f>IF(K$113="One-off loss",'Water levels-Business'!K$45,$D132)</f>
        <v>0.761057889481286</v>
      </c>
      <c r="L143" s="277">
        <f>IF(L$113="One-off loss",'Water levels-Business'!L$45,$D132)</f>
        <v>0.3565495109751966</v>
      </c>
      <c r="M143" s="277">
        <f>IF(M$113="One-off loss",'Water levels-Business'!M$45,$D132)</f>
        <v>0</v>
      </c>
      <c r="N143" s="163" t="s">
        <v>114</v>
      </c>
      <c r="O143" s="163" t="s">
        <v>310</v>
      </c>
    </row>
    <row r="144" spans="2:14" ht="15" customHeight="1">
      <c r="B144" s="708" t="s">
        <v>136</v>
      </c>
      <c r="C144" s="708"/>
      <c r="D144" s="277">
        <f>IF(D$113="One-off loss",'Water levels-Business'!D$45,$D133)</f>
        <v>586.222564357911</v>
      </c>
      <c r="E144" s="277">
        <f>IF(E$113="One-off loss",'Water levels-Business'!E$45,$D133)</f>
        <v>586.222564357911</v>
      </c>
      <c r="F144" s="277">
        <f>IF(F$113="One-off loss",'Water levels-Business'!F$45,$D133)</f>
        <v>19.958300549651398</v>
      </c>
      <c r="G144" s="277">
        <f>IF(G$113="One-off loss",'Water levels-Business'!G$45,$D133)</f>
        <v>11.739932753517232</v>
      </c>
      <c r="H144" s="277">
        <f>IF(H$113="One-off loss",'Water levels-Business'!H$45,$D133)</f>
        <v>6.367345725379362</v>
      </c>
      <c r="I144" s="277">
        <f>IF(I$113="One-off loss",'Water levels-Business'!I$45,$D133)</f>
        <v>3.0053981072020832</v>
      </c>
      <c r="J144" s="277">
        <f>IF(J$113="One-off loss",'Water levels-Business'!J$45,$D133)</f>
        <v>1.5065823986733475</v>
      </c>
      <c r="K144" s="277">
        <f>IF(K$113="One-off loss",'Water levels-Business'!K$45,$D133)</f>
        <v>0.761057889481286</v>
      </c>
      <c r="L144" s="277">
        <f>IF(L$113="One-off loss",'Water levels-Business'!L$45,$D133)</f>
        <v>0.3565495109751966</v>
      </c>
      <c r="M144" s="277">
        <f>IF(M$113="One-off loss",'Water levels-Business'!M$45,$D133)</f>
        <v>0</v>
      </c>
      <c r="N144" s="163" t="s">
        <v>114</v>
      </c>
    </row>
    <row r="145" spans="2:14" ht="31.5" customHeight="1">
      <c r="B145" s="708" t="s">
        <v>342</v>
      </c>
      <c r="C145" s="708"/>
      <c r="D145" s="277">
        <f>IF(D$113="One-off loss",'Water levels-Business'!D$45,$D134)</f>
        <v>586.222564357911</v>
      </c>
      <c r="E145" s="277">
        <f>IF(E$113="One-off loss",'Water levels-Business'!E$45,$D134)</f>
        <v>586.222564357911</v>
      </c>
      <c r="F145" s="277">
        <f>IF(F$113="One-off loss",'Water levels-Business'!F$45,$D134)</f>
        <v>19.958300549651398</v>
      </c>
      <c r="G145" s="277">
        <f>IF(G$113="One-off loss",'Water levels-Business'!G$45,$D134)</f>
        <v>11.739932753517232</v>
      </c>
      <c r="H145" s="277">
        <f>IF(H$113="One-off loss",'Water levels-Business'!H$45,$D134)</f>
        <v>6.367345725379362</v>
      </c>
      <c r="I145" s="277">
        <f>IF(I$113="One-off loss",'Water levels-Business'!I$45,$D134)</f>
        <v>3.0053981072020832</v>
      </c>
      <c r="J145" s="277">
        <f>IF(J$113="One-off loss",'Water levels-Business'!J$45,$D134)</f>
        <v>1.5065823986733475</v>
      </c>
      <c r="K145" s="277">
        <f>IF(K$113="One-off loss",'Water levels-Business'!K$45,$D134)</f>
        <v>0.761057889481286</v>
      </c>
      <c r="L145" s="277">
        <f>IF(L$113="One-off loss",'Water levels-Business'!L$45,$D134)</f>
        <v>0.3565495109751966</v>
      </c>
      <c r="M145" s="277">
        <f>IF(M$113="One-off loss",'Water levels-Business'!M$45,$D134)</f>
        <v>0</v>
      </c>
      <c r="N145" s="163" t="s">
        <v>114</v>
      </c>
    </row>
    <row r="146" spans="2:14" ht="15">
      <c r="B146" s="708" t="s">
        <v>343</v>
      </c>
      <c r="C146" s="708"/>
      <c r="D146" s="277">
        <f>IF(D$113="One-off loss",'Water levels-Business'!D$45,$D135)</f>
        <v>14.655564108947775</v>
      </c>
      <c r="E146" s="277">
        <f>IF(E$113="One-off loss",'Water levels-Business'!E$45,$D135)</f>
        <v>14.655564108947775</v>
      </c>
      <c r="F146" s="277">
        <f>IF(F$113="One-off loss",'Water levels-Business'!F$45,$D135)</f>
        <v>19.958300549651398</v>
      </c>
      <c r="G146" s="277">
        <f>IF(G$113="One-off loss",'Water levels-Business'!G$45,$D135)</f>
        <v>11.739932753517232</v>
      </c>
      <c r="H146" s="277">
        <f>IF(H$113="One-off loss",'Water levels-Business'!H$45,$D135)</f>
        <v>6.367345725379362</v>
      </c>
      <c r="I146" s="277">
        <f>IF(I$113="One-off loss",'Water levels-Business'!I$45,$D135)</f>
        <v>3.0053981072020832</v>
      </c>
      <c r="J146" s="277">
        <f>IF(J$113="One-off loss",'Water levels-Business'!J$45,$D135)</f>
        <v>1.5065823986733475</v>
      </c>
      <c r="K146" s="277">
        <f>IF(K$113="One-off loss",'Water levels-Business'!K$45,$D135)</f>
        <v>0.761057889481286</v>
      </c>
      <c r="L146" s="277">
        <f>IF(L$113="One-off loss",'Water levels-Business'!L$45,$D135)</f>
        <v>0.3565495109751966</v>
      </c>
      <c r="M146" s="277">
        <f>IF(M$113="One-off loss",'Water levels-Business'!M$45,$D135)</f>
        <v>0</v>
      </c>
      <c r="N146" s="163" t="s">
        <v>334</v>
      </c>
    </row>
    <row r="147" spans="2:14" ht="15">
      <c r="B147" s="708" t="s">
        <v>699</v>
      </c>
      <c r="C147" s="710"/>
      <c r="D147" s="277">
        <f>IF(D$113="One-off loss",'Water levels-Business'!D$45,$D136)</f>
        <v>14.655564108947775</v>
      </c>
      <c r="E147" s="277">
        <f>IF(E$113="One-off loss",'Water levels-Business'!E$45,$D136)</f>
        <v>14.655564108947775</v>
      </c>
      <c r="F147" s="277">
        <f>IF(F$113="One-off loss",'Water levels-Business'!F$45,$D136)</f>
        <v>19.958300549651398</v>
      </c>
      <c r="G147" s="277">
        <f>IF(G$113="One-off loss",'Water levels-Business'!G$45,$D136)</f>
        <v>11.739932753517232</v>
      </c>
      <c r="H147" s="277">
        <f>IF(H$113="One-off loss",'Water levels-Business'!H$45,$D136)</f>
        <v>6.367345725379362</v>
      </c>
      <c r="I147" s="277">
        <f>IF(I$113="One-off loss",'Water levels-Business'!I$45,$D136)</f>
        <v>3.0053981072020832</v>
      </c>
      <c r="J147" s="277">
        <f>IF(J$113="One-off loss",'Water levels-Business'!J$45,$D136)</f>
        <v>1.5065823986733475</v>
      </c>
      <c r="K147" s="277">
        <f>IF(K$113="One-off loss",'Water levels-Business'!K$45,$D136)</f>
        <v>0.761057889481286</v>
      </c>
      <c r="L147" s="277">
        <f>IF(L$113="One-off loss",'Water levels-Business'!L$45,$D136)</f>
        <v>0.3565495109751966</v>
      </c>
      <c r="M147" s="277">
        <f>IF(M$113="One-off loss",'Water levels-Business'!M$45,$D136)</f>
        <v>0</v>
      </c>
      <c r="N147" s="163" t="s">
        <v>344</v>
      </c>
    </row>
    <row r="148" spans="2:14" ht="15" customHeight="1">
      <c r="B148" s="708" t="s">
        <v>137</v>
      </c>
      <c r="C148" s="708"/>
      <c r="D148" s="277">
        <f>IF(D$113="One-off loss",'Water levels-Business'!D$45,$D137)</f>
        <v>14.655564108947775</v>
      </c>
      <c r="E148" s="277">
        <f>IF(E$113="One-off loss",'Water levels-Business'!E$45,$D137)</f>
        <v>14.655564108947775</v>
      </c>
      <c r="F148" s="277">
        <f>IF(F$113="One-off loss",'Water levels-Business'!F$45,$D137)</f>
        <v>19.958300549651398</v>
      </c>
      <c r="G148" s="277">
        <f>IF(G$113="One-off loss",'Water levels-Business'!G$45,$D137)</f>
        <v>11.739932753517232</v>
      </c>
      <c r="H148" s="277">
        <f>IF(H$113="One-off loss",'Water levels-Business'!H$45,$D137)</f>
        <v>6.367345725379362</v>
      </c>
      <c r="I148" s="277">
        <f>IF(I$113="One-off loss",'Water levels-Business'!I$45,$D137)</f>
        <v>3.0053981072020832</v>
      </c>
      <c r="J148" s="277">
        <f>IF(J$113="One-off loss",'Water levels-Business'!J$45,$D137)</f>
        <v>1.5065823986733475</v>
      </c>
      <c r="K148" s="277">
        <f>IF(K$113="One-off loss",'Water levels-Business'!K$45,$D137)</f>
        <v>0.761057889481286</v>
      </c>
      <c r="L148" s="277">
        <f>IF(L$113="One-off loss",'Water levels-Business'!L$45,$D137)</f>
        <v>0.3565495109751966</v>
      </c>
      <c r="M148" s="277">
        <f>IF(M$113="One-off loss",'Water levels-Business'!M$45,$D137)</f>
        <v>0</v>
      </c>
      <c r="N148" s="163" t="s">
        <v>114</v>
      </c>
    </row>
    <row r="149" spans="2:24" ht="15" customHeight="1">
      <c r="B149" s="708" t="str">
        <f>A94</f>
        <v>OTHER</v>
      </c>
      <c r="C149" s="708"/>
      <c r="D149" s="277">
        <f>IF(D$113="One-off loss",'Water levels-Business'!D$45,$D138)</f>
        <v>14.655564108947775</v>
      </c>
      <c r="E149" s="277">
        <f>IF(E$113="One-off loss",'Water levels-Business'!E$45,$D138)</f>
        <v>14.655564108947775</v>
      </c>
      <c r="F149" s="277">
        <f>IF(F$113="One-off loss",'Water levels-Business'!F$45,$D138)</f>
        <v>19.958300549651398</v>
      </c>
      <c r="G149" s="277">
        <f>IF(G$113="One-off loss",'Water levels-Business'!G$45,$D138)</f>
        <v>11.739932753517232</v>
      </c>
      <c r="H149" s="277">
        <f>IF(H$113="One-off loss",'Water levels-Business'!H$45,$D138)</f>
        <v>6.367345725379362</v>
      </c>
      <c r="I149" s="277">
        <f>IF(I$113="One-off loss",'Water levels-Business'!I$45,$D138)</f>
        <v>3.0053981072020832</v>
      </c>
      <c r="J149" s="277">
        <f>IF(J$113="One-off loss",'Water levels-Business'!J$45,$D138)</f>
        <v>1.5065823986733475</v>
      </c>
      <c r="K149" s="277">
        <f>IF(K$113="One-off loss",'Water levels-Business'!K$45,$D138)</f>
        <v>0.761057889481286</v>
      </c>
      <c r="L149" s="277">
        <f>IF(L$113="One-off loss",'Water levels-Business'!L$45,$D138)</f>
        <v>0.3565495109751966</v>
      </c>
      <c r="M149" s="277">
        <f>IF(M$113="One-off loss",'Water levels-Business'!M$45,$D138)</f>
        <v>0</v>
      </c>
      <c r="N149" s="163" t="s">
        <v>114</v>
      </c>
      <c r="Q149" s="168"/>
      <c r="R149" s="172"/>
      <c r="S149" s="172"/>
      <c r="T149" s="172"/>
      <c r="U149" s="172"/>
      <c r="V149" s="172"/>
      <c r="W149" s="172"/>
      <c r="X149" s="172"/>
    </row>
    <row r="150" spans="17:24" ht="15">
      <c r="Q150" s="168"/>
      <c r="R150" s="172"/>
      <c r="S150" s="172"/>
      <c r="T150" s="172"/>
      <c r="U150" s="172"/>
      <c r="V150" s="172"/>
      <c r="W150" s="172"/>
      <c r="X150" s="172"/>
    </row>
    <row r="151" spans="4:24" ht="32.25">
      <c r="D151" s="180" t="s">
        <v>287</v>
      </c>
      <c r="E151" s="182" t="s">
        <v>288</v>
      </c>
      <c r="F151" s="182" t="s">
        <v>289</v>
      </c>
      <c r="G151" s="177"/>
      <c r="Q151" s="168"/>
      <c r="R151" s="172"/>
      <c r="S151" s="172"/>
      <c r="T151" s="172"/>
      <c r="U151" s="172"/>
      <c r="V151" s="172"/>
      <c r="W151" s="172"/>
      <c r="X151" s="172"/>
    </row>
    <row r="152" spans="3:24" ht="15">
      <c r="C152" s="171" t="s">
        <v>345</v>
      </c>
      <c r="D152" s="280">
        <f>SUM(D153:D160)</f>
        <v>0</v>
      </c>
      <c r="E152" s="281">
        <f>IF(ISERROR(SUMPRODUCT(E153:E160,G153:G160)),0,SUMPRODUCT(E153:E160,G153:G160))</f>
        <v>0</v>
      </c>
      <c r="F152" s="281">
        <f>SUM(F153:F160)</f>
        <v>0</v>
      </c>
      <c r="G152" s="177"/>
      <c r="Q152" s="168"/>
      <c r="R152" s="172"/>
      <c r="S152" s="172"/>
      <c r="T152" s="172"/>
      <c r="U152" s="172"/>
      <c r="V152" s="172"/>
      <c r="W152" s="172"/>
      <c r="X152" s="172"/>
    </row>
    <row r="153" spans="1:24" ht="15">
      <c r="A153" s="708" t="s">
        <v>134</v>
      </c>
      <c r="B153" s="590"/>
      <c r="C153" s="590"/>
      <c r="D153" s="279">
        <f>SUM(D4:M13)</f>
        <v>0</v>
      </c>
      <c r="E153" s="279">
        <v>10000</v>
      </c>
      <c r="F153" s="557">
        <f>D153*E153</f>
        <v>0</v>
      </c>
      <c r="G153" s="167">
        <f>IF(ISERROR(F153/SUM($F$153:$F$160)),0,F153/SUM($F$153:$F$160))</f>
        <v>0</v>
      </c>
      <c r="H153" s="163" t="s">
        <v>346</v>
      </c>
      <c r="Q153" s="168"/>
      <c r="R153" s="172"/>
      <c r="S153" s="172"/>
      <c r="T153" s="172"/>
      <c r="U153" s="172"/>
      <c r="V153" s="172"/>
      <c r="W153" s="172"/>
      <c r="X153" s="172"/>
    </row>
    <row r="154" spans="1:24" ht="15">
      <c r="A154" s="708" t="s">
        <v>135</v>
      </c>
      <c r="B154" s="590"/>
      <c r="C154" s="590"/>
      <c r="D154" s="279">
        <f>SUM(D17:M26)</f>
        <v>0</v>
      </c>
      <c r="E154" s="279">
        <v>10000</v>
      </c>
      <c r="F154" s="557">
        <f>D154*E154</f>
        <v>0</v>
      </c>
      <c r="G154" s="167">
        <f aca="true" t="shared" si="7" ref="G154:G160">IF(ISERROR(F154/SUM($F$153:$F$160)),0,F154/SUM($F$153:$F$160))</f>
        <v>0</v>
      </c>
      <c r="H154" s="163" t="s">
        <v>117</v>
      </c>
      <c r="I154" s="167"/>
      <c r="J154" s="167"/>
      <c r="Q154" s="168"/>
      <c r="R154" s="172"/>
      <c r="S154" s="172"/>
      <c r="T154" s="172"/>
      <c r="U154" s="172"/>
      <c r="V154" s="172"/>
      <c r="W154" s="172"/>
      <c r="X154" s="172"/>
    </row>
    <row r="155" spans="2:24" ht="15">
      <c r="B155" s="708" t="s">
        <v>136</v>
      </c>
      <c r="C155" s="708"/>
      <c r="D155" s="279">
        <f>SUM(D30:M39)</f>
        <v>0</v>
      </c>
      <c r="E155" s="279">
        <v>250</v>
      </c>
      <c r="F155" s="557">
        <f>D155*E155</f>
        <v>0</v>
      </c>
      <c r="G155" s="167">
        <f t="shared" si="7"/>
        <v>0</v>
      </c>
      <c r="H155" s="163" t="s">
        <v>121</v>
      </c>
      <c r="I155" s="167"/>
      <c r="J155" s="167"/>
      <c r="Q155" s="168"/>
      <c r="R155" s="172"/>
      <c r="S155" s="172"/>
      <c r="T155" s="172"/>
      <c r="U155" s="172"/>
      <c r="V155" s="172"/>
      <c r="W155" s="172"/>
      <c r="X155" s="172"/>
    </row>
    <row r="156" spans="1:24" ht="15">
      <c r="A156" s="708" t="s">
        <v>342</v>
      </c>
      <c r="B156" s="590"/>
      <c r="C156" s="590"/>
      <c r="D156" s="279">
        <f>SUM(D43:M52)</f>
        <v>0</v>
      </c>
      <c r="E156" s="279">
        <v>250</v>
      </c>
      <c r="F156" s="557">
        <f aca="true" t="shared" si="8" ref="F156:F157">D156*E156</f>
        <v>0</v>
      </c>
      <c r="G156" s="167">
        <f t="shared" si="7"/>
        <v>0</v>
      </c>
      <c r="H156" s="163" t="s">
        <v>121</v>
      </c>
      <c r="I156" s="167"/>
      <c r="J156" s="167"/>
      <c r="Q156" s="168"/>
      <c r="R156" s="172"/>
      <c r="S156" s="172"/>
      <c r="T156" s="172"/>
      <c r="U156" s="172"/>
      <c r="V156" s="172"/>
      <c r="W156" s="172"/>
      <c r="X156" s="172"/>
    </row>
    <row r="157" spans="2:24" ht="15">
      <c r="B157" s="708" t="s">
        <v>343</v>
      </c>
      <c r="C157" s="708"/>
      <c r="D157" s="279">
        <f>SUM(D56:M65)</f>
        <v>0</v>
      </c>
      <c r="E157" s="279">
        <v>10000</v>
      </c>
      <c r="F157" s="557">
        <f t="shared" si="8"/>
        <v>0</v>
      </c>
      <c r="G157" s="167">
        <f t="shared" si="7"/>
        <v>0</v>
      </c>
      <c r="H157" s="163" t="s">
        <v>117</v>
      </c>
      <c r="I157" s="167"/>
      <c r="J157" s="167"/>
      <c r="Q157" s="168"/>
      <c r="R157" s="172"/>
      <c r="S157" s="172"/>
      <c r="T157" s="172"/>
      <c r="U157" s="172"/>
      <c r="V157" s="172"/>
      <c r="W157" s="172"/>
      <c r="X157" s="172"/>
    </row>
    <row r="158" spans="2:24" ht="15">
      <c r="B158" s="708" t="s">
        <v>699</v>
      </c>
      <c r="C158" s="710"/>
      <c r="D158" s="279">
        <f>SUM(D69:M78)</f>
        <v>0</v>
      </c>
      <c r="E158" s="279">
        <v>10000</v>
      </c>
      <c r="F158" s="557">
        <f>D158*E158</f>
        <v>0</v>
      </c>
      <c r="G158" s="167">
        <f t="shared" si="7"/>
        <v>0</v>
      </c>
      <c r="H158" s="163" t="s">
        <v>117</v>
      </c>
      <c r="I158" s="167"/>
      <c r="J158" s="167"/>
      <c r="R158" s="172"/>
      <c r="S158" s="172"/>
      <c r="T158" s="172"/>
      <c r="U158" s="172"/>
      <c r="V158" s="172"/>
      <c r="W158" s="172"/>
      <c r="X158" s="172"/>
    </row>
    <row r="159" spans="2:24" ht="15" customHeight="1">
      <c r="B159" s="708" t="s">
        <v>137</v>
      </c>
      <c r="C159" s="708"/>
      <c r="D159" s="279">
        <f>SUM(D82:M91)</f>
        <v>0</v>
      </c>
      <c r="E159" s="279">
        <v>10000</v>
      </c>
      <c r="F159" s="557">
        <f aca="true" t="shared" si="9" ref="F159">D159*E159</f>
        <v>0</v>
      </c>
      <c r="G159" s="167">
        <f t="shared" si="7"/>
        <v>0</v>
      </c>
      <c r="H159" s="163" t="s">
        <v>117</v>
      </c>
      <c r="I159" s="167"/>
      <c r="J159" s="167"/>
      <c r="R159" s="172"/>
      <c r="S159" s="172"/>
      <c r="T159" s="172"/>
      <c r="U159" s="172"/>
      <c r="V159" s="172"/>
      <c r="W159" s="172"/>
      <c r="X159" s="172"/>
    </row>
    <row r="160" spans="2:24" ht="15">
      <c r="B160" s="708" t="str">
        <f>A94</f>
        <v>OTHER</v>
      </c>
      <c r="C160" s="708"/>
      <c r="D160" s="279">
        <f>SUM(D95:M104)</f>
        <v>0</v>
      </c>
      <c r="E160" s="183">
        <v>10000</v>
      </c>
      <c r="F160" s="557">
        <f>D160*E160</f>
        <v>0</v>
      </c>
      <c r="G160" s="167">
        <f t="shared" si="7"/>
        <v>0</v>
      </c>
      <c r="I160" s="167"/>
      <c r="J160" s="167"/>
      <c r="R160" s="172"/>
      <c r="S160" s="172"/>
      <c r="T160" s="172"/>
      <c r="U160" s="172"/>
      <c r="V160" s="172"/>
      <c r="W160" s="172"/>
      <c r="X160" s="172"/>
    </row>
    <row r="161" spans="3:24" ht="15">
      <c r="C161" s="171"/>
      <c r="D161" s="171"/>
      <c r="R161" s="172"/>
      <c r="S161" s="172"/>
      <c r="T161" s="172"/>
      <c r="U161" s="172"/>
      <c r="V161" s="172"/>
      <c r="W161" s="172"/>
      <c r="X161" s="172"/>
    </row>
    <row r="162" spans="5:6" ht="15">
      <c r="E162" s="163" t="s">
        <v>262</v>
      </c>
      <c r="F162" s="163" t="s">
        <v>276</v>
      </c>
    </row>
    <row r="163" spans="1:13" ht="30" customHeight="1">
      <c r="A163" s="706" t="s">
        <v>596</v>
      </c>
      <c r="B163" s="590"/>
      <c r="C163" s="590"/>
      <c r="D163" s="169">
        <v>1</v>
      </c>
      <c r="E163" s="169">
        <v>0.5</v>
      </c>
      <c r="F163" s="169">
        <v>0.2</v>
      </c>
      <c r="G163" s="169">
        <v>0.1</v>
      </c>
      <c r="H163" s="169">
        <v>0.04</v>
      </c>
      <c r="I163" s="169">
        <v>0.02</v>
      </c>
      <c r="J163" s="407">
        <v>0.0133</v>
      </c>
      <c r="K163" s="169">
        <v>0.01</v>
      </c>
      <c r="L163" s="170">
        <v>0.005</v>
      </c>
      <c r="M163" s="170">
        <v>0.001</v>
      </c>
    </row>
    <row r="164" spans="3:15" ht="15">
      <c r="C164" s="169">
        <v>1</v>
      </c>
      <c r="D164" s="557">
        <f aca="true" t="shared" si="10" ref="D164:D173">D4*$E$153+D17*$E$154+D30*$E$155+D43*$E$156+D56*$E$157+D69*$E$158+D82*$E$159+D95*$E$160</f>
        <v>0</v>
      </c>
      <c r="E164" s="557">
        <f aca="true" t="shared" si="11" ref="E164:M164">E4*$E$153+E17*$E$154+E30*$E$155+E43*$E$156+E56*$E$157+E69*$E$158+E82*$E$159+E95*$E$160</f>
        <v>0</v>
      </c>
      <c r="F164" s="557">
        <f t="shared" si="11"/>
        <v>0</v>
      </c>
      <c r="G164" s="557">
        <f t="shared" si="11"/>
        <v>0</v>
      </c>
      <c r="H164" s="557">
        <f t="shared" si="11"/>
        <v>0</v>
      </c>
      <c r="I164" s="557">
        <f t="shared" si="11"/>
        <v>0</v>
      </c>
      <c r="J164" s="557">
        <f t="shared" si="11"/>
        <v>0</v>
      </c>
      <c r="K164" s="557">
        <f t="shared" si="11"/>
        <v>0</v>
      </c>
      <c r="L164" s="557">
        <f t="shared" si="11"/>
        <v>0</v>
      </c>
      <c r="M164" s="557">
        <f t="shared" si="11"/>
        <v>0</v>
      </c>
      <c r="O164" s="163" t="s">
        <v>291</v>
      </c>
    </row>
    <row r="165" spans="2:15" ht="15">
      <c r="B165" s="591" t="s">
        <v>295</v>
      </c>
      <c r="C165" s="169">
        <v>0.5</v>
      </c>
      <c r="D165" s="557">
        <f t="shared" si="10"/>
        <v>0</v>
      </c>
      <c r="E165" s="557">
        <f aca="true" t="shared" si="12" ref="E165:M165">E5*$E$153+E18*$E$154+E31*$E$155+E44*$E$156+E57*$E$157+E70*$E$158+E83*$E$159+E96*$E$160</f>
        <v>0</v>
      </c>
      <c r="F165" s="557">
        <f t="shared" si="12"/>
        <v>0</v>
      </c>
      <c r="G165" s="557">
        <f t="shared" si="12"/>
        <v>0</v>
      </c>
      <c r="H165" s="557">
        <f t="shared" si="12"/>
        <v>0</v>
      </c>
      <c r="I165" s="557">
        <f t="shared" si="12"/>
        <v>0</v>
      </c>
      <c r="J165" s="557">
        <f t="shared" si="12"/>
        <v>0</v>
      </c>
      <c r="K165" s="557">
        <f t="shared" si="12"/>
        <v>0</v>
      </c>
      <c r="L165" s="557">
        <f t="shared" si="12"/>
        <v>0</v>
      </c>
      <c r="M165" s="557">
        <f t="shared" si="12"/>
        <v>0</v>
      </c>
      <c r="O165" s="163" t="s">
        <v>293</v>
      </c>
    </row>
    <row r="166" spans="2:15" ht="17.25">
      <c r="B166" s="592"/>
      <c r="C166" s="169">
        <v>0.2</v>
      </c>
      <c r="D166" s="557">
        <f t="shared" si="10"/>
        <v>0</v>
      </c>
      <c r="E166" s="557">
        <f aca="true" t="shared" si="13" ref="E166:M166">E6*$E$153+E19*$E$154+E32*$E$155+E45*$E$156+E58*$E$157+E71*$E$158+E84*$E$159+E97*$E$160</f>
        <v>0</v>
      </c>
      <c r="F166" s="557">
        <f t="shared" si="13"/>
        <v>0</v>
      </c>
      <c r="G166" s="557">
        <f t="shared" si="13"/>
        <v>0</v>
      </c>
      <c r="H166" s="557">
        <f t="shared" si="13"/>
        <v>0</v>
      </c>
      <c r="I166" s="557">
        <f t="shared" si="13"/>
        <v>0</v>
      </c>
      <c r="J166" s="557">
        <f t="shared" si="13"/>
        <v>0</v>
      </c>
      <c r="K166" s="557">
        <f t="shared" si="13"/>
        <v>0</v>
      </c>
      <c r="L166" s="557">
        <f t="shared" si="13"/>
        <v>0</v>
      </c>
      <c r="M166" s="557">
        <f t="shared" si="13"/>
        <v>0</v>
      </c>
      <c r="O166" s="163" t="s">
        <v>981</v>
      </c>
    </row>
    <row r="167" spans="3:15" ht="15">
      <c r="C167" s="169">
        <v>0.1</v>
      </c>
      <c r="D167" s="557">
        <f t="shared" si="10"/>
        <v>0</v>
      </c>
      <c r="E167" s="557">
        <f aca="true" t="shared" si="14" ref="E167:M167">E7*$E$153+E20*$E$154+E33*$E$155+E46*$E$156+E59*$E$157+E72*$E$158+E85*$E$159+E98*$E$160</f>
        <v>0</v>
      </c>
      <c r="F167" s="557">
        <f t="shared" si="14"/>
        <v>0</v>
      </c>
      <c r="G167" s="557">
        <f t="shared" si="14"/>
        <v>0</v>
      </c>
      <c r="H167" s="557">
        <f t="shared" si="14"/>
        <v>0</v>
      </c>
      <c r="I167" s="557">
        <f t="shared" si="14"/>
        <v>0</v>
      </c>
      <c r="J167" s="557">
        <f t="shared" si="14"/>
        <v>0</v>
      </c>
      <c r="K167" s="557">
        <f t="shared" si="14"/>
        <v>0</v>
      </c>
      <c r="L167" s="557">
        <f t="shared" si="14"/>
        <v>0</v>
      </c>
      <c r="M167" s="557">
        <f t="shared" si="14"/>
        <v>0</v>
      </c>
      <c r="O167" s="163" t="s">
        <v>297</v>
      </c>
    </row>
    <row r="168" spans="3:15" ht="15">
      <c r="C168" s="169">
        <v>0.04</v>
      </c>
      <c r="D168" s="557">
        <f t="shared" si="10"/>
        <v>0</v>
      </c>
      <c r="E168" s="557">
        <f aca="true" t="shared" si="15" ref="E168:M168">E8*$E$153+E21*$E$154+E34*$E$155+E47*$E$156+E60*$E$157+E73*$E$158+E86*$E$159+E99*$E$160</f>
        <v>0</v>
      </c>
      <c r="F168" s="557">
        <f t="shared" si="15"/>
        <v>0</v>
      </c>
      <c r="G168" s="557">
        <f t="shared" si="15"/>
        <v>0</v>
      </c>
      <c r="H168" s="557">
        <f t="shared" si="15"/>
        <v>0</v>
      </c>
      <c r="I168" s="557">
        <f t="shared" si="15"/>
        <v>0</v>
      </c>
      <c r="J168" s="557">
        <f t="shared" si="15"/>
        <v>0</v>
      </c>
      <c r="K168" s="557">
        <f t="shared" si="15"/>
        <v>0</v>
      </c>
      <c r="L168" s="557">
        <f t="shared" si="15"/>
        <v>0</v>
      </c>
      <c r="M168" s="557">
        <f t="shared" si="15"/>
        <v>0</v>
      </c>
      <c r="O168" s="163" t="s">
        <v>971</v>
      </c>
    </row>
    <row r="169" spans="3:13" ht="15">
      <c r="C169" s="169">
        <v>0.02</v>
      </c>
      <c r="D169" s="557">
        <f t="shared" si="10"/>
        <v>0</v>
      </c>
      <c r="E169" s="557">
        <f aca="true" t="shared" si="16" ref="E169:M169">E9*$E$153+E22*$E$154+E35*$E$155+E48*$E$156+E61*$E$157+E74*$E$158+E87*$E$159+E100*$E$160</f>
        <v>0</v>
      </c>
      <c r="F169" s="557">
        <f t="shared" si="16"/>
        <v>0</v>
      </c>
      <c r="G169" s="557">
        <f t="shared" si="16"/>
        <v>0</v>
      </c>
      <c r="H169" s="557">
        <f t="shared" si="16"/>
        <v>0</v>
      </c>
      <c r="I169" s="557">
        <f t="shared" si="16"/>
        <v>0</v>
      </c>
      <c r="J169" s="557">
        <f t="shared" si="16"/>
        <v>0</v>
      </c>
      <c r="K169" s="557">
        <f t="shared" si="16"/>
        <v>0</v>
      </c>
      <c r="L169" s="557">
        <f t="shared" si="16"/>
        <v>0</v>
      </c>
      <c r="M169" s="557">
        <f t="shared" si="16"/>
        <v>0</v>
      </c>
    </row>
    <row r="170" spans="3:13" ht="15">
      <c r="C170" s="407">
        <v>0.0133</v>
      </c>
      <c r="D170" s="557">
        <f t="shared" si="10"/>
        <v>0</v>
      </c>
      <c r="E170" s="557">
        <f aca="true" t="shared" si="17" ref="E170:M170">E10*$E$153+E23*$E$154+E36*$E$155+E49*$E$156+E62*$E$157+E75*$E$158+E88*$E$159+E101*$E$160</f>
        <v>0</v>
      </c>
      <c r="F170" s="557">
        <f t="shared" si="17"/>
        <v>0</v>
      </c>
      <c r="G170" s="557">
        <f t="shared" si="17"/>
        <v>0</v>
      </c>
      <c r="H170" s="557">
        <f t="shared" si="17"/>
        <v>0</v>
      </c>
      <c r="I170" s="557">
        <f t="shared" si="17"/>
        <v>0</v>
      </c>
      <c r="J170" s="557">
        <f t="shared" si="17"/>
        <v>0</v>
      </c>
      <c r="K170" s="557">
        <f t="shared" si="17"/>
        <v>0</v>
      </c>
      <c r="L170" s="557">
        <f t="shared" si="17"/>
        <v>0</v>
      </c>
      <c r="M170" s="557">
        <f t="shared" si="17"/>
        <v>0</v>
      </c>
    </row>
    <row r="171" spans="3:13" ht="15">
      <c r="C171" s="169">
        <v>0.01</v>
      </c>
      <c r="D171" s="557">
        <f t="shared" si="10"/>
        <v>0</v>
      </c>
      <c r="E171" s="557">
        <f aca="true" t="shared" si="18" ref="E171:M171">E11*$E$153+E24*$E$154+E37*$E$155+E50*$E$156+E63*$E$157+E76*$E$158+E89*$E$159+E102*$E$160</f>
        <v>0</v>
      </c>
      <c r="F171" s="557">
        <f t="shared" si="18"/>
        <v>0</v>
      </c>
      <c r="G171" s="557">
        <f t="shared" si="18"/>
        <v>0</v>
      </c>
      <c r="H171" s="557">
        <f t="shared" si="18"/>
        <v>0</v>
      </c>
      <c r="I171" s="557">
        <f t="shared" si="18"/>
        <v>0</v>
      </c>
      <c r="J171" s="557">
        <f t="shared" si="18"/>
        <v>0</v>
      </c>
      <c r="K171" s="557">
        <f t="shared" si="18"/>
        <v>0</v>
      </c>
      <c r="L171" s="557">
        <f t="shared" si="18"/>
        <v>0</v>
      </c>
      <c r="M171" s="557">
        <f t="shared" si="18"/>
        <v>0</v>
      </c>
    </row>
    <row r="172" spans="3:13" ht="15">
      <c r="C172" s="170">
        <v>0.005</v>
      </c>
      <c r="D172" s="557">
        <f t="shared" si="10"/>
        <v>0</v>
      </c>
      <c r="E172" s="557">
        <f aca="true" t="shared" si="19" ref="E172:M172">E12*$E$153+E25*$E$154+E38*$E$155+E51*$E$156+E64*$E$157+E77*$E$158+E90*$E$159+E103*$E$160</f>
        <v>0</v>
      </c>
      <c r="F172" s="557">
        <f t="shared" si="19"/>
        <v>0</v>
      </c>
      <c r="G172" s="557">
        <f t="shared" si="19"/>
        <v>0</v>
      </c>
      <c r="H172" s="557">
        <f t="shared" si="19"/>
        <v>0</v>
      </c>
      <c r="I172" s="557">
        <f t="shared" si="19"/>
        <v>0</v>
      </c>
      <c r="J172" s="557">
        <f t="shared" si="19"/>
        <v>0</v>
      </c>
      <c r="K172" s="557">
        <f t="shared" si="19"/>
        <v>0</v>
      </c>
      <c r="L172" s="557">
        <f t="shared" si="19"/>
        <v>0</v>
      </c>
      <c r="M172" s="557">
        <f t="shared" si="19"/>
        <v>0</v>
      </c>
    </row>
    <row r="173" spans="3:13" ht="15">
      <c r="C173" s="170">
        <v>0.001</v>
      </c>
      <c r="D173" s="557">
        <f t="shared" si="10"/>
        <v>0</v>
      </c>
      <c r="E173" s="557">
        <f aca="true" t="shared" si="20" ref="E173:M173">E13*$E$153+E26*$E$154+E39*$E$155+E52*$E$156+E65*$E$157+E78*$E$158+E91*$E$159+E104*$E$160</f>
        <v>0</v>
      </c>
      <c r="F173" s="557">
        <f t="shared" si="20"/>
        <v>0</v>
      </c>
      <c r="G173" s="557">
        <f t="shared" si="20"/>
        <v>0</v>
      </c>
      <c r="H173" s="557">
        <f t="shared" si="20"/>
        <v>0</v>
      </c>
      <c r="I173" s="557">
        <f t="shared" si="20"/>
        <v>0</v>
      </c>
      <c r="J173" s="557">
        <f t="shared" si="20"/>
        <v>0</v>
      </c>
      <c r="K173" s="557">
        <f t="shared" si="20"/>
        <v>0</v>
      </c>
      <c r="L173" s="557">
        <f t="shared" si="20"/>
        <v>0</v>
      </c>
      <c r="M173" s="557">
        <f t="shared" si="20"/>
        <v>0</v>
      </c>
    </row>
    <row r="174" spans="5:24" ht="15">
      <c r="E174" s="163" t="s">
        <v>262</v>
      </c>
      <c r="F174" s="163" t="s">
        <v>280</v>
      </c>
      <c r="R174" s="168"/>
      <c r="S174" s="168"/>
      <c r="T174" s="168"/>
      <c r="U174" s="168"/>
      <c r="V174" s="168"/>
      <c r="W174" s="168"/>
      <c r="X174" s="168"/>
    </row>
    <row r="175" spans="1:13" ht="15">
      <c r="A175" s="711" t="s">
        <v>345</v>
      </c>
      <c r="B175" s="590"/>
      <c r="C175" s="590"/>
      <c r="D175" s="169">
        <v>1</v>
      </c>
      <c r="E175" s="169">
        <v>0.5</v>
      </c>
      <c r="F175" s="169">
        <v>0.2</v>
      </c>
      <c r="G175" s="169">
        <v>0.1</v>
      </c>
      <c r="H175" s="169">
        <v>0.04</v>
      </c>
      <c r="I175" s="169">
        <v>0.02</v>
      </c>
      <c r="J175" s="407">
        <v>0.0133</v>
      </c>
      <c r="K175" s="169">
        <v>0.01</v>
      </c>
      <c r="L175" s="170">
        <v>0.005</v>
      </c>
      <c r="M175" s="170">
        <v>0.001</v>
      </c>
    </row>
    <row r="176" spans="3:14" ht="17.25">
      <c r="C176" s="169">
        <v>1</v>
      </c>
      <c r="D176" s="173">
        <f>IF($D141-D141&lt;0,0,$D141-D141)</f>
        <v>0</v>
      </c>
      <c r="E176" s="173">
        <f aca="true" t="shared" si="21" ref="E176:M176">IF($D141-E141&lt;0,0,$D141-E141)</f>
        <v>0</v>
      </c>
      <c r="F176" s="173">
        <f t="shared" si="21"/>
        <v>0</v>
      </c>
      <c r="G176" s="173">
        <f t="shared" si="21"/>
        <v>2.915631355430543</v>
      </c>
      <c r="H176" s="173">
        <f t="shared" si="21"/>
        <v>8.288218383568413</v>
      </c>
      <c r="I176" s="173">
        <f t="shared" si="21"/>
        <v>11.650166001745692</v>
      </c>
      <c r="J176" s="173">
        <f t="shared" si="21"/>
        <v>13.148981710274427</v>
      </c>
      <c r="K176" s="173">
        <f t="shared" si="21"/>
        <v>13.89450621946649</v>
      </c>
      <c r="L176" s="173">
        <f t="shared" si="21"/>
        <v>14.29901459797258</v>
      </c>
      <c r="M176" s="173">
        <f t="shared" si="21"/>
        <v>14.655564108947775</v>
      </c>
      <c r="N176" s="163" t="s">
        <v>321</v>
      </c>
    </row>
    <row r="177" spans="2:13" ht="15">
      <c r="B177" s="163" t="s">
        <v>261</v>
      </c>
      <c r="C177" s="169">
        <v>0.5</v>
      </c>
      <c r="D177" s="173">
        <f>IF($E141-D141&gt;0,0,$E141-D141)</f>
        <v>0</v>
      </c>
      <c r="E177" s="173">
        <f aca="true" t="shared" si="22" ref="E177">$E142-E142</f>
        <v>0</v>
      </c>
      <c r="F177" s="173">
        <f>IF($E141-F141&lt;0,0,$E141-F141)</f>
        <v>0</v>
      </c>
      <c r="G177" s="173">
        <f aca="true" t="shared" si="23" ref="G177:M177">IF($E141-G141&lt;0,0,$E141-G141)</f>
        <v>2.915631355430543</v>
      </c>
      <c r="H177" s="173">
        <f t="shared" si="23"/>
        <v>8.288218383568413</v>
      </c>
      <c r="I177" s="173">
        <f t="shared" si="23"/>
        <v>11.650166001745692</v>
      </c>
      <c r="J177" s="173">
        <f t="shared" si="23"/>
        <v>13.148981710274427</v>
      </c>
      <c r="K177" s="173">
        <f t="shared" si="23"/>
        <v>13.89450621946649</v>
      </c>
      <c r="L177" s="173">
        <f t="shared" si="23"/>
        <v>14.29901459797258</v>
      </c>
      <c r="M177" s="173">
        <f t="shared" si="23"/>
        <v>14.655564108947775</v>
      </c>
    </row>
    <row r="178" spans="2:13" ht="15">
      <c r="B178" s="700" t="s">
        <v>281</v>
      </c>
      <c r="C178" s="169">
        <v>0.2</v>
      </c>
      <c r="D178" s="173">
        <f>IF($F141-D141&gt;0,0,$F141-D141)</f>
        <v>0</v>
      </c>
      <c r="E178" s="173">
        <f>IF($F141-E141&gt;0,0,$F141-E141)</f>
        <v>0</v>
      </c>
      <c r="F178" s="173">
        <f aca="true" t="shared" si="24" ref="F178">$F142-F142</f>
        <v>0</v>
      </c>
      <c r="G178" s="173">
        <f>IF($F141-G141&lt;0,0,$F141-G141)</f>
        <v>8.218367796134165</v>
      </c>
      <c r="H178" s="173">
        <f aca="true" t="shared" si="25" ref="H178:M178">IF($F141-H141&lt;0,0,$F141-H141)</f>
        <v>13.590954824272035</v>
      </c>
      <c r="I178" s="173">
        <f t="shared" si="25"/>
        <v>16.952902442449314</v>
      </c>
      <c r="J178" s="173">
        <f t="shared" si="25"/>
        <v>18.45171815097805</v>
      </c>
      <c r="K178" s="173">
        <f t="shared" si="25"/>
        <v>19.19724266017011</v>
      </c>
      <c r="L178" s="173">
        <f t="shared" si="25"/>
        <v>19.601751038676202</v>
      </c>
      <c r="M178" s="173">
        <f t="shared" si="25"/>
        <v>19.958300549651398</v>
      </c>
    </row>
    <row r="179" spans="2:13" ht="15">
      <c r="B179" s="701"/>
      <c r="C179" s="169">
        <v>0.1</v>
      </c>
      <c r="D179" s="173">
        <f>IF($G141-D141&gt;0,0,$G141-D141)</f>
        <v>-2.915631355430543</v>
      </c>
      <c r="E179" s="173">
        <f aca="true" t="shared" si="26" ref="E179:F179">IF($G141-E141&gt;0,0,$G141-E141)</f>
        <v>-2.915631355430543</v>
      </c>
      <c r="F179" s="173">
        <f t="shared" si="26"/>
        <v>-8.218367796134165</v>
      </c>
      <c r="G179" s="173">
        <f>$G141-G141</f>
        <v>0</v>
      </c>
      <c r="H179" s="173">
        <f>IF($G141-H141&lt;0,0,$G141-H141)</f>
        <v>5.37258702813787</v>
      </c>
      <c r="I179" s="173">
        <f aca="true" t="shared" si="27" ref="I179:M179">IF($G141-I141&lt;0,0,$G141-I141)</f>
        <v>8.734534646315149</v>
      </c>
      <c r="J179" s="173">
        <f t="shared" si="27"/>
        <v>10.233350354843886</v>
      </c>
      <c r="K179" s="173">
        <f t="shared" si="27"/>
        <v>10.978874864035946</v>
      </c>
      <c r="L179" s="173">
        <f t="shared" si="27"/>
        <v>11.383383242542035</v>
      </c>
      <c r="M179" s="173">
        <f t="shared" si="27"/>
        <v>11.739932753517232</v>
      </c>
    </row>
    <row r="180" spans="2:13" ht="15">
      <c r="B180" s="701"/>
      <c r="C180" s="169">
        <v>0.04</v>
      </c>
      <c r="D180" s="173">
        <f>IF($H141-D141&gt;0,0,$H141-D141)</f>
        <v>-8.288218383568413</v>
      </c>
      <c r="E180" s="173">
        <f aca="true" t="shared" si="28" ref="E180:H180">IF($H141-E141&gt;0,0,$H141-E141)</f>
        <v>-8.288218383568413</v>
      </c>
      <c r="F180" s="173">
        <f t="shared" si="28"/>
        <v>-13.590954824272035</v>
      </c>
      <c r="G180" s="173">
        <f t="shared" si="28"/>
        <v>-5.37258702813787</v>
      </c>
      <c r="H180" s="173">
        <f t="shared" si="28"/>
        <v>0</v>
      </c>
      <c r="I180" s="173">
        <f>IF($H141-I141&lt;0,0,$H141-I141)</f>
        <v>3.361947618177279</v>
      </c>
      <c r="J180" s="173">
        <f aca="true" t="shared" si="29" ref="J180:M180">IF($H141-J141&lt;0,0,$H141-J141)</f>
        <v>4.860763326706015</v>
      </c>
      <c r="K180" s="173">
        <f t="shared" si="29"/>
        <v>5.606287835898076</v>
      </c>
      <c r="L180" s="173">
        <f t="shared" si="29"/>
        <v>6.010796214404166</v>
      </c>
      <c r="M180" s="173">
        <f t="shared" si="29"/>
        <v>6.367345725379362</v>
      </c>
    </row>
    <row r="181" spans="2:13" ht="15">
      <c r="B181" s="701"/>
      <c r="C181" s="169">
        <v>0.02</v>
      </c>
      <c r="D181" s="173">
        <f>IF($I141-D141&gt;0,0,$I141-D141)</f>
        <v>-11.650166001745692</v>
      </c>
      <c r="E181" s="173">
        <f aca="true" t="shared" si="30" ref="E181:H181">IF($I141-E141&gt;0,0,$I141-E141)</f>
        <v>-11.650166001745692</v>
      </c>
      <c r="F181" s="173">
        <f t="shared" si="30"/>
        <v>-16.952902442449314</v>
      </c>
      <c r="G181" s="173">
        <f t="shared" si="30"/>
        <v>-8.734534646315149</v>
      </c>
      <c r="H181" s="173">
        <f t="shared" si="30"/>
        <v>-3.361947618177279</v>
      </c>
      <c r="I181" s="173">
        <f>$I141-I141</f>
        <v>0</v>
      </c>
      <c r="J181" s="173">
        <f>IF($I141-J141&lt;0,0,$I141-J141)</f>
        <v>1.4988157085287357</v>
      </c>
      <c r="K181" s="173">
        <f aca="true" t="shared" si="31" ref="K181:M181">IF($I141-K141&lt;0,0,$I141-K141)</f>
        <v>2.244340217720797</v>
      </c>
      <c r="L181" s="173">
        <f t="shared" si="31"/>
        <v>2.6488485962268866</v>
      </c>
      <c r="M181" s="173">
        <f t="shared" si="31"/>
        <v>3.0053981072020832</v>
      </c>
    </row>
    <row r="182" spans="2:13" ht="15">
      <c r="B182" s="701"/>
      <c r="C182" s="407">
        <v>0.0133</v>
      </c>
      <c r="D182" s="173">
        <f>IF($J141-D141&gt;0,0,$J141-D141)</f>
        <v>-13.148981710274427</v>
      </c>
      <c r="E182" s="173">
        <f aca="true" t="shared" si="32" ref="E182:I182">IF($J141-E141&gt;0,0,$J141-E141)</f>
        <v>-13.148981710274427</v>
      </c>
      <c r="F182" s="173">
        <f t="shared" si="32"/>
        <v>-18.45171815097805</v>
      </c>
      <c r="G182" s="173">
        <f t="shared" si="32"/>
        <v>-10.233350354843886</v>
      </c>
      <c r="H182" s="173">
        <f t="shared" si="32"/>
        <v>-4.860763326706015</v>
      </c>
      <c r="I182" s="173">
        <f t="shared" si="32"/>
        <v>-1.4988157085287357</v>
      </c>
      <c r="J182" s="173">
        <f>$J141-J141</f>
        <v>0</v>
      </c>
      <c r="K182" s="173">
        <f>IF($J141-K141&lt;0,0,$J141-K141)</f>
        <v>0.7455245091920615</v>
      </c>
      <c r="L182" s="173">
        <f aca="true" t="shared" si="33" ref="L182:M182">IF($J141-L141&lt;0,0,$J141-L141)</f>
        <v>1.150032887698151</v>
      </c>
      <c r="M182" s="173">
        <f t="shared" si="33"/>
        <v>1.5065823986733475</v>
      </c>
    </row>
    <row r="183" spans="2:13" ht="15">
      <c r="B183" s="701"/>
      <c r="C183" s="169">
        <v>0.01</v>
      </c>
      <c r="D183" s="173">
        <f>IF($K141-D141&gt;0,0,$K141-D141)</f>
        <v>-13.89450621946649</v>
      </c>
      <c r="E183" s="173">
        <f aca="true" t="shared" si="34" ref="E183:J183">IF($K141-E141&gt;0,0,$K141-E141)</f>
        <v>-13.89450621946649</v>
      </c>
      <c r="F183" s="173">
        <f t="shared" si="34"/>
        <v>-19.19724266017011</v>
      </c>
      <c r="G183" s="173">
        <f t="shared" si="34"/>
        <v>-10.978874864035946</v>
      </c>
      <c r="H183" s="173">
        <f t="shared" si="34"/>
        <v>-5.606287835898076</v>
      </c>
      <c r="I183" s="173">
        <f t="shared" si="34"/>
        <v>-2.244340217720797</v>
      </c>
      <c r="J183" s="173">
        <f t="shared" si="34"/>
        <v>-0.7455245091920615</v>
      </c>
      <c r="K183" s="173">
        <f>$K141-K141</f>
        <v>0</v>
      </c>
      <c r="L183" s="173">
        <f>IF($K141-L141&lt;0,0,$K141-L141)</f>
        <v>0.40450837850608945</v>
      </c>
      <c r="M183" s="173">
        <f>IF($K141-M141&lt;0,0,$K141-M141)</f>
        <v>0.761057889481286</v>
      </c>
    </row>
    <row r="184" spans="2:13" ht="15">
      <c r="B184" s="701"/>
      <c r="C184" s="170">
        <v>0.005</v>
      </c>
      <c r="D184" s="173">
        <f>IF($L141-D141&gt;0,0,$L141-D141)</f>
        <v>-14.29901459797258</v>
      </c>
      <c r="E184" s="173">
        <f aca="true" t="shared" si="35" ref="E184:K184">IF($L141-E141&gt;0,0,$L141-E141)</f>
        <v>-14.29901459797258</v>
      </c>
      <c r="F184" s="173">
        <f t="shared" si="35"/>
        <v>-19.601751038676202</v>
      </c>
      <c r="G184" s="173">
        <f t="shared" si="35"/>
        <v>-11.383383242542035</v>
      </c>
      <c r="H184" s="173">
        <f t="shared" si="35"/>
        <v>-6.010796214404166</v>
      </c>
      <c r="I184" s="173">
        <f t="shared" si="35"/>
        <v>-2.6488485962268866</v>
      </c>
      <c r="J184" s="173">
        <f t="shared" si="35"/>
        <v>-1.150032887698151</v>
      </c>
      <c r="K184" s="173">
        <f t="shared" si="35"/>
        <v>-0.40450837850608945</v>
      </c>
      <c r="L184" s="173">
        <f>$L141-L141</f>
        <v>0</v>
      </c>
      <c r="M184" s="173">
        <f>IF($L141-M141&lt;0,0,$L141-M141)</f>
        <v>0.3565495109751966</v>
      </c>
    </row>
    <row r="185" spans="2:13" ht="15">
      <c r="B185" s="701"/>
      <c r="C185" s="170">
        <v>0.001</v>
      </c>
      <c r="D185" s="173">
        <f>IF($M141-D141&gt;0,0,$M141-D141)</f>
        <v>-14.655564108947775</v>
      </c>
      <c r="E185" s="173">
        <f aca="true" t="shared" si="36" ref="E185:L185">IF($M141-E141&gt;0,0,$M141-E141)</f>
        <v>-14.655564108947775</v>
      </c>
      <c r="F185" s="173">
        <f t="shared" si="36"/>
        <v>-19.958300549651398</v>
      </c>
      <c r="G185" s="173">
        <f t="shared" si="36"/>
        <v>-11.739932753517232</v>
      </c>
      <c r="H185" s="173">
        <f t="shared" si="36"/>
        <v>-6.367345725379362</v>
      </c>
      <c r="I185" s="173">
        <f t="shared" si="36"/>
        <v>-3.0053981072020832</v>
      </c>
      <c r="J185" s="173">
        <f t="shared" si="36"/>
        <v>-1.5065823986733475</v>
      </c>
      <c r="K185" s="173">
        <f t="shared" si="36"/>
        <v>-0.761057889481286</v>
      </c>
      <c r="L185" s="173">
        <f t="shared" si="36"/>
        <v>-0.3565495109751966</v>
      </c>
      <c r="M185" s="173">
        <f>$M141-M141</f>
        <v>0</v>
      </c>
    </row>
    <row r="187" spans="5:6" ht="15">
      <c r="E187" s="163" t="s">
        <v>262</v>
      </c>
      <c r="F187" s="163" t="s">
        <v>280</v>
      </c>
    </row>
    <row r="188" spans="1:13" ht="15">
      <c r="A188" s="711" t="s">
        <v>345</v>
      </c>
      <c r="B188" s="590"/>
      <c r="C188" s="590"/>
      <c r="D188" s="169">
        <v>1</v>
      </c>
      <c r="E188" s="169">
        <v>0.5</v>
      </c>
      <c r="F188" s="169">
        <v>0.2</v>
      </c>
      <c r="G188" s="169">
        <v>0.1</v>
      </c>
      <c r="H188" s="169">
        <v>0.04</v>
      </c>
      <c r="I188" s="169">
        <v>0.02</v>
      </c>
      <c r="J188" s="407">
        <v>0.0133</v>
      </c>
      <c r="K188" s="169">
        <v>0.01</v>
      </c>
      <c r="L188" s="170">
        <v>0.005</v>
      </c>
      <c r="M188" s="170">
        <v>0.001</v>
      </c>
    </row>
    <row r="189" spans="3:13" ht="15">
      <c r="C189" s="169">
        <v>1</v>
      </c>
      <c r="D189" s="173">
        <f aca="true" t="shared" si="37" ref="D189:D198">D164*D176</f>
        <v>0</v>
      </c>
      <c r="E189" s="173">
        <f aca="true" t="shared" si="38" ref="E189:M189">E164*E176</f>
        <v>0</v>
      </c>
      <c r="F189" s="173">
        <f t="shared" si="38"/>
        <v>0</v>
      </c>
      <c r="G189" s="173">
        <f t="shared" si="38"/>
        <v>0</v>
      </c>
      <c r="H189" s="173">
        <f t="shared" si="38"/>
        <v>0</v>
      </c>
      <c r="I189" s="173">
        <f t="shared" si="38"/>
        <v>0</v>
      </c>
      <c r="J189" s="173">
        <f t="shared" si="38"/>
        <v>0</v>
      </c>
      <c r="K189" s="173">
        <f t="shared" si="38"/>
        <v>0</v>
      </c>
      <c r="L189" s="173">
        <f t="shared" si="38"/>
        <v>0</v>
      </c>
      <c r="M189" s="173">
        <f t="shared" si="38"/>
        <v>0</v>
      </c>
    </row>
    <row r="190" spans="2:13" ht="15">
      <c r="B190" s="163" t="s">
        <v>261</v>
      </c>
      <c r="C190" s="169">
        <v>0.5</v>
      </c>
      <c r="D190" s="173">
        <f t="shared" si="37"/>
        <v>0</v>
      </c>
      <c r="E190" s="173">
        <f aca="true" t="shared" si="39" ref="E190:M190">E165*E177</f>
        <v>0</v>
      </c>
      <c r="F190" s="173">
        <f t="shared" si="39"/>
        <v>0</v>
      </c>
      <c r="G190" s="173">
        <f t="shared" si="39"/>
        <v>0</v>
      </c>
      <c r="H190" s="173">
        <f t="shared" si="39"/>
        <v>0</v>
      </c>
      <c r="I190" s="173">
        <f t="shared" si="39"/>
        <v>0</v>
      </c>
      <c r="J190" s="173">
        <f t="shared" si="39"/>
        <v>0</v>
      </c>
      <c r="K190" s="173">
        <f t="shared" si="39"/>
        <v>0</v>
      </c>
      <c r="L190" s="173">
        <f t="shared" si="39"/>
        <v>0</v>
      </c>
      <c r="M190" s="173">
        <f t="shared" si="39"/>
        <v>0</v>
      </c>
    </row>
    <row r="191" spans="2:13" ht="15">
      <c r="B191" s="700" t="s">
        <v>281</v>
      </c>
      <c r="C191" s="169">
        <v>0.2</v>
      </c>
      <c r="D191" s="173">
        <f t="shared" si="37"/>
        <v>0</v>
      </c>
      <c r="E191" s="173">
        <f aca="true" t="shared" si="40" ref="E191:M191">E166*E178</f>
        <v>0</v>
      </c>
      <c r="F191" s="173">
        <f t="shared" si="40"/>
        <v>0</v>
      </c>
      <c r="G191" s="173">
        <f t="shared" si="40"/>
        <v>0</v>
      </c>
      <c r="H191" s="173">
        <f t="shared" si="40"/>
        <v>0</v>
      </c>
      <c r="I191" s="173">
        <f t="shared" si="40"/>
        <v>0</v>
      </c>
      <c r="J191" s="173">
        <f t="shared" si="40"/>
        <v>0</v>
      </c>
      <c r="K191" s="173">
        <f t="shared" si="40"/>
        <v>0</v>
      </c>
      <c r="L191" s="173">
        <f t="shared" si="40"/>
        <v>0</v>
      </c>
      <c r="M191" s="173">
        <f t="shared" si="40"/>
        <v>0</v>
      </c>
    </row>
    <row r="192" spans="2:13" ht="15">
      <c r="B192" s="701"/>
      <c r="C192" s="169">
        <v>0.1</v>
      </c>
      <c r="D192" s="173">
        <f t="shared" si="37"/>
        <v>0</v>
      </c>
      <c r="E192" s="173">
        <f aca="true" t="shared" si="41" ref="E192:M192">E167*E179</f>
        <v>0</v>
      </c>
      <c r="F192" s="173">
        <f t="shared" si="41"/>
        <v>0</v>
      </c>
      <c r="G192" s="173">
        <f t="shared" si="41"/>
        <v>0</v>
      </c>
      <c r="H192" s="173">
        <f t="shared" si="41"/>
        <v>0</v>
      </c>
      <c r="I192" s="173">
        <f t="shared" si="41"/>
        <v>0</v>
      </c>
      <c r="J192" s="173">
        <f t="shared" si="41"/>
        <v>0</v>
      </c>
      <c r="K192" s="173">
        <f t="shared" si="41"/>
        <v>0</v>
      </c>
      <c r="L192" s="173">
        <f t="shared" si="41"/>
        <v>0</v>
      </c>
      <c r="M192" s="173">
        <f t="shared" si="41"/>
        <v>0</v>
      </c>
    </row>
    <row r="193" spans="2:13" ht="15">
      <c r="B193" s="701"/>
      <c r="C193" s="169">
        <v>0.04</v>
      </c>
      <c r="D193" s="173">
        <f t="shared" si="37"/>
        <v>0</v>
      </c>
      <c r="E193" s="173">
        <f aca="true" t="shared" si="42" ref="E193:M193">E168*E180</f>
        <v>0</v>
      </c>
      <c r="F193" s="173">
        <f t="shared" si="42"/>
        <v>0</v>
      </c>
      <c r="G193" s="173">
        <f t="shared" si="42"/>
        <v>0</v>
      </c>
      <c r="H193" s="173">
        <f t="shared" si="42"/>
        <v>0</v>
      </c>
      <c r="I193" s="173">
        <f t="shared" si="42"/>
        <v>0</v>
      </c>
      <c r="J193" s="173">
        <f t="shared" si="42"/>
        <v>0</v>
      </c>
      <c r="K193" s="173">
        <f t="shared" si="42"/>
        <v>0</v>
      </c>
      <c r="L193" s="173">
        <f t="shared" si="42"/>
        <v>0</v>
      </c>
      <c r="M193" s="173">
        <f t="shared" si="42"/>
        <v>0</v>
      </c>
    </row>
    <row r="194" spans="2:13" ht="15">
      <c r="B194" s="701"/>
      <c r="C194" s="169">
        <v>0.02</v>
      </c>
      <c r="D194" s="173">
        <f t="shared" si="37"/>
        <v>0</v>
      </c>
      <c r="E194" s="173">
        <f aca="true" t="shared" si="43" ref="E194:M194">E169*E181</f>
        <v>0</v>
      </c>
      <c r="F194" s="173">
        <f t="shared" si="43"/>
        <v>0</v>
      </c>
      <c r="G194" s="173">
        <f t="shared" si="43"/>
        <v>0</v>
      </c>
      <c r="H194" s="173">
        <f t="shared" si="43"/>
        <v>0</v>
      </c>
      <c r="I194" s="173">
        <f t="shared" si="43"/>
        <v>0</v>
      </c>
      <c r="J194" s="173">
        <f t="shared" si="43"/>
        <v>0</v>
      </c>
      <c r="K194" s="173">
        <f t="shared" si="43"/>
        <v>0</v>
      </c>
      <c r="L194" s="173">
        <f t="shared" si="43"/>
        <v>0</v>
      </c>
      <c r="M194" s="173">
        <f t="shared" si="43"/>
        <v>0</v>
      </c>
    </row>
    <row r="195" spans="2:13" ht="15">
      <c r="B195" s="701"/>
      <c r="C195" s="407">
        <v>0.0133</v>
      </c>
      <c r="D195" s="173">
        <f aca="true" t="shared" si="44" ref="D195:M195">D170*D170</f>
        <v>0</v>
      </c>
      <c r="E195" s="173">
        <f t="shared" si="44"/>
        <v>0</v>
      </c>
      <c r="F195" s="173">
        <f t="shared" si="44"/>
        <v>0</v>
      </c>
      <c r="G195" s="173">
        <f t="shared" si="44"/>
        <v>0</v>
      </c>
      <c r="H195" s="173">
        <f t="shared" si="44"/>
        <v>0</v>
      </c>
      <c r="I195" s="173">
        <f t="shared" si="44"/>
        <v>0</v>
      </c>
      <c r="J195" s="173">
        <f t="shared" si="44"/>
        <v>0</v>
      </c>
      <c r="K195" s="173">
        <f t="shared" si="44"/>
        <v>0</v>
      </c>
      <c r="L195" s="173">
        <f t="shared" si="44"/>
        <v>0</v>
      </c>
      <c r="M195" s="173">
        <f t="shared" si="44"/>
        <v>0</v>
      </c>
    </row>
    <row r="196" spans="2:13" ht="15">
      <c r="B196" s="701"/>
      <c r="C196" s="169">
        <v>0.01</v>
      </c>
      <c r="D196" s="173">
        <f t="shared" si="37"/>
        <v>0</v>
      </c>
      <c r="E196" s="173">
        <f aca="true" t="shared" si="45" ref="E196:M196">E171*E183</f>
        <v>0</v>
      </c>
      <c r="F196" s="173">
        <f t="shared" si="45"/>
        <v>0</v>
      </c>
      <c r="G196" s="173">
        <f t="shared" si="45"/>
        <v>0</v>
      </c>
      <c r="H196" s="173">
        <f t="shared" si="45"/>
        <v>0</v>
      </c>
      <c r="I196" s="173">
        <f t="shared" si="45"/>
        <v>0</v>
      </c>
      <c r="J196" s="173">
        <f t="shared" si="45"/>
        <v>0</v>
      </c>
      <c r="K196" s="173">
        <f t="shared" si="45"/>
        <v>0</v>
      </c>
      <c r="L196" s="173">
        <f t="shared" si="45"/>
        <v>0</v>
      </c>
      <c r="M196" s="173">
        <f t="shared" si="45"/>
        <v>0</v>
      </c>
    </row>
    <row r="197" spans="2:13" ht="15">
      <c r="B197" s="701"/>
      <c r="C197" s="170">
        <v>0.005</v>
      </c>
      <c r="D197" s="173">
        <f t="shared" si="37"/>
        <v>0</v>
      </c>
      <c r="E197" s="173">
        <f aca="true" t="shared" si="46" ref="E197:M197">E172*E184</f>
        <v>0</v>
      </c>
      <c r="F197" s="173">
        <f t="shared" si="46"/>
        <v>0</v>
      </c>
      <c r="G197" s="173">
        <f t="shared" si="46"/>
        <v>0</v>
      </c>
      <c r="H197" s="173">
        <f t="shared" si="46"/>
        <v>0</v>
      </c>
      <c r="I197" s="173">
        <f t="shared" si="46"/>
        <v>0</v>
      </c>
      <c r="J197" s="173">
        <f t="shared" si="46"/>
        <v>0</v>
      </c>
      <c r="K197" s="173">
        <f t="shared" si="46"/>
        <v>0</v>
      </c>
      <c r="L197" s="173">
        <f t="shared" si="46"/>
        <v>0</v>
      </c>
      <c r="M197" s="173">
        <f t="shared" si="46"/>
        <v>0</v>
      </c>
    </row>
    <row r="198" spans="2:13" ht="15">
      <c r="B198" s="701"/>
      <c r="C198" s="170">
        <v>0.001</v>
      </c>
      <c r="D198" s="173">
        <f t="shared" si="37"/>
        <v>0</v>
      </c>
      <c r="E198" s="173">
        <f aca="true" t="shared" si="47" ref="E198:M198">E173*E185</f>
        <v>0</v>
      </c>
      <c r="F198" s="173">
        <f t="shared" si="47"/>
        <v>0</v>
      </c>
      <c r="G198" s="173">
        <f t="shared" si="47"/>
        <v>0</v>
      </c>
      <c r="H198" s="173">
        <f t="shared" si="47"/>
        <v>0</v>
      </c>
      <c r="I198" s="173">
        <f t="shared" si="47"/>
        <v>0</v>
      </c>
      <c r="J198" s="173">
        <f t="shared" si="47"/>
        <v>0</v>
      </c>
      <c r="K198" s="173">
        <f t="shared" si="47"/>
        <v>0</v>
      </c>
      <c r="L198" s="173">
        <f t="shared" si="47"/>
        <v>0</v>
      </c>
      <c r="M198" s="173">
        <f t="shared" si="47"/>
        <v>0</v>
      </c>
    </row>
    <row r="199" ht="15.75" thickBot="1"/>
    <row r="200" spans="4:15" ht="16.5" thickBot="1" thickTop="1">
      <c r="D200" s="702" t="str">
        <f>IF(SUM(D189:M198)&gt;0,"Total annual benefits",IF(SUM(D189:M198)&lt;0,"Total annual damages","Enter number of utilities/stations"))</f>
        <v>Enter number of utilities/stations</v>
      </c>
      <c r="E200" s="703"/>
      <c r="F200" s="703"/>
      <c r="G200" s="703"/>
      <c r="H200" s="186">
        <f>SUM(D189:M198)</f>
        <v>0</v>
      </c>
      <c r="I200" s="366" t="s">
        <v>804</v>
      </c>
      <c r="J200" s="406"/>
      <c r="K200" s="593" t="s">
        <v>811</v>
      </c>
      <c r="L200" s="593"/>
      <c r="M200" s="594"/>
      <c r="N200" s="594"/>
      <c r="O200" s="595"/>
    </row>
    <row r="201" ht="15.75" thickTop="1"/>
  </sheetData>
  <sheetProtection sheet="1" objects="1" scenarios="1"/>
  <mergeCells count="61">
    <mergeCell ref="P1:T1"/>
    <mergeCell ref="K200:O200"/>
    <mergeCell ref="D200:G200"/>
    <mergeCell ref="A68:C68"/>
    <mergeCell ref="B70:B71"/>
    <mergeCell ref="A81:C81"/>
    <mergeCell ref="B83:B84"/>
    <mergeCell ref="B146:C146"/>
    <mergeCell ref="B147:C147"/>
    <mergeCell ref="B157:C157"/>
    <mergeCell ref="A163:C163"/>
    <mergeCell ref="B165:B166"/>
    <mergeCell ref="A175:C175"/>
    <mergeCell ref="B178:B185"/>
    <mergeCell ref="A188:C188"/>
    <mergeCell ref="B191:B198"/>
    <mergeCell ref="B155:C155"/>
    <mergeCell ref="B158:C158"/>
    <mergeCell ref="B159:C159"/>
    <mergeCell ref="B160:C160"/>
    <mergeCell ref="A153:C153"/>
    <mergeCell ref="A154:C154"/>
    <mergeCell ref="A156:C156"/>
    <mergeCell ref="B149:C149"/>
    <mergeCell ref="B44:B45"/>
    <mergeCell ref="A55:C55"/>
    <mergeCell ref="B57:B58"/>
    <mergeCell ref="A94:C94"/>
    <mergeCell ref="B96:B97"/>
    <mergeCell ref="B140:C140"/>
    <mergeCell ref="B142:C142"/>
    <mergeCell ref="B143:C143"/>
    <mergeCell ref="B144:C144"/>
    <mergeCell ref="B145:C145"/>
    <mergeCell ref="B148:C148"/>
    <mergeCell ref="A109:C109"/>
    <mergeCell ref="A110:C110"/>
    <mergeCell ref="B121:C121"/>
    <mergeCell ref="B122:C122"/>
    <mergeCell ref="A42:C42"/>
    <mergeCell ref="I1:K1"/>
    <mergeCell ref="B5:B6"/>
    <mergeCell ref="B18:B19"/>
    <mergeCell ref="A29:C29"/>
    <mergeCell ref="B31:B32"/>
    <mergeCell ref="O113:Y113"/>
    <mergeCell ref="B117:C117"/>
    <mergeCell ref="B118:C118"/>
    <mergeCell ref="B119:C119"/>
    <mergeCell ref="B120:C120"/>
    <mergeCell ref="B137:C137"/>
    <mergeCell ref="B138:C138"/>
    <mergeCell ref="B123:C123"/>
    <mergeCell ref="B124:C124"/>
    <mergeCell ref="B134:C134"/>
    <mergeCell ref="B135:C135"/>
    <mergeCell ref="A127:C127"/>
    <mergeCell ref="B131:C131"/>
    <mergeCell ref="B132:C132"/>
    <mergeCell ref="B133:C133"/>
    <mergeCell ref="B136:C136"/>
  </mergeCells>
  <dataValidations count="2">
    <dataValidation type="list" allowBlank="1" showInputMessage="1" showErrorMessage="1" sqref="D113:M113">
      <formula1>"Permanent loss, One-off loss"</formula1>
    </dataValidation>
    <dataValidation type="list" allowBlank="1" showInputMessage="1" showErrorMessage="1" sqref="K200:O200">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82"/>
  <headerFooter>
    <oddHeader>&amp;C&amp;A</oddHead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225"/>
  <sheetViews>
    <sheetView workbookViewId="0" topLeftCell="A1"/>
  </sheetViews>
  <sheetFormatPr defaultColWidth="9.140625" defaultRowHeight="15"/>
  <cols>
    <col min="1" max="1" width="9.140625" style="163" customWidth="1"/>
    <col min="2" max="2" width="10.7109375" style="163" customWidth="1"/>
    <col min="3" max="3" width="9.140625" style="163" customWidth="1"/>
    <col min="4" max="5" width="11.140625" style="163" customWidth="1"/>
    <col min="6" max="6" width="11.00390625" style="163" customWidth="1"/>
    <col min="7" max="13" width="10.421875" style="163" customWidth="1"/>
    <col min="14" max="16384" width="9.140625" style="163" customWidth="1"/>
  </cols>
  <sheetData>
    <row r="1" spans="1:20" ht="15">
      <c r="A1" s="164" t="s">
        <v>270</v>
      </c>
      <c r="B1" s="165"/>
      <c r="C1" s="165"/>
      <c r="D1" s="162"/>
      <c r="E1" s="165"/>
      <c r="F1" s="166" t="s">
        <v>260</v>
      </c>
      <c r="I1" s="704" t="s">
        <v>347</v>
      </c>
      <c r="J1" s="704"/>
      <c r="K1" s="705"/>
      <c r="L1" s="396"/>
      <c r="M1" s="176" t="s">
        <v>992</v>
      </c>
      <c r="N1" s="560">
        <v>6</v>
      </c>
      <c r="O1" s="560" t="s">
        <v>991</v>
      </c>
      <c r="P1" s="714"/>
      <c r="Q1" s="715"/>
      <c r="R1" s="715"/>
      <c r="S1" s="715"/>
      <c r="T1" s="715"/>
    </row>
    <row r="2" ht="15">
      <c r="B2" s="163" t="s">
        <v>581</v>
      </c>
    </row>
    <row r="4" spans="4:8" ht="15">
      <c r="D4" s="716" t="s">
        <v>351</v>
      </c>
      <c r="E4" s="717"/>
      <c r="F4" s="717"/>
      <c r="G4" s="717"/>
      <c r="H4" s="717"/>
    </row>
    <row r="5" spans="4:8" ht="15">
      <c r="D5" s="190" t="s">
        <v>352</v>
      </c>
      <c r="E5" s="190" t="s">
        <v>122</v>
      </c>
      <c r="F5" s="190" t="s">
        <v>123</v>
      </c>
      <c r="G5" s="190" t="s">
        <v>124</v>
      </c>
      <c r="H5" s="190" t="s">
        <v>125</v>
      </c>
    </row>
    <row r="6" spans="3:13" ht="15">
      <c r="C6" s="171" t="s">
        <v>138</v>
      </c>
      <c r="D6" s="561">
        <v>0.748</v>
      </c>
      <c r="E6" s="561">
        <v>0.124</v>
      </c>
      <c r="F6" s="561">
        <v>0.041</v>
      </c>
      <c r="G6" s="561">
        <v>0.081</v>
      </c>
      <c r="H6" s="561">
        <v>0.006</v>
      </c>
      <c r="I6" s="189" t="s">
        <v>350</v>
      </c>
      <c r="J6" s="189"/>
      <c r="K6" s="169"/>
      <c r="L6" s="169"/>
      <c r="M6" s="170"/>
    </row>
    <row r="7" spans="3:13" ht="15">
      <c r="C7" s="171" t="s">
        <v>139</v>
      </c>
      <c r="D7" s="562">
        <v>0.781</v>
      </c>
      <c r="E7" s="562">
        <v>0.131</v>
      </c>
      <c r="F7" s="562">
        <v>0.038</v>
      </c>
      <c r="G7" s="562">
        <v>0.037</v>
      </c>
      <c r="H7" s="562">
        <v>0.007</v>
      </c>
      <c r="I7" s="181"/>
      <c r="J7" s="181"/>
      <c r="K7" s="181"/>
      <c r="L7" s="181"/>
      <c r="M7" s="181"/>
    </row>
    <row r="8" spans="3:13" ht="15">
      <c r="C8" s="188" t="s">
        <v>349</v>
      </c>
      <c r="D8" s="562">
        <v>0.796</v>
      </c>
      <c r="E8" s="562">
        <v>0.134</v>
      </c>
      <c r="F8" s="562">
        <v>0.029</v>
      </c>
      <c r="G8" s="562">
        <v>0.029</v>
      </c>
      <c r="H8" s="562">
        <v>0.011</v>
      </c>
      <c r="I8" s="181"/>
      <c r="J8" s="181"/>
      <c r="K8" s="181"/>
      <c r="L8" s="181"/>
      <c r="M8" s="181"/>
    </row>
    <row r="9" spans="3:13" ht="15">
      <c r="C9" s="169"/>
      <c r="D9" s="181"/>
      <c r="E9" s="181"/>
      <c r="F9" s="181"/>
      <c r="G9" s="181"/>
      <c r="H9" s="181"/>
      <c r="I9" s="181"/>
      <c r="J9" s="181"/>
      <c r="K9" s="181"/>
      <c r="L9" s="181"/>
      <c r="M9" s="181"/>
    </row>
    <row r="10" spans="4:13" ht="15">
      <c r="D10" s="716" t="s">
        <v>353</v>
      </c>
      <c r="E10" s="717"/>
      <c r="F10" s="191"/>
      <c r="G10" s="191"/>
      <c r="H10" s="191"/>
      <c r="K10" s="181"/>
      <c r="L10" s="181"/>
      <c r="M10" s="181"/>
    </row>
    <row r="11" spans="3:13" ht="15">
      <c r="C11" s="171" t="s">
        <v>138</v>
      </c>
      <c r="D11" s="556">
        <v>3404</v>
      </c>
      <c r="E11" s="181" t="s">
        <v>354</v>
      </c>
      <c r="F11" s="192"/>
      <c r="G11" s="192"/>
      <c r="H11" s="192"/>
      <c r="I11" s="181"/>
      <c r="J11" s="181"/>
      <c r="K11" s="181"/>
      <c r="L11" s="181"/>
      <c r="M11" s="181"/>
    </row>
    <row r="12" spans="3:13" ht="15">
      <c r="C12" s="171" t="s">
        <v>139</v>
      </c>
      <c r="D12" s="563">
        <v>579</v>
      </c>
      <c r="E12" s="181" t="s">
        <v>354</v>
      </c>
      <c r="F12" s="193"/>
      <c r="G12" s="193"/>
      <c r="H12" s="193"/>
      <c r="I12" s="181"/>
      <c r="J12" s="181"/>
      <c r="K12" s="181"/>
      <c r="L12" s="181"/>
      <c r="M12" s="181"/>
    </row>
    <row r="13" spans="3:8" ht="15">
      <c r="C13" s="188" t="s">
        <v>349</v>
      </c>
      <c r="D13" s="563">
        <v>167</v>
      </c>
      <c r="E13" s="181" t="s">
        <v>354</v>
      </c>
      <c r="F13" s="193"/>
      <c r="G13" s="193"/>
      <c r="H13" s="193"/>
    </row>
    <row r="15" spans="4:8" ht="15">
      <c r="D15" s="716" t="s">
        <v>355</v>
      </c>
      <c r="E15" s="717"/>
      <c r="F15" s="717"/>
      <c r="G15" s="717"/>
      <c r="H15" s="717"/>
    </row>
    <row r="16" spans="4:8" ht="15">
      <c r="D16" s="190" t="s">
        <v>352</v>
      </c>
      <c r="E16" s="190" t="s">
        <v>122</v>
      </c>
      <c r="F16" s="190" t="s">
        <v>123</v>
      </c>
      <c r="G16" s="190" t="s">
        <v>124</v>
      </c>
      <c r="H16" s="190" t="s">
        <v>125</v>
      </c>
    </row>
    <row r="17" spans="3:8" ht="15">
      <c r="C17" s="171" t="s">
        <v>138</v>
      </c>
      <c r="D17" s="194">
        <f>$D11*D6</f>
        <v>2546.192</v>
      </c>
      <c r="E17" s="194">
        <f aca="true" t="shared" si="0" ref="E17:H17">$D11*E6</f>
        <v>422.096</v>
      </c>
      <c r="F17" s="194">
        <f t="shared" si="0"/>
        <v>139.564</v>
      </c>
      <c r="G17" s="194">
        <f t="shared" si="0"/>
        <v>275.724</v>
      </c>
      <c r="H17" s="194">
        <f t="shared" si="0"/>
        <v>20.424</v>
      </c>
    </row>
    <row r="18" spans="3:8" ht="15">
      <c r="C18" s="171" t="s">
        <v>139</v>
      </c>
      <c r="D18" s="194">
        <f>$D12*D7</f>
        <v>452.199</v>
      </c>
      <c r="E18" s="194">
        <f aca="true" t="shared" si="1" ref="E18:H18">$D12*E7</f>
        <v>75.849</v>
      </c>
      <c r="F18" s="194">
        <f t="shared" si="1"/>
        <v>22.002</v>
      </c>
      <c r="G18" s="194">
        <f t="shared" si="1"/>
        <v>21.423</v>
      </c>
      <c r="H18" s="194">
        <f t="shared" si="1"/>
        <v>4.053</v>
      </c>
    </row>
    <row r="19" spans="3:8" ht="15">
      <c r="C19" s="188" t="s">
        <v>349</v>
      </c>
      <c r="D19" s="194">
        <f>$D13*D8</f>
        <v>132.93200000000002</v>
      </c>
      <c r="E19" s="194">
        <f aca="true" t="shared" si="2" ref="E19:H19">$D13*E8</f>
        <v>22.378</v>
      </c>
      <c r="F19" s="194">
        <f t="shared" si="2"/>
        <v>4.843</v>
      </c>
      <c r="G19" s="194">
        <f t="shared" si="2"/>
        <v>4.843</v>
      </c>
      <c r="H19" s="194">
        <f t="shared" si="2"/>
        <v>1.837</v>
      </c>
    </row>
    <row r="21" spans="3:5" ht="15">
      <c r="C21" s="171" t="s">
        <v>356</v>
      </c>
      <c r="D21" s="563">
        <v>4</v>
      </c>
      <c r="E21" s="163" t="s">
        <v>357</v>
      </c>
    </row>
    <row r="23" ht="15">
      <c r="D23" s="163" t="s">
        <v>358</v>
      </c>
    </row>
    <row r="24" spans="4:5" ht="15">
      <c r="D24" s="162" t="s">
        <v>359</v>
      </c>
      <c r="E24" s="162" t="s">
        <v>360</v>
      </c>
    </row>
    <row r="25" spans="3:6" ht="15">
      <c r="C25" s="171" t="s">
        <v>138</v>
      </c>
      <c r="D25" s="162">
        <v>90</v>
      </c>
      <c r="E25" s="183">
        <f>D25/(1+$D$21)</f>
        <v>18</v>
      </c>
      <c r="F25" s="163" t="s">
        <v>362</v>
      </c>
    </row>
    <row r="26" spans="3:5" ht="15">
      <c r="C26" s="171" t="s">
        <v>139</v>
      </c>
      <c r="D26" s="162">
        <v>70</v>
      </c>
      <c r="E26" s="183">
        <f aca="true" t="shared" si="3" ref="E26:E27">D26/(1+$D$21)</f>
        <v>14</v>
      </c>
    </row>
    <row r="27" spans="3:5" ht="15">
      <c r="C27" s="188" t="s">
        <v>349</v>
      </c>
      <c r="D27" s="162">
        <v>60</v>
      </c>
      <c r="E27" s="183">
        <f t="shared" si="3"/>
        <v>12</v>
      </c>
    </row>
    <row r="28" ht="15">
      <c r="D28" s="163" t="s">
        <v>361</v>
      </c>
    </row>
    <row r="30" spans="4:6" ht="15">
      <c r="D30" s="166" t="s">
        <v>363</v>
      </c>
      <c r="F30" s="163" t="s">
        <v>364</v>
      </c>
    </row>
    <row r="31" spans="3:12" ht="15">
      <c r="C31" s="163" t="s">
        <v>126</v>
      </c>
      <c r="D31" s="162">
        <v>1</v>
      </c>
      <c r="E31" s="162">
        <v>2</v>
      </c>
      <c r="F31" s="162">
        <v>5</v>
      </c>
      <c r="G31" s="162">
        <v>10</v>
      </c>
      <c r="H31" s="162">
        <v>20</v>
      </c>
      <c r="I31" s="162">
        <v>40</v>
      </c>
      <c r="J31" s="162">
        <v>50</v>
      </c>
      <c r="K31" s="162">
        <v>80</v>
      </c>
      <c r="L31" s="162">
        <v>100</v>
      </c>
    </row>
    <row r="32" spans="3:12" ht="15">
      <c r="C32" s="163" t="s">
        <v>127</v>
      </c>
      <c r="D32" s="185">
        <v>10.23</v>
      </c>
      <c r="E32" s="185">
        <v>5.15</v>
      </c>
      <c r="F32" s="185">
        <v>2.1</v>
      </c>
      <c r="G32" s="185">
        <v>1.09</v>
      </c>
      <c r="H32" s="185">
        <v>0.57</v>
      </c>
      <c r="I32" s="185">
        <v>0.31</v>
      </c>
      <c r="J32" s="185">
        <v>0.25</v>
      </c>
      <c r="K32" s="185">
        <v>0.17</v>
      </c>
      <c r="L32" s="185">
        <v>0.15</v>
      </c>
    </row>
    <row r="33" spans="3:12" ht="15">
      <c r="C33" s="163" t="s">
        <v>122</v>
      </c>
      <c r="D33" s="185">
        <v>11.81</v>
      </c>
      <c r="E33" s="185">
        <v>5.96</v>
      </c>
      <c r="F33" s="185">
        <v>2.45</v>
      </c>
      <c r="G33" s="185">
        <v>1.28</v>
      </c>
      <c r="H33" s="185">
        <v>0.68</v>
      </c>
      <c r="I33" s="185">
        <v>0.37</v>
      </c>
      <c r="J33" s="185">
        <v>0.32</v>
      </c>
      <c r="K33" s="185">
        <v>0.23</v>
      </c>
      <c r="L33" s="185">
        <v>0.2</v>
      </c>
    </row>
    <row r="34" spans="3:12" ht="15">
      <c r="C34" s="163" t="s">
        <v>123</v>
      </c>
      <c r="D34" s="185">
        <v>12.41</v>
      </c>
      <c r="E34" s="185">
        <v>6.34</v>
      </c>
      <c r="F34" s="185">
        <v>2.68</v>
      </c>
      <c r="G34" s="185">
        <v>1.44</v>
      </c>
      <c r="H34" s="185">
        <v>0.79</v>
      </c>
      <c r="I34" s="185">
        <v>0.44</v>
      </c>
      <c r="J34" s="185">
        <v>0.37</v>
      </c>
      <c r="K34" s="185">
        <v>0.29</v>
      </c>
      <c r="L34" s="185">
        <v>0.27</v>
      </c>
    </row>
    <row r="35" spans="3:12" ht="15">
      <c r="C35" s="163" t="s">
        <v>124</v>
      </c>
      <c r="D35" s="185">
        <v>14.54</v>
      </c>
      <c r="E35" s="185">
        <v>7.46</v>
      </c>
      <c r="F35" s="185">
        <v>3.2</v>
      </c>
      <c r="G35" s="185">
        <v>1.75</v>
      </c>
      <c r="H35" s="185">
        <v>0.98</v>
      </c>
      <c r="I35" s="185">
        <v>0.57</v>
      </c>
      <c r="J35" s="185">
        <v>0.5</v>
      </c>
      <c r="K35" s="185">
        <v>0.4</v>
      </c>
      <c r="L35" s="185">
        <v>0.37</v>
      </c>
    </row>
    <row r="36" spans="3:12" ht="15">
      <c r="C36" s="163" t="s">
        <v>125</v>
      </c>
      <c r="D36" s="185">
        <v>74.06</v>
      </c>
      <c r="E36" s="185">
        <v>37.24</v>
      </c>
      <c r="F36" s="185">
        <v>15.14</v>
      </c>
      <c r="G36" s="185">
        <v>7.74</v>
      </c>
      <c r="H36" s="185">
        <v>4.03</v>
      </c>
      <c r="I36" s="185">
        <v>2.16</v>
      </c>
      <c r="J36" s="185">
        <v>1.78</v>
      </c>
      <c r="K36" s="185">
        <v>1.24</v>
      </c>
      <c r="L36" s="185">
        <v>1.06</v>
      </c>
    </row>
    <row r="38" spans="3:4" ht="15">
      <c r="C38" s="163" t="s">
        <v>365</v>
      </c>
      <c r="D38" s="166" t="s">
        <v>363</v>
      </c>
    </row>
    <row r="39" spans="4:6" ht="15">
      <c r="D39" s="162" t="s">
        <v>138</v>
      </c>
      <c r="E39" s="162" t="s">
        <v>139</v>
      </c>
      <c r="F39" s="162" t="s">
        <v>349</v>
      </c>
    </row>
    <row r="40" spans="3:6" ht="15">
      <c r="C40" s="163" t="s">
        <v>127</v>
      </c>
      <c r="D40" s="173">
        <f>(HLOOKUP($E$25,$D$31:$L$36,2)-HLOOKUP($D$25,$D$31:$L$36,2))*D17*$D$21</f>
        <v>9369.986560000001</v>
      </c>
      <c r="E40" s="173">
        <f>(HLOOKUP($E$26,$D$31:$L$36,2)-HLOOKUP($D$26,$D$31:$L$36,2))*D18*$D$21</f>
        <v>1519.3886400000001</v>
      </c>
      <c r="F40" s="173">
        <f>(HLOOKUP($E$27,$D$31:$L$36,2)-HLOOKUP($D$27,$D$31:$L$36,2))*D19*$D$21</f>
        <v>446.6515200000001</v>
      </c>
    </row>
    <row r="41" spans="3:6" ht="15">
      <c r="C41" s="163" t="s">
        <v>122</v>
      </c>
      <c r="D41" s="173">
        <f>(HLOOKUP($E$25,$D$31:$L$36,3)-HLOOKUP($D$25,$D$31:$L$36,3))*E17*$D$21</f>
        <v>1772.8032</v>
      </c>
      <c r="E41" s="173">
        <f>(HLOOKUP($E$26,$D$31:$L$36,3)-HLOOKUP($D$26,$D$31:$L$36,3))*E18*$D$21</f>
        <v>291.26016</v>
      </c>
      <c r="F41" s="173">
        <f>(HLOOKUP($E$27,$D$31:$L$36,3)-HLOOKUP($D$27,$D$31:$L$36,3))*E19*$D$21</f>
        <v>85.93151999999999</v>
      </c>
    </row>
    <row r="42" spans="3:6" ht="15">
      <c r="C42" s="163" t="s">
        <v>123</v>
      </c>
      <c r="D42" s="173">
        <f>(HLOOKUP($E$25,$D$31:$L$36,4)-HLOOKUP($D$25,$D$31:$L$36,4))*F17*$D$21</f>
        <v>641.9943999999999</v>
      </c>
      <c r="E42" s="173">
        <f>(HLOOKUP($E$26,$D$31:$L$36,4)-HLOOKUP($D$26,$D$31:$L$36,4))*F18*$D$21</f>
        <v>94.16855999999999</v>
      </c>
      <c r="F42" s="173">
        <f>(HLOOKUP($E$27,$D$31:$L$36,4)-HLOOKUP($D$27,$D$31:$L$36,4))*F19*$D$21</f>
        <v>20.728039999999996</v>
      </c>
    </row>
    <row r="43" spans="3:6" ht="15">
      <c r="C43" s="163" t="s">
        <v>124</v>
      </c>
      <c r="D43" s="173">
        <f>(HLOOKUP($E$25,$D$31:$L$36,5)-HLOOKUP($D$25,$D$31:$L$36,5))*G17*$D$21</f>
        <v>1488.9096</v>
      </c>
      <c r="E43" s="173">
        <f>(HLOOKUP($E$26,$D$31:$L$36,5)-HLOOKUP($D$26,$D$31:$L$36,5))*G18*$D$21</f>
        <v>107.115</v>
      </c>
      <c r="F43" s="173">
        <f>(HLOOKUP($E$27,$D$31:$L$36,5)-HLOOKUP($D$27,$D$31:$L$36,5))*G19*$D$21</f>
        <v>24.215</v>
      </c>
    </row>
    <row r="44" spans="3:6" ht="15">
      <c r="C44" s="163" t="s">
        <v>125</v>
      </c>
      <c r="D44" s="173">
        <f>(HLOOKUP($E$25,$D$31:$L$36,6)-HLOOKUP($D$25,$D$31:$L$36,6))*H17*$D$21</f>
        <v>531.024</v>
      </c>
      <c r="E44" s="173">
        <f>(HLOOKUP($E$26,$D$31:$L$36,6)-HLOOKUP($D$26,$D$31:$L$36,6))*H18*$D$21</f>
        <v>96.62352</v>
      </c>
      <c r="F44" s="173">
        <f>(HLOOKUP($E$27,$D$31:$L$36,6)-HLOOKUP($D$27,$D$31:$L$36,6))*H19*$D$21</f>
        <v>43.79408</v>
      </c>
    </row>
    <row r="45" spans="3:6" ht="16.5" customHeight="1">
      <c r="C45" s="176" t="s">
        <v>242</v>
      </c>
      <c r="D45" s="173">
        <f>SUM(D40:D44)</f>
        <v>13804.717760000001</v>
      </c>
      <c r="E45" s="173">
        <f aca="true" t="shared" si="4" ref="E45:F45">SUM(E40:E44)</f>
        <v>2108.5558800000003</v>
      </c>
      <c r="F45" s="173">
        <f t="shared" si="4"/>
        <v>621.3201600000001</v>
      </c>
    </row>
    <row r="46" spans="4:6" ht="16.5" customHeight="1">
      <c r="D46" s="172"/>
      <c r="E46" s="172"/>
      <c r="F46" s="172"/>
    </row>
    <row r="47" spans="3:13" ht="15">
      <c r="C47" s="298" t="s">
        <v>653</v>
      </c>
      <c r="D47" s="206">
        <v>1</v>
      </c>
      <c r="E47" s="206">
        <v>0.5</v>
      </c>
      <c r="F47" s="206">
        <v>0.2</v>
      </c>
      <c r="G47" s="206">
        <v>0.1</v>
      </c>
      <c r="H47" s="206">
        <v>0.04</v>
      </c>
      <c r="I47" s="206">
        <v>0.02</v>
      </c>
      <c r="J47" s="407">
        <v>0.0133</v>
      </c>
      <c r="K47" s="169">
        <v>0.01</v>
      </c>
      <c r="L47" s="170">
        <v>0.005</v>
      </c>
      <c r="M47" s="170">
        <v>0.001</v>
      </c>
    </row>
    <row r="48" spans="3:25" ht="30">
      <c r="C48" s="163" t="s">
        <v>377</v>
      </c>
      <c r="D48" s="554" t="s">
        <v>195</v>
      </c>
      <c r="E48" s="554" t="s">
        <v>195</v>
      </c>
      <c r="F48" s="554" t="s">
        <v>378</v>
      </c>
      <c r="G48" s="554" t="s">
        <v>378</v>
      </c>
      <c r="H48" s="554" t="s">
        <v>378</v>
      </c>
      <c r="I48" s="554" t="s">
        <v>378</v>
      </c>
      <c r="J48" s="554" t="s">
        <v>378</v>
      </c>
      <c r="K48" s="554" t="s">
        <v>378</v>
      </c>
      <c r="L48" s="554" t="s">
        <v>378</v>
      </c>
      <c r="M48" s="554" t="s">
        <v>378</v>
      </c>
      <c r="O48" s="591"/>
      <c r="P48" s="590"/>
      <c r="Q48" s="590"/>
      <c r="R48" s="590"/>
      <c r="S48" s="590"/>
      <c r="T48" s="590"/>
      <c r="U48" s="590"/>
      <c r="V48" s="590"/>
      <c r="W48" s="590"/>
      <c r="X48" s="590"/>
      <c r="Y48" s="590"/>
    </row>
    <row r="49" spans="4:25" ht="15">
      <c r="D49" s="296"/>
      <c r="E49" s="296"/>
      <c r="F49" s="296"/>
      <c r="G49" s="296"/>
      <c r="H49" s="296"/>
      <c r="I49" s="296"/>
      <c r="J49" s="397"/>
      <c r="K49" s="296"/>
      <c r="L49" s="397"/>
      <c r="M49" s="296"/>
      <c r="O49" s="296"/>
      <c r="P49" s="276"/>
      <c r="Q49" s="276"/>
      <c r="R49" s="276"/>
      <c r="S49" s="276"/>
      <c r="T49" s="276"/>
      <c r="U49" s="276"/>
      <c r="V49" s="276"/>
      <c r="W49" s="276"/>
      <c r="X49" s="276"/>
      <c r="Y49" s="276"/>
    </row>
    <row r="50" spans="3:11" ht="30">
      <c r="C50" s="298" t="str">
        <f>C47</f>
        <v>ROAD TRANSPORT</v>
      </c>
      <c r="D50" s="296" t="s">
        <v>195</v>
      </c>
      <c r="G50" s="296"/>
      <c r="K50" s="163" t="s">
        <v>718</v>
      </c>
    </row>
    <row r="51" spans="2:13" ht="15">
      <c r="B51" s="197"/>
      <c r="C51" s="298" t="s">
        <v>138</v>
      </c>
      <c r="D51" s="555">
        <v>25000000</v>
      </c>
      <c r="E51" s="276" t="s">
        <v>654</v>
      </c>
      <c r="G51" s="296"/>
      <c r="K51" s="555">
        <v>1000000</v>
      </c>
      <c r="L51" s="555"/>
      <c r="M51" s="163" t="s">
        <v>719</v>
      </c>
    </row>
    <row r="52" spans="2:13" ht="15" customHeight="1">
      <c r="B52" s="197"/>
      <c r="C52" s="298" t="s">
        <v>139</v>
      </c>
      <c r="D52" s="555">
        <v>11000000</v>
      </c>
      <c r="E52" s="276" t="s">
        <v>654</v>
      </c>
      <c r="F52" s="276"/>
      <c r="G52" s="296"/>
      <c r="H52" s="168"/>
      <c r="I52" s="296"/>
      <c r="J52" s="397"/>
      <c r="K52" s="555">
        <v>500000</v>
      </c>
      <c r="L52" s="555"/>
      <c r="M52" s="163" t="s">
        <v>719</v>
      </c>
    </row>
    <row r="53" spans="2:13" ht="15" customHeight="1">
      <c r="B53" s="197"/>
      <c r="C53" s="188" t="s">
        <v>349</v>
      </c>
      <c r="D53" s="555">
        <v>7500000</v>
      </c>
      <c r="E53" s="276" t="s">
        <v>654</v>
      </c>
      <c r="F53" s="276"/>
      <c r="G53" s="296"/>
      <c r="H53" s="168"/>
      <c r="I53" s="296"/>
      <c r="J53" s="397"/>
      <c r="K53" s="555">
        <v>100000</v>
      </c>
      <c r="L53" s="555"/>
      <c r="M53" s="163" t="s">
        <v>719</v>
      </c>
    </row>
    <row r="54" spans="2:4" ht="15">
      <c r="B54" s="297"/>
      <c r="C54" s="297"/>
      <c r="D54" s="163" t="s">
        <v>386</v>
      </c>
    </row>
    <row r="55" spans="2:4" ht="15">
      <c r="B55" s="297"/>
      <c r="C55" s="297"/>
      <c r="D55" s="163" t="s">
        <v>387</v>
      </c>
    </row>
    <row r="56" spans="1:5" ht="27.75" customHeight="1">
      <c r="A56" s="706" t="s">
        <v>639</v>
      </c>
      <c r="B56" s="592"/>
      <c r="C56" s="592"/>
      <c r="D56" s="556">
        <v>25</v>
      </c>
      <c r="E56" s="163" t="s">
        <v>391</v>
      </c>
    </row>
    <row r="57" spans="1:5" ht="15">
      <c r="A57" s="296"/>
      <c r="B57" s="296"/>
      <c r="C57" s="298" t="s">
        <v>390</v>
      </c>
      <c r="D57" s="162">
        <f>VLOOKUP(D56-1,Sheet1!A$15:C$114,3,FALSE)</f>
        <v>17.058367603016084</v>
      </c>
      <c r="E57" s="163" t="str">
        <f>"Sum of discount factors from year 0 to year "&amp;D56</f>
        <v>Sum of discount factors from year 0 to year 25</v>
      </c>
    </row>
    <row r="58" spans="1:5" ht="15">
      <c r="A58" s="329"/>
      <c r="B58" s="329"/>
      <c r="C58" s="330" t="s">
        <v>785</v>
      </c>
      <c r="D58" s="178">
        <v>0.5</v>
      </c>
      <c r="E58" s="163" t="s">
        <v>786</v>
      </c>
    </row>
    <row r="59" spans="1:5" ht="15">
      <c r="A59" s="296"/>
      <c r="B59" s="197"/>
      <c r="C59" s="298" t="s">
        <v>138</v>
      </c>
      <c r="D59" s="207">
        <f>D51/D57-D51/D57*D58</f>
        <v>732778.2054473887</v>
      </c>
      <c r="E59" s="163" t="s">
        <v>644</v>
      </c>
    </row>
    <row r="60" spans="2:5" ht="15" customHeight="1">
      <c r="B60" s="197"/>
      <c r="C60" s="298" t="s">
        <v>139</v>
      </c>
      <c r="D60" s="207">
        <f>D52/D57-D52/D57*D58</f>
        <v>322422.410396851</v>
      </c>
      <c r="E60" s="163" t="s">
        <v>644</v>
      </c>
    </row>
    <row r="61" spans="2:5" ht="15" customHeight="1">
      <c r="B61" s="197"/>
      <c r="C61" s="188" t="s">
        <v>349</v>
      </c>
      <c r="D61" s="207">
        <f>D53/D57-D53/D57*D58</f>
        <v>219833.46163421663</v>
      </c>
      <c r="E61" s="163" t="s">
        <v>644</v>
      </c>
    </row>
    <row r="62" spans="3:4" ht="15">
      <c r="C62" s="298"/>
      <c r="D62" s="309"/>
    </row>
    <row r="63" spans="4:14" ht="15">
      <c r="D63" s="174">
        <v>1</v>
      </c>
      <c r="E63" s="174">
        <v>0.5</v>
      </c>
      <c r="F63" s="174">
        <v>0.2</v>
      </c>
      <c r="G63" s="174">
        <v>0.1</v>
      </c>
      <c r="H63" s="174">
        <v>0.04</v>
      </c>
      <c r="I63" s="174">
        <v>0.02</v>
      </c>
      <c r="J63" s="408">
        <v>0.0133</v>
      </c>
      <c r="K63" s="174">
        <v>0.01</v>
      </c>
      <c r="L63" s="175">
        <v>0.005</v>
      </c>
      <c r="M63" s="175">
        <v>0.001</v>
      </c>
      <c r="N63" s="176" t="s">
        <v>61</v>
      </c>
    </row>
    <row r="64" spans="3:14" s="197" customFormat="1" ht="15">
      <c r="C64" s="198" t="s">
        <v>717</v>
      </c>
      <c r="D64" s="199">
        <f>'Water levels-Residential'!D32</f>
        <v>1</v>
      </c>
      <c r="E64" s="199">
        <f>'Water levels-Residential'!E32</f>
        <v>0.8944928611162618</v>
      </c>
      <c r="F64" s="199">
        <f>'Water levels-Residential'!F32</f>
        <v>0.5777860189134063</v>
      </c>
      <c r="G64" s="199">
        <f>'Water levels-Residential'!G32</f>
        <v>0.29334322269608754</v>
      </c>
      <c r="H64" s="199">
        <f>'Water levels-Residential'!H32</f>
        <v>0.13777118486927498</v>
      </c>
      <c r="I64" s="199">
        <f>'Water levels-Residential'!I32</f>
        <v>0.058594474318561095</v>
      </c>
      <c r="J64" s="199">
        <f>'Water levels-Residential'!J32</f>
        <v>0.029297237159280547</v>
      </c>
      <c r="K64" s="199">
        <f>'Water levels-Residential'!K32</f>
        <v>0.014648618579640274</v>
      </c>
      <c r="L64" s="199">
        <f>'Water levels-Residential'!L32</f>
        <v>0.01</v>
      </c>
      <c r="M64" s="199">
        <f>'Water levels-Residential'!M32</f>
        <v>0</v>
      </c>
      <c r="N64" s="197" t="s">
        <v>368</v>
      </c>
    </row>
    <row r="65" spans="3:13" s="197" customFormat="1" ht="15">
      <c r="C65" s="171" t="s">
        <v>138</v>
      </c>
      <c r="D65" s="200">
        <f aca="true" t="shared" si="5" ref="D65">IF(D$48="One-off loss",D64*$K$51,$D59)</f>
        <v>732778.2054473887</v>
      </c>
      <c r="E65" s="200">
        <f>IF(E$48="One-off loss",E64*$K$51,$D59)</f>
        <v>732778.2054473887</v>
      </c>
      <c r="F65" s="200">
        <f aca="true" t="shared" si="6" ref="F65:M65">IF(F$48="One-off loss",IF(F64*$K$51&gt;E65,E65,F64*$K$51),$D59)</f>
        <v>577786.0189134063</v>
      </c>
      <c r="G65" s="200">
        <f t="shared" si="6"/>
        <v>293343.22269608756</v>
      </c>
      <c r="H65" s="200">
        <f t="shared" si="6"/>
        <v>137771.18486927496</v>
      </c>
      <c r="I65" s="200">
        <f t="shared" si="6"/>
        <v>58594.47431856109</v>
      </c>
      <c r="J65" s="200">
        <f t="shared" si="6"/>
        <v>29297.237159280547</v>
      </c>
      <c r="K65" s="200">
        <f t="shared" si="6"/>
        <v>14648.618579640273</v>
      </c>
      <c r="L65" s="200">
        <f t="shared" si="6"/>
        <v>10000</v>
      </c>
      <c r="M65" s="200">
        <f t="shared" si="6"/>
        <v>0</v>
      </c>
    </row>
    <row r="66" spans="3:13" s="197" customFormat="1" ht="15">
      <c r="C66" s="171" t="s">
        <v>139</v>
      </c>
      <c r="D66" s="200">
        <f>IF(D48="One-off loss",D64*$K$52,$D60)</f>
        <v>322422.410396851</v>
      </c>
      <c r="E66" s="200">
        <f>IF(E48="One-off loss",E64*$K$52,$D60)</f>
        <v>322422.410396851</v>
      </c>
      <c r="F66" s="200">
        <f>IF(F48="One-off loss",IF(F64*$K$52&gt;E66,E66,F64*$K$52),$D60)</f>
        <v>288893.00945670315</v>
      </c>
      <c r="G66" s="200">
        <f>IF(G48="One-off loss",IF(G64*$K$52&gt;F66,F66,G64*$K$52),$D60)</f>
        <v>146671.61134804378</v>
      </c>
      <c r="H66" s="200">
        <f>IF(H48="One-off loss",IF(H64*$K$52&gt;G66,G66,H64*$K$52),$D60)</f>
        <v>68885.59243463748</v>
      </c>
      <c r="I66" s="200">
        <f>IF(I48="One-off loss",IF(I64*$K$52&gt;H66,H66,I64*$K$52),$D60)</f>
        <v>29297.237159280547</v>
      </c>
      <c r="J66" s="200">
        <f aca="true" t="shared" si="7" ref="J66">IF(J48="One-off loss",IF(J64*$K$52&gt;I66,I66,J64*$K$52),$D60)</f>
        <v>14648.618579640273</v>
      </c>
      <c r="K66" s="200">
        <f aca="true" t="shared" si="8" ref="K66:L66">IF(K48="One-off loss",IF(K64*$K$52&gt;J66,J66,K64*$K$52),$D60)</f>
        <v>7324.309289820137</v>
      </c>
      <c r="L66" s="200">
        <f t="shared" si="8"/>
        <v>5000</v>
      </c>
      <c r="M66" s="200">
        <f aca="true" t="shared" si="9" ref="M66">IF(M48="One-off loss",IF(M64*$K$52&gt;L66,L66,M64*$K$52),$D60)</f>
        <v>0</v>
      </c>
    </row>
    <row r="67" spans="3:13" s="197" customFormat="1" ht="15">
      <c r="C67" s="188" t="s">
        <v>349</v>
      </c>
      <c r="D67" s="200">
        <f>IF(D48="One-off loss",D64*$K$53,$D61)</f>
        <v>219833.46163421663</v>
      </c>
      <c r="E67" s="200">
        <f>IF(E48="One-off loss",E64*$K$53,$D61)</f>
        <v>219833.46163421663</v>
      </c>
      <c r="F67" s="200">
        <f>IF(F48="One-off loss",IF(F64*$K$53&gt;E67,E67,F64*$K$53),$D61)</f>
        <v>57778.60189134063</v>
      </c>
      <c r="G67" s="200">
        <f>IF(G48="One-off loss",IF(G64*$K$53&gt;F67,F67,G64*$K$53),$D61)</f>
        <v>29334.322269608754</v>
      </c>
      <c r="H67" s="200">
        <f>IF(H48="One-off loss",IF(H64*$K$53&gt;G67,G67,H64*$K$53),$D61)</f>
        <v>13777.118486927498</v>
      </c>
      <c r="I67" s="200">
        <f>IF(I48="One-off loss",IF(I64*$K$53&gt;H67,H67,I64*$K$53),$D61)</f>
        <v>5859.44743185611</v>
      </c>
      <c r="J67" s="200">
        <f aca="true" t="shared" si="10" ref="J67">IF(J48="One-off loss",IF(J64*$K$53&gt;I67,I67,J64*$K$53),$D61)</f>
        <v>2929.723715928055</v>
      </c>
      <c r="K67" s="200">
        <f aca="true" t="shared" si="11" ref="K67:L67">IF(K48="One-off loss",IF(K64*$K$53&gt;J67,J67,K64*$K$53),$D61)</f>
        <v>1464.8618579640274</v>
      </c>
      <c r="L67" s="200">
        <f t="shared" si="11"/>
        <v>1000</v>
      </c>
      <c r="M67" s="200">
        <f aca="true" t="shared" si="12" ref="M67">IF(M48="One-off loss",IF(M64*$K$53&gt;L67,L67,M64*$K$53),$D61)</f>
        <v>0</v>
      </c>
    </row>
    <row r="68" spans="3:13" s="197" customFormat="1" ht="15">
      <c r="C68" s="198"/>
      <c r="D68" s="189"/>
      <c r="E68" s="189"/>
      <c r="F68" s="189"/>
      <c r="G68" s="189"/>
      <c r="H68" s="189"/>
      <c r="I68" s="189"/>
      <c r="J68" s="189"/>
      <c r="K68" s="189"/>
      <c r="L68" s="189"/>
      <c r="M68" s="189"/>
    </row>
    <row r="69" spans="4:14" ht="15">
      <c r="D69" s="174">
        <v>1</v>
      </c>
      <c r="E69" s="174">
        <v>0.5</v>
      </c>
      <c r="F69" s="174">
        <v>0.2</v>
      </c>
      <c r="G69" s="174">
        <v>0.1</v>
      </c>
      <c r="H69" s="174">
        <v>0.04</v>
      </c>
      <c r="I69" s="174">
        <v>0.02</v>
      </c>
      <c r="J69" s="408">
        <v>0.0133</v>
      </c>
      <c r="K69" s="174">
        <v>0.01</v>
      </c>
      <c r="L69" s="175">
        <v>0.005</v>
      </c>
      <c r="M69" s="175">
        <v>0.001</v>
      </c>
      <c r="N69" s="176" t="s">
        <v>61</v>
      </c>
    </row>
    <row r="70" spans="3:14" s="197" customFormat="1" ht="15">
      <c r="C70" s="198" t="s">
        <v>720</v>
      </c>
      <c r="D70" s="199">
        <f>D64</f>
        <v>1</v>
      </c>
      <c r="E70" s="199">
        <f aca="true" t="shared" si="13" ref="E70:I70">E64</f>
        <v>0.8944928611162618</v>
      </c>
      <c r="F70" s="199">
        <f t="shared" si="13"/>
        <v>0.5777860189134063</v>
      </c>
      <c r="G70" s="199">
        <f t="shared" si="13"/>
        <v>0.29334322269608754</v>
      </c>
      <c r="H70" s="199">
        <f t="shared" si="13"/>
        <v>0.13777118486927498</v>
      </c>
      <c r="I70" s="199">
        <f t="shared" si="13"/>
        <v>0.058594474318561095</v>
      </c>
      <c r="J70" s="199">
        <f aca="true" t="shared" si="14" ref="J70:M70">J64</f>
        <v>0.029297237159280547</v>
      </c>
      <c r="K70" s="199">
        <f t="shared" si="14"/>
        <v>0.014648618579640274</v>
      </c>
      <c r="L70" s="199">
        <f t="shared" si="14"/>
        <v>0.01</v>
      </c>
      <c r="M70" s="199">
        <f t="shared" si="14"/>
        <v>0</v>
      </c>
      <c r="N70" s="197" t="s">
        <v>368</v>
      </c>
    </row>
    <row r="71" spans="3:13" s="197" customFormat="1" ht="15">
      <c r="C71" s="304" t="s">
        <v>138</v>
      </c>
      <c r="D71" s="200">
        <f>IF(D$48="One-off loss",D70*$D$45,0)</f>
        <v>0</v>
      </c>
      <c r="E71" s="200">
        <f aca="true" t="shared" si="15" ref="E71:I71">IF(E$48="One-off loss",E70*$D$45,0)</f>
        <v>0</v>
      </c>
      <c r="F71" s="200">
        <f t="shared" si="15"/>
        <v>7976.172916773597</v>
      </c>
      <c r="G71" s="200">
        <f t="shared" si="15"/>
        <v>4049.520396128315</v>
      </c>
      <c r="H71" s="200">
        <f t="shared" si="15"/>
        <v>1901.8923225811238</v>
      </c>
      <c r="I71" s="200">
        <f t="shared" si="15"/>
        <v>808.8801802633043</v>
      </c>
      <c r="J71" s="200">
        <f aca="true" t="shared" si="16" ref="J71:M71">IF(J$48="One-off loss",J70*$D$45,0)</f>
        <v>404.44009013165214</v>
      </c>
      <c r="K71" s="200">
        <f t="shared" si="16"/>
        <v>202.22004506582607</v>
      </c>
      <c r="L71" s="200">
        <f t="shared" si="16"/>
        <v>138.04717760000003</v>
      </c>
      <c r="M71" s="200">
        <f t="shared" si="16"/>
        <v>0</v>
      </c>
    </row>
    <row r="72" spans="3:13" s="197" customFormat="1" ht="15">
      <c r="C72" s="304" t="s">
        <v>139</v>
      </c>
      <c r="D72" s="200">
        <f aca="true" t="shared" si="17" ref="D72:M72">IF(D48="One-off loss",D70*$E$45,0)</f>
        <v>0</v>
      </c>
      <c r="E72" s="200">
        <f t="shared" si="17"/>
        <v>0</v>
      </c>
      <c r="F72" s="200">
        <f t="shared" si="17"/>
        <v>1218.2941075616543</v>
      </c>
      <c r="G72" s="200">
        <f t="shared" si="17"/>
        <v>618.5305770739849</v>
      </c>
      <c r="H72" s="200">
        <f t="shared" si="17"/>
        <v>290.49824195067686</v>
      </c>
      <c r="I72" s="200">
        <f t="shared" si="17"/>
        <v>123.54972335991101</v>
      </c>
      <c r="J72" s="200">
        <f t="shared" si="17"/>
        <v>61.77486167995551</v>
      </c>
      <c r="K72" s="200">
        <f t="shared" si="17"/>
        <v>30.887430839977753</v>
      </c>
      <c r="L72" s="200">
        <f t="shared" si="17"/>
        <v>21.085558800000005</v>
      </c>
      <c r="M72" s="200">
        <f t="shared" si="17"/>
        <v>0</v>
      </c>
    </row>
    <row r="73" spans="3:13" s="197" customFormat="1" ht="15">
      <c r="C73" s="188" t="s">
        <v>349</v>
      </c>
      <c r="D73" s="200">
        <f aca="true" t="shared" si="18" ref="D73:M73">IF(D48="One-off loss",D70*$F$45,0)</f>
        <v>0</v>
      </c>
      <c r="E73" s="200">
        <f t="shared" si="18"/>
        <v>0</v>
      </c>
      <c r="F73" s="200">
        <f t="shared" si="18"/>
        <v>358.9901017170407</v>
      </c>
      <c r="G73" s="200">
        <f t="shared" si="18"/>
        <v>182.26005806044876</v>
      </c>
      <c r="H73" s="200">
        <f t="shared" si="18"/>
        <v>85.60001462636752</v>
      </c>
      <c r="I73" s="200">
        <f t="shared" si="18"/>
        <v>36.40592815872428</v>
      </c>
      <c r="J73" s="200">
        <f t="shared" si="18"/>
        <v>18.20296407936214</v>
      </c>
      <c r="K73" s="200">
        <f t="shared" si="18"/>
        <v>9.10148203968107</v>
      </c>
      <c r="L73" s="200">
        <f t="shared" si="18"/>
        <v>6.213201600000001</v>
      </c>
      <c r="M73" s="200">
        <f t="shared" si="18"/>
        <v>0</v>
      </c>
    </row>
    <row r="74" spans="4:13" ht="15">
      <c r="D74" s="169">
        <v>1</v>
      </c>
      <c r="E74" s="169">
        <v>0.5</v>
      </c>
      <c r="F74" s="169">
        <v>0.2</v>
      </c>
      <c r="G74" s="169">
        <v>0.1</v>
      </c>
      <c r="H74" s="169">
        <v>0.04</v>
      </c>
      <c r="I74" s="169">
        <v>0.02</v>
      </c>
      <c r="J74" s="407">
        <v>0.0133</v>
      </c>
      <c r="K74" s="169">
        <v>0.01</v>
      </c>
      <c r="L74" s="170">
        <v>0.005</v>
      </c>
      <c r="M74" s="170">
        <v>0.001</v>
      </c>
    </row>
    <row r="75" spans="4:13" ht="15">
      <c r="D75" s="553">
        <v>0.01</v>
      </c>
      <c r="E75" s="553">
        <v>0.02</v>
      </c>
      <c r="F75" s="553">
        <v>0.05</v>
      </c>
      <c r="G75" s="553">
        <v>0.1</v>
      </c>
      <c r="H75" s="553">
        <v>0.25</v>
      </c>
      <c r="I75" s="553">
        <v>0.8</v>
      </c>
      <c r="J75" s="553">
        <f>(K75-I75)*0.67+I75</f>
        <v>0.8871</v>
      </c>
      <c r="K75" s="553">
        <v>0.93</v>
      </c>
      <c r="L75" s="553">
        <f>(K75+M75)/2</f>
        <v>0.9650000000000001</v>
      </c>
      <c r="M75" s="553">
        <v>1</v>
      </c>
    </row>
    <row r="76" spans="3:13" ht="15">
      <c r="C76" s="275" t="s">
        <v>592</v>
      </c>
      <c r="D76" s="552"/>
      <c r="E76" s="189"/>
      <c r="F76" s="189"/>
      <c r="G76" s="189"/>
      <c r="H76" s="189"/>
      <c r="I76" s="189"/>
      <c r="J76" s="189"/>
      <c r="K76" s="189"/>
      <c r="L76" s="189"/>
      <c r="M76" s="189"/>
    </row>
    <row r="77" spans="1:14" ht="32.25" customHeight="1">
      <c r="A77" s="706" t="s">
        <v>593</v>
      </c>
      <c r="B77" s="592"/>
      <c r="C77" s="592"/>
      <c r="D77" s="278">
        <f>$D$76*D75</f>
        <v>0</v>
      </c>
      <c r="E77" s="278">
        <f aca="true" t="shared" si="19" ref="E77:I77">$D$76*E75</f>
        <v>0</v>
      </c>
      <c r="F77" s="278">
        <f t="shared" si="19"/>
        <v>0</v>
      </c>
      <c r="G77" s="278">
        <f t="shared" si="19"/>
        <v>0</v>
      </c>
      <c r="H77" s="278">
        <f t="shared" si="19"/>
        <v>0</v>
      </c>
      <c r="I77" s="278">
        <f t="shared" si="19"/>
        <v>0</v>
      </c>
      <c r="J77" s="278">
        <f aca="true" t="shared" si="20" ref="J77:M77">$D$76*J75</f>
        <v>0</v>
      </c>
      <c r="K77" s="278">
        <f t="shared" si="20"/>
        <v>0</v>
      </c>
      <c r="L77" s="278">
        <f t="shared" si="20"/>
        <v>0</v>
      </c>
      <c r="M77" s="278">
        <f t="shared" si="20"/>
        <v>0</v>
      </c>
      <c r="N77" s="163" t="s">
        <v>587</v>
      </c>
    </row>
    <row r="78" spans="1:13" ht="32.25" customHeight="1">
      <c r="A78" s="706" t="s">
        <v>617</v>
      </c>
      <c r="B78" s="591"/>
      <c r="C78" s="591"/>
      <c r="D78" s="278">
        <f>D77</f>
        <v>0</v>
      </c>
      <c r="E78" s="278">
        <f>E77-D77</f>
        <v>0</v>
      </c>
      <c r="F78" s="278">
        <f aca="true" t="shared" si="21" ref="F78:I78">F77-E77</f>
        <v>0</v>
      </c>
      <c r="G78" s="278">
        <f t="shared" si="21"/>
        <v>0</v>
      </c>
      <c r="H78" s="278">
        <f t="shared" si="21"/>
        <v>0</v>
      </c>
      <c r="I78" s="278">
        <f t="shared" si="21"/>
        <v>0</v>
      </c>
      <c r="J78" s="278">
        <f aca="true" t="shared" si="22" ref="J78">J77-I77</f>
        <v>0</v>
      </c>
      <c r="K78" s="278">
        <f aca="true" t="shared" si="23" ref="K78">K77-J77</f>
        <v>0</v>
      </c>
      <c r="L78" s="278">
        <f aca="true" t="shared" si="24" ref="L78">L77-K77</f>
        <v>0</v>
      </c>
      <c r="M78" s="278">
        <f aca="true" t="shared" si="25" ref="M78">M77-L77</f>
        <v>0</v>
      </c>
    </row>
    <row r="80" spans="3:6" ht="15">
      <c r="C80" s="171"/>
      <c r="E80" s="163" t="s">
        <v>262</v>
      </c>
      <c r="F80" s="163" t="str">
        <f>"Length (km) of "&amp;C81&amp;" whose risk changes due to changes in water levels"</f>
        <v>Length (km) of MOTORWAY whose risk changes due to changes in water levels</v>
      </c>
    </row>
    <row r="81" spans="3:13" ht="15">
      <c r="C81" s="171" t="s">
        <v>348</v>
      </c>
      <c r="D81" s="169">
        <v>1</v>
      </c>
      <c r="E81" s="169">
        <v>0.5</v>
      </c>
      <c r="F81" s="169">
        <v>0.2</v>
      </c>
      <c r="G81" s="169">
        <v>0.1</v>
      </c>
      <c r="H81" s="169">
        <v>0.04</v>
      </c>
      <c r="I81" s="169">
        <v>0.02</v>
      </c>
      <c r="J81" s="407">
        <v>0.0133</v>
      </c>
      <c r="K81" s="169">
        <v>0.01</v>
      </c>
      <c r="L81" s="170">
        <v>0.005</v>
      </c>
      <c r="M81" s="170">
        <v>0.001</v>
      </c>
    </row>
    <row r="82" spans="3:15" ht="15">
      <c r="C82" s="169">
        <v>1</v>
      </c>
      <c r="D82" s="550"/>
      <c r="E82" s="550"/>
      <c r="F82" s="550"/>
      <c r="G82" s="550"/>
      <c r="H82" s="550"/>
      <c r="I82" s="550"/>
      <c r="J82" s="550"/>
      <c r="K82" s="550"/>
      <c r="L82" s="550"/>
      <c r="M82" s="550"/>
      <c r="O82" s="163" t="s">
        <v>512</v>
      </c>
    </row>
    <row r="83" spans="2:13" ht="15">
      <c r="B83" s="591" t="s">
        <v>294</v>
      </c>
      <c r="C83" s="169">
        <v>0.5</v>
      </c>
      <c r="D83" s="550"/>
      <c r="E83" s="550"/>
      <c r="F83" s="550"/>
      <c r="G83" s="550"/>
      <c r="H83" s="550"/>
      <c r="I83" s="550"/>
      <c r="J83" s="550"/>
      <c r="K83" s="550"/>
      <c r="L83" s="550"/>
      <c r="M83" s="550"/>
    </row>
    <row r="84" spans="2:13" ht="15">
      <c r="B84" s="592"/>
      <c r="C84" s="169">
        <v>0.2</v>
      </c>
      <c r="D84" s="550"/>
      <c r="E84" s="550"/>
      <c r="F84" s="550"/>
      <c r="G84" s="550"/>
      <c r="H84" s="550"/>
      <c r="I84" s="550"/>
      <c r="J84" s="550"/>
      <c r="K84" s="550"/>
      <c r="L84" s="550"/>
      <c r="M84" s="550"/>
    </row>
    <row r="85" spans="3:13" ht="15">
      <c r="C85" s="169">
        <v>0.1</v>
      </c>
      <c r="D85" s="550"/>
      <c r="E85" s="550"/>
      <c r="F85" s="550"/>
      <c r="G85" s="550"/>
      <c r="H85" s="550"/>
      <c r="I85" s="550"/>
      <c r="J85" s="550"/>
      <c r="K85" s="550"/>
      <c r="L85" s="550"/>
      <c r="M85" s="550"/>
    </row>
    <row r="86" spans="3:13" ht="15">
      <c r="C86" s="169">
        <v>0.04</v>
      </c>
      <c r="D86" s="550"/>
      <c r="E86" s="550"/>
      <c r="F86" s="550"/>
      <c r="G86" s="550"/>
      <c r="H86" s="550"/>
      <c r="I86" s="550"/>
      <c r="J86" s="550"/>
      <c r="K86" s="550"/>
      <c r="L86" s="550"/>
      <c r="M86" s="550"/>
    </row>
    <row r="87" spans="3:13" ht="15">
      <c r="C87" s="169">
        <v>0.02</v>
      </c>
      <c r="D87" s="550"/>
      <c r="E87" s="550"/>
      <c r="F87" s="550"/>
      <c r="G87" s="550"/>
      <c r="H87" s="550"/>
      <c r="I87" s="550"/>
      <c r="J87" s="550"/>
      <c r="K87" s="550"/>
      <c r="L87" s="550"/>
      <c r="M87" s="550"/>
    </row>
    <row r="88" spans="3:13" ht="15">
      <c r="C88" s="407">
        <v>0.0133</v>
      </c>
      <c r="D88" s="550"/>
      <c r="E88" s="550"/>
      <c r="F88" s="550"/>
      <c r="G88" s="550"/>
      <c r="H88" s="550"/>
      <c r="I88" s="550"/>
      <c r="J88" s="550"/>
      <c r="K88" s="550"/>
      <c r="L88" s="550"/>
      <c r="M88" s="550"/>
    </row>
    <row r="89" spans="3:13" ht="15">
      <c r="C89" s="169">
        <v>0.01</v>
      </c>
      <c r="D89" s="550"/>
      <c r="E89" s="550"/>
      <c r="F89" s="550"/>
      <c r="G89" s="550"/>
      <c r="H89" s="550"/>
      <c r="I89" s="550"/>
      <c r="J89" s="550"/>
      <c r="K89" s="550"/>
      <c r="L89" s="550"/>
      <c r="M89" s="550"/>
    </row>
    <row r="90" spans="3:13" ht="15">
      <c r="C90" s="170">
        <v>0.005</v>
      </c>
      <c r="D90" s="550"/>
      <c r="E90" s="550"/>
      <c r="F90" s="550"/>
      <c r="G90" s="550"/>
      <c r="H90" s="550"/>
      <c r="I90" s="550"/>
      <c r="J90" s="550"/>
      <c r="K90" s="550"/>
      <c r="L90" s="550"/>
      <c r="M90" s="550"/>
    </row>
    <row r="91" spans="3:13" ht="15">
      <c r="C91" s="170">
        <v>0.001</v>
      </c>
      <c r="D91" s="550"/>
      <c r="E91" s="550"/>
      <c r="F91" s="550"/>
      <c r="G91" s="550"/>
      <c r="H91" s="550"/>
      <c r="I91" s="550"/>
      <c r="J91" s="550"/>
      <c r="K91" s="550"/>
      <c r="L91" s="550"/>
      <c r="M91" s="550"/>
    </row>
    <row r="93" spans="3:6" ht="15">
      <c r="C93" s="171"/>
      <c r="E93" s="163" t="s">
        <v>262</v>
      </c>
      <c r="F93" s="163" t="str">
        <f>"Length (km) of "&amp;C94&amp;" whose risk changes due to changes in water levels"</f>
        <v>Length (km) of A ROAD and CRITICAL B ROADS whose risk changes due to changes in water levels</v>
      </c>
    </row>
    <row r="94" spans="3:13" ht="15">
      <c r="C94" s="171" t="s">
        <v>795</v>
      </c>
      <c r="D94" s="169">
        <v>1</v>
      </c>
      <c r="E94" s="169">
        <v>0.5</v>
      </c>
      <c r="F94" s="169">
        <v>0.2</v>
      </c>
      <c r="G94" s="169">
        <v>0.1</v>
      </c>
      <c r="H94" s="169">
        <v>0.04</v>
      </c>
      <c r="I94" s="169">
        <v>0.02</v>
      </c>
      <c r="J94" s="407">
        <v>0.0133</v>
      </c>
      <c r="K94" s="169">
        <v>0.01</v>
      </c>
      <c r="L94" s="170">
        <v>0.005</v>
      </c>
      <c r="M94" s="170">
        <v>0.001</v>
      </c>
    </row>
    <row r="95" spans="3:15" ht="15">
      <c r="C95" s="169">
        <v>1</v>
      </c>
      <c r="D95" s="550"/>
      <c r="E95" s="550"/>
      <c r="F95" s="550"/>
      <c r="G95" s="550"/>
      <c r="H95" s="550"/>
      <c r="I95" s="550"/>
      <c r="J95" s="550"/>
      <c r="K95" s="550"/>
      <c r="L95" s="550"/>
      <c r="M95" s="550"/>
      <c r="O95" s="163" t="s">
        <v>798</v>
      </c>
    </row>
    <row r="96" spans="2:15" ht="15">
      <c r="B96" s="591" t="s">
        <v>294</v>
      </c>
      <c r="C96" s="169">
        <v>0.5</v>
      </c>
      <c r="D96" s="550"/>
      <c r="E96" s="550"/>
      <c r="F96" s="550"/>
      <c r="G96" s="550"/>
      <c r="H96" s="550"/>
      <c r="I96" s="550"/>
      <c r="J96" s="550"/>
      <c r="K96" s="550"/>
      <c r="L96" s="550"/>
      <c r="M96" s="550"/>
      <c r="O96" s="163" t="s">
        <v>799</v>
      </c>
    </row>
    <row r="97" spans="2:13" ht="15">
      <c r="B97" s="592"/>
      <c r="C97" s="169">
        <v>0.2</v>
      </c>
      <c r="D97" s="550"/>
      <c r="E97" s="550"/>
      <c r="F97" s="550"/>
      <c r="G97" s="550"/>
      <c r="H97" s="550"/>
      <c r="I97" s="550"/>
      <c r="J97" s="550"/>
      <c r="K97" s="550"/>
      <c r="L97" s="550"/>
      <c r="M97" s="550"/>
    </row>
    <row r="98" spans="3:13" ht="15">
      <c r="C98" s="169">
        <v>0.1</v>
      </c>
      <c r="D98" s="550"/>
      <c r="E98" s="550"/>
      <c r="F98" s="550"/>
      <c r="G98" s="550"/>
      <c r="H98" s="550"/>
      <c r="I98" s="550"/>
      <c r="J98" s="550"/>
      <c r="K98" s="550"/>
      <c r="L98" s="550"/>
      <c r="M98" s="550"/>
    </row>
    <row r="99" spans="3:13" ht="15">
      <c r="C99" s="169">
        <v>0.04</v>
      </c>
      <c r="D99" s="550"/>
      <c r="E99" s="550"/>
      <c r="F99" s="550"/>
      <c r="G99" s="550"/>
      <c r="H99" s="550"/>
      <c r="I99" s="550"/>
      <c r="J99" s="550"/>
      <c r="K99" s="550"/>
      <c r="L99" s="550"/>
      <c r="M99" s="550"/>
    </row>
    <row r="100" spans="3:13" ht="15">
      <c r="C100" s="169">
        <v>0.02</v>
      </c>
      <c r="D100" s="550"/>
      <c r="E100" s="550"/>
      <c r="F100" s="550"/>
      <c r="G100" s="550"/>
      <c r="H100" s="550"/>
      <c r="I100" s="550"/>
      <c r="J100" s="550"/>
      <c r="K100" s="550"/>
      <c r="L100" s="550"/>
      <c r="M100" s="550"/>
    </row>
    <row r="101" spans="3:13" ht="15">
      <c r="C101" s="407">
        <v>0.0133</v>
      </c>
      <c r="D101" s="550"/>
      <c r="E101" s="550"/>
      <c r="F101" s="550"/>
      <c r="G101" s="550"/>
      <c r="H101" s="550"/>
      <c r="I101" s="550"/>
      <c r="J101" s="550"/>
      <c r="K101" s="550"/>
      <c r="L101" s="550"/>
      <c r="M101" s="550"/>
    </row>
    <row r="102" spans="3:15" ht="15">
      <c r="C102" s="169">
        <v>0.01</v>
      </c>
      <c r="D102" s="550"/>
      <c r="E102" s="550"/>
      <c r="F102" s="550"/>
      <c r="G102" s="550"/>
      <c r="H102" s="550"/>
      <c r="I102" s="550"/>
      <c r="J102" s="550"/>
      <c r="K102" s="550"/>
      <c r="L102" s="550"/>
      <c r="M102" s="550"/>
      <c r="O102" s="184"/>
    </row>
    <row r="103" spans="3:15" ht="15">
      <c r="C103" s="170">
        <v>0.005</v>
      </c>
      <c r="D103" s="550"/>
      <c r="E103" s="550"/>
      <c r="F103" s="550"/>
      <c r="G103" s="550"/>
      <c r="H103" s="550"/>
      <c r="I103" s="550"/>
      <c r="J103" s="550"/>
      <c r="K103" s="550"/>
      <c r="L103" s="550"/>
      <c r="M103" s="550"/>
      <c r="O103" s="184"/>
    </row>
    <row r="104" spans="3:15" ht="15">
      <c r="C104" s="170">
        <v>0.001</v>
      </c>
      <c r="D104" s="550"/>
      <c r="E104" s="550"/>
      <c r="F104" s="550"/>
      <c r="G104" s="550"/>
      <c r="H104" s="550"/>
      <c r="I104" s="550"/>
      <c r="J104" s="550"/>
      <c r="K104" s="550"/>
      <c r="L104" s="550"/>
      <c r="M104" s="550"/>
      <c r="O104" s="184"/>
    </row>
    <row r="105" ht="15">
      <c r="O105" s="184"/>
    </row>
    <row r="106" spans="3:20" ht="15">
      <c r="C106" s="171"/>
      <c r="E106" s="163" t="s">
        <v>262</v>
      </c>
      <c r="F106" s="163" t="str">
        <f>"Length (km) of "&amp;A107&amp;" whose risk changes due to changes in water levels"</f>
        <v>Length (km) of OTHER ROADS whose risk changes due to changes in water levels</v>
      </c>
      <c r="M106" s="560"/>
      <c r="N106" s="560"/>
      <c r="O106" s="560"/>
      <c r="P106" s="714"/>
      <c r="Q106" s="715"/>
      <c r="R106" s="715"/>
      <c r="S106" s="715"/>
      <c r="T106" s="715"/>
    </row>
    <row r="107" spans="1:15" ht="15">
      <c r="A107" s="706" t="s">
        <v>796</v>
      </c>
      <c r="B107" s="590"/>
      <c r="C107" s="590"/>
      <c r="D107" s="169">
        <v>1</v>
      </c>
      <c r="E107" s="169">
        <v>0.5</v>
      </c>
      <c r="F107" s="169">
        <v>0.2</v>
      </c>
      <c r="G107" s="169">
        <v>0.1</v>
      </c>
      <c r="H107" s="169">
        <v>0.04</v>
      </c>
      <c r="I107" s="169">
        <v>0.02</v>
      </c>
      <c r="J107" s="407">
        <v>0.0133</v>
      </c>
      <c r="K107" s="169">
        <v>0.01</v>
      </c>
      <c r="L107" s="170">
        <v>0.005</v>
      </c>
      <c r="M107" s="170">
        <v>0.001</v>
      </c>
      <c r="O107" s="184"/>
    </row>
    <row r="108" spans="3:15" ht="15">
      <c r="C108" s="169">
        <v>1</v>
      </c>
      <c r="D108" s="550"/>
      <c r="E108" s="550"/>
      <c r="F108" s="550"/>
      <c r="G108" s="550"/>
      <c r="H108" s="550"/>
      <c r="I108" s="550"/>
      <c r="J108" s="550"/>
      <c r="K108" s="550"/>
      <c r="L108" s="550"/>
      <c r="M108" s="550"/>
      <c r="O108" s="163" t="s">
        <v>513</v>
      </c>
    </row>
    <row r="109" spans="2:15" ht="15">
      <c r="B109" s="591" t="s">
        <v>294</v>
      </c>
      <c r="C109" s="169">
        <v>0.5</v>
      </c>
      <c r="D109" s="550"/>
      <c r="E109" s="550"/>
      <c r="F109" s="550"/>
      <c r="G109" s="550"/>
      <c r="H109" s="550"/>
      <c r="I109" s="550"/>
      <c r="J109" s="550"/>
      <c r="K109" s="550"/>
      <c r="L109" s="550"/>
      <c r="M109" s="550"/>
      <c r="O109" s="163" t="s">
        <v>797</v>
      </c>
    </row>
    <row r="110" spans="2:13" ht="15">
      <c r="B110" s="592"/>
      <c r="C110" s="169">
        <v>0.2</v>
      </c>
      <c r="D110" s="550"/>
      <c r="E110" s="550"/>
      <c r="F110" s="550"/>
      <c r="G110" s="550"/>
      <c r="H110" s="550"/>
      <c r="I110" s="550"/>
      <c r="J110" s="550"/>
      <c r="K110" s="550"/>
      <c r="L110" s="550"/>
      <c r="M110" s="550"/>
    </row>
    <row r="111" spans="3:13" ht="15">
      <c r="C111" s="169">
        <v>0.1</v>
      </c>
      <c r="D111" s="550"/>
      <c r="E111" s="550"/>
      <c r="F111" s="550"/>
      <c r="G111" s="550"/>
      <c r="H111" s="550"/>
      <c r="I111" s="550"/>
      <c r="J111" s="550"/>
      <c r="K111" s="550"/>
      <c r="L111" s="550"/>
      <c r="M111" s="550"/>
    </row>
    <row r="112" spans="3:13" ht="15">
      <c r="C112" s="169">
        <v>0.04</v>
      </c>
      <c r="D112" s="550"/>
      <c r="E112" s="550"/>
      <c r="F112" s="550"/>
      <c r="G112" s="550"/>
      <c r="H112" s="550"/>
      <c r="I112" s="550"/>
      <c r="J112" s="550"/>
      <c r="K112" s="550"/>
      <c r="L112" s="550"/>
      <c r="M112" s="550"/>
    </row>
    <row r="113" spans="3:13" ht="15">
      <c r="C113" s="169">
        <v>0.02</v>
      </c>
      <c r="D113" s="550"/>
      <c r="E113" s="550"/>
      <c r="F113" s="550"/>
      <c r="G113" s="550"/>
      <c r="H113" s="550"/>
      <c r="I113" s="550"/>
      <c r="J113" s="550"/>
      <c r="K113" s="550"/>
      <c r="L113" s="550"/>
      <c r="M113" s="550"/>
    </row>
    <row r="114" spans="3:13" ht="15">
      <c r="C114" s="407">
        <v>0.0133</v>
      </c>
      <c r="D114" s="550"/>
      <c r="E114" s="550"/>
      <c r="F114" s="550"/>
      <c r="G114" s="550"/>
      <c r="H114" s="550"/>
      <c r="I114" s="550"/>
      <c r="J114" s="550"/>
      <c r="K114" s="550"/>
      <c r="L114" s="550"/>
      <c r="M114" s="550"/>
    </row>
    <row r="115" spans="3:13" ht="15">
      <c r="C115" s="169">
        <v>0.01</v>
      </c>
      <c r="D115" s="550"/>
      <c r="E115" s="550"/>
      <c r="F115" s="550"/>
      <c r="G115" s="550"/>
      <c r="H115" s="550"/>
      <c r="I115" s="550"/>
      <c r="J115" s="550"/>
      <c r="K115" s="550"/>
      <c r="L115" s="550"/>
      <c r="M115" s="550"/>
    </row>
    <row r="116" spans="3:13" ht="15">
      <c r="C116" s="170">
        <v>0.005</v>
      </c>
      <c r="D116" s="550"/>
      <c r="E116" s="550"/>
      <c r="F116" s="550"/>
      <c r="G116" s="550"/>
      <c r="H116" s="550"/>
      <c r="I116" s="550"/>
      <c r="J116" s="550"/>
      <c r="K116" s="550"/>
      <c r="L116" s="550"/>
      <c r="M116" s="550"/>
    </row>
    <row r="117" spans="3:13" ht="15">
      <c r="C117" s="170">
        <v>0.001</v>
      </c>
      <c r="D117" s="550"/>
      <c r="E117" s="550"/>
      <c r="F117" s="550"/>
      <c r="G117" s="550"/>
      <c r="H117" s="550"/>
      <c r="I117" s="550"/>
      <c r="J117" s="550"/>
      <c r="K117" s="550"/>
      <c r="L117" s="550"/>
      <c r="M117" s="550"/>
    </row>
    <row r="118" spans="3:13" ht="15">
      <c r="C118" s="170"/>
      <c r="D118" s="181"/>
      <c r="E118" s="181"/>
      <c r="F118" s="181"/>
      <c r="G118" s="181"/>
      <c r="H118" s="181"/>
      <c r="I118" s="181"/>
      <c r="J118" s="181"/>
      <c r="K118" s="181"/>
      <c r="L118" s="181"/>
      <c r="M118" s="181"/>
    </row>
    <row r="119" spans="3:6" ht="15">
      <c r="C119" s="176" t="s">
        <v>721</v>
      </c>
      <c r="E119" s="163" t="s">
        <v>262</v>
      </c>
      <c r="F119" s="163" t="s">
        <v>280</v>
      </c>
    </row>
    <row r="120" spans="1:13" ht="15">
      <c r="A120" s="711" t="str">
        <f>C81</f>
        <v>MOTORWAY</v>
      </c>
      <c r="B120" s="590"/>
      <c r="C120" s="590"/>
      <c r="D120" s="169">
        <v>1</v>
      </c>
      <c r="E120" s="169">
        <v>0.5</v>
      </c>
      <c r="F120" s="169">
        <v>0.2</v>
      </c>
      <c r="G120" s="169">
        <v>0.1</v>
      </c>
      <c r="H120" s="169">
        <v>0.04</v>
      </c>
      <c r="I120" s="169">
        <v>0.02</v>
      </c>
      <c r="J120" s="407">
        <v>0.0133</v>
      </c>
      <c r="K120" s="169">
        <v>0.01</v>
      </c>
      <c r="L120" s="170">
        <v>0.005</v>
      </c>
      <c r="M120" s="170">
        <v>0.001</v>
      </c>
    </row>
    <row r="121" spans="3:14" ht="15">
      <c r="C121" s="169">
        <v>1</v>
      </c>
      <c r="D121" s="173">
        <f>IF($D65-D65&lt;0,0,$D65-D65)</f>
        <v>0</v>
      </c>
      <c r="E121" s="173">
        <f aca="true" t="shared" si="26" ref="E121:M121">IF($D65-E65&lt;0,0,$D65-E65)</f>
        <v>0</v>
      </c>
      <c r="F121" s="173">
        <f t="shared" si="26"/>
        <v>154992.1865339824</v>
      </c>
      <c r="G121" s="173">
        <f t="shared" si="26"/>
        <v>439434.98275130114</v>
      </c>
      <c r="H121" s="173">
        <f t="shared" si="26"/>
        <v>595007.0205781137</v>
      </c>
      <c r="I121" s="173">
        <f t="shared" si="26"/>
        <v>674183.7311288276</v>
      </c>
      <c r="J121" s="173">
        <f t="shared" si="26"/>
        <v>703480.9682881081</v>
      </c>
      <c r="K121" s="173">
        <f t="shared" si="26"/>
        <v>718129.5868677484</v>
      </c>
      <c r="L121" s="173">
        <f t="shared" si="26"/>
        <v>722778.2054473887</v>
      </c>
      <c r="M121" s="173">
        <f t="shared" si="26"/>
        <v>732778.2054473887</v>
      </c>
      <c r="N121" s="163" t="s">
        <v>366</v>
      </c>
    </row>
    <row r="122" spans="2:13" ht="15" customHeight="1">
      <c r="B122" s="163" t="s">
        <v>261</v>
      </c>
      <c r="C122" s="169">
        <v>0.5</v>
      </c>
      <c r="D122" s="173">
        <f>IF($E65-D65&gt;0,0,$E65-D65)</f>
        <v>0</v>
      </c>
      <c r="E122" s="173">
        <f aca="true" t="shared" si="27" ref="E122">$E65-E65</f>
        <v>0</v>
      </c>
      <c r="F122" s="173">
        <f>IF($E65-F65&lt;0,0,$E65-F65)</f>
        <v>154992.1865339824</v>
      </c>
      <c r="G122" s="173">
        <f aca="true" t="shared" si="28" ref="G122:M122">IF($E65-G65&lt;0,0,$E65-G65)</f>
        <v>439434.98275130114</v>
      </c>
      <c r="H122" s="173">
        <f t="shared" si="28"/>
        <v>595007.0205781137</v>
      </c>
      <c r="I122" s="173">
        <f t="shared" si="28"/>
        <v>674183.7311288276</v>
      </c>
      <c r="J122" s="173">
        <f t="shared" si="28"/>
        <v>703480.9682881081</v>
      </c>
      <c r="K122" s="173">
        <f t="shared" si="28"/>
        <v>718129.5868677484</v>
      </c>
      <c r="L122" s="173">
        <f t="shared" si="28"/>
        <v>722778.2054473887</v>
      </c>
      <c r="M122" s="173">
        <f t="shared" si="28"/>
        <v>732778.2054473887</v>
      </c>
    </row>
    <row r="123" spans="2:13" ht="15">
      <c r="B123" s="700" t="s">
        <v>281</v>
      </c>
      <c r="C123" s="169">
        <v>0.2</v>
      </c>
      <c r="D123" s="173">
        <f>IF($F65-D65&gt;0,0,$F65-D65)</f>
        <v>-154992.1865339824</v>
      </c>
      <c r="E123" s="173">
        <f>IF($F65-E65&gt;0,0,$F65-E65)</f>
        <v>-154992.1865339824</v>
      </c>
      <c r="F123" s="173">
        <f aca="true" t="shared" si="29" ref="F123">$F65-F65</f>
        <v>0</v>
      </c>
      <c r="G123" s="173">
        <f>IF($F65-G65&lt;0,0,$F65-G65)</f>
        <v>284442.79621731874</v>
      </c>
      <c r="H123" s="173">
        <f aca="true" t="shared" si="30" ref="H123:M123">IF($F65-H65&lt;0,0,$F65-H65)</f>
        <v>440014.83404413133</v>
      </c>
      <c r="I123" s="173">
        <f t="shared" si="30"/>
        <v>519191.5445948452</v>
      </c>
      <c r="J123" s="173">
        <f t="shared" si="30"/>
        <v>548488.7817541257</v>
      </c>
      <c r="K123" s="173">
        <f t="shared" si="30"/>
        <v>563137.400333766</v>
      </c>
      <c r="L123" s="173">
        <f t="shared" si="30"/>
        <v>567786.0189134063</v>
      </c>
      <c r="M123" s="173">
        <f t="shared" si="30"/>
        <v>577786.0189134063</v>
      </c>
    </row>
    <row r="124" spans="2:13" ht="15">
      <c r="B124" s="701"/>
      <c r="C124" s="169">
        <v>0.1</v>
      </c>
      <c r="D124" s="173">
        <f>IF($G65-D65&gt;0,0,$G65-D65)</f>
        <v>-439434.98275130114</v>
      </c>
      <c r="E124" s="173">
        <f aca="true" t="shared" si="31" ref="E124:F124">IF($G65-E65&gt;0,0,$G65-E65)</f>
        <v>-439434.98275130114</v>
      </c>
      <c r="F124" s="173">
        <f t="shared" si="31"/>
        <v>-284442.79621731874</v>
      </c>
      <c r="G124" s="173">
        <f aca="true" t="shared" si="32" ref="G124">$G65-G65</f>
        <v>0</v>
      </c>
      <c r="H124" s="173">
        <f>IF($G65-H65&lt;0,0,$G65-H65)</f>
        <v>155572.0378268126</v>
      </c>
      <c r="I124" s="173">
        <f aca="true" t="shared" si="33" ref="I124:M124">IF($G65-I65&lt;0,0,$G65-I65)</f>
        <v>234748.74837752647</v>
      </c>
      <c r="J124" s="173">
        <f t="shared" si="33"/>
        <v>264045.985536807</v>
      </c>
      <c r="K124" s="173">
        <f t="shared" si="33"/>
        <v>278694.60411644727</v>
      </c>
      <c r="L124" s="173">
        <f t="shared" si="33"/>
        <v>283343.22269608756</v>
      </c>
      <c r="M124" s="173">
        <f t="shared" si="33"/>
        <v>293343.22269608756</v>
      </c>
    </row>
    <row r="125" spans="2:13" ht="15">
      <c r="B125" s="701"/>
      <c r="C125" s="169">
        <v>0.04</v>
      </c>
      <c r="D125" s="173">
        <f>IF($H65-D65&gt;0,0,$H65-D65)</f>
        <v>-595007.0205781137</v>
      </c>
      <c r="E125" s="173">
        <f aca="true" t="shared" si="34" ref="E125:G125">IF($H65-E65&gt;0,0,$H65-E65)</f>
        <v>-595007.0205781137</v>
      </c>
      <c r="F125" s="173">
        <f t="shared" si="34"/>
        <v>-440014.83404413133</v>
      </c>
      <c r="G125" s="173">
        <f t="shared" si="34"/>
        <v>-155572.0378268126</v>
      </c>
      <c r="H125" s="173">
        <f aca="true" t="shared" si="35" ref="H125">$H65-H65</f>
        <v>0</v>
      </c>
      <c r="I125" s="173">
        <f>IF($H65-I65&lt;0,0,$H65-I65)</f>
        <v>79176.71055071388</v>
      </c>
      <c r="J125" s="173">
        <f aca="true" t="shared" si="36" ref="J125:M125">IF($H65-J65&lt;0,0,$H65-J65)</f>
        <v>108473.94770999442</v>
      </c>
      <c r="K125" s="173">
        <f t="shared" si="36"/>
        <v>123122.56628963469</v>
      </c>
      <c r="L125" s="173">
        <f t="shared" si="36"/>
        <v>127771.18486927496</v>
      </c>
      <c r="M125" s="173">
        <f t="shared" si="36"/>
        <v>137771.18486927496</v>
      </c>
    </row>
    <row r="126" spans="2:13" ht="15">
      <c r="B126" s="701"/>
      <c r="C126" s="169">
        <v>0.02</v>
      </c>
      <c r="D126" s="173">
        <f>IF($I65-D65&gt;0,0,$I65-D65)</f>
        <v>-674183.7311288276</v>
      </c>
      <c r="E126" s="173">
        <f aca="true" t="shared" si="37" ref="E126:H126">IF($I65-E65&gt;0,0,$I65-E65)</f>
        <v>-674183.7311288276</v>
      </c>
      <c r="F126" s="173">
        <f t="shared" si="37"/>
        <v>-519191.5445948452</v>
      </c>
      <c r="G126" s="173">
        <f t="shared" si="37"/>
        <v>-234748.74837752647</v>
      </c>
      <c r="H126" s="173">
        <f t="shared" si="37"/>
        <v>-79176.71055071388</v>
      </c>
      <c r="I126" s="173">
        <f aca="true" t="shared" si="38" ref="I126">$I65-I65</f>
        <v>0</v>
      </c>
      <c r="J126" s="173">
        <f>IF($I65-J65&lt;0,0,$I65-J65)</f>
        <v>29297.237159280547</v>
      </c>
      <c r="K126" s="173">
        <f aca="true" t="shared" si="39" ref="K126:M126">IF($I65-K65&lt;0,0,$I65-K65)</f>
        <v>43945.85573892082</v>
      </c>
      <c r="L126" s="173">
        <f t="shared" si="39"/>
        <v>48594.47431856109</v>
      </c>
      <c r="M126" s="173">
        <f t="shared" si="39"/>
        <v>58594.47431856109</v>
      </c>
    </row>
    <row r="127" spans="2:13" ht="15">
      <c r="B127" s="701"/>
      <c r="C127" s="407">
        <v>0.0133</v>
      </c>
      <c r="D127" s="173">
        <f>IF($J65-D65&gt;0,0,$J65-D65)</f>
        <v>-703480.9682881081</v>
      </c>
      <c r="E127" s="173">
        <f aca="true" t="shared" si="40" ref="E127:I127">IF($J65-E65&gt;0,0,$J65-E65)</f>
        <v>-703480.9682881081</v>
      </c>
      <c r="F127" s="173">
        <f t="shared" si="40"/>
        <v>-548488.7817541257</v>
      </c>
      <c r="G127" s="173">
        <f t="shared" si="40"/>
        <v>-264045.985536807</v>
      </c>
      <c r="H127" s="173">
        <f t="shared" si="40"/>
        <v>-108473.94770999442</v>
      </c>
      <c r="I127" s="173">
        <f t="shared" si="40"/>
        <v>-29297.237159280547</v>
      </c>
      <c r="J127" s="173">
        <f aca="true" t="shared" si="41" ref="J127">$J65-J65</f>
        <v>0</v>
      </c>
      <c r="K127" s="173">
        <f>IF($J65-K65&lt;0,0,$J65-K65)</f>
        <v>14648.618579640273</v>
      </c>
      <c r="L127" s="173">
        <f aca="true" t="shared" si="42" ref="L127:M127">IF($J65-L65&lt;0,0,$J65-L65)</f>
        <v>19297.237159280547</v>
      </c>
      <c r="M127" s="173">
        <f t="shared" si="42"/>
        <v>29297.237159280547</v>
      </c>
    </row>
    <row r="128" spans="2:13" ht="15">
      <c r="B128" s="701"/>
      <c r="C128" s="169">
        <v>0.01</v>
      </c>
      <c r="D128" s="173">
        <f>IF($K65-D65&gt;0,0,$K65-D65)</f>
        <v>-718129.5868677484</v>
      </c>
      <c r="E128" s="173">
        <f aca="true" t="shared" si="43" ref="E128:J128">IF($K65-E65&gt;0,0,$K65-E65)</f>
        <v>-718129.5868677484</v>
      </c>
      <c r="F128" s="173">
        <f t="shared" si="43"/>
        <v>-563137.400333766</v>
      </c>
      <c r="G128" s="173">
        <f t="shared" si="43"/>
        <v>-278694.60411644727</v>
      </c>
      <c r="H128" s="173">
        <f t="shared" si="43"/>
        <v>-123122.56628963469</v>
      </c>
      <c r="I128" s="173">
        <f t="shared" si="43"/>
        <v>-43945.85573892082</v>
      </c>
      <c r="J128" s="173">
        <f t="shared" si="43"/>
        <v>-14648.618579640273</v>
      </c>
      <c r="K128" s="173">
        <f aca="true" t="shared" si="44" ref="K128">$K65-K65</f>
        <v>0</v>
      </c>
      <c r="L128" s="173">
        <f>IF($K65-L65&lt;0,0,$K65-L65)</f>
        <v>4648.618579640273</v>
      </c>
      <c r="M128" s="173">
        <f>IF($K65-M65&lt;0,0,$K65-M65)</f>
        <v>14648.618579640273</v>
      </c>
    </row>
    <row r="129" spans="2:13" ht="15">
      <c r="B129" s="701"/>
      <c r="C129" s="170">
        <v>0.005</v>
      </c>
      <c r="D129" s="173">
        <f>IF($L65-D65&gt;0,0,$L65-D65)</f>
        <v>-722778.2054473887</v>
      </c>
      <c r="E129" s="173">
        <f aca="true" t="shared" si="45" ref="E129:K129">IF($L65-E65&gt;0,0,$L65-E65)</f>
        <v>-722778.2054473887</v>
      </c>
      <c r="F129" s="173">
        <f t="shared" si="45"/>
        <v>-567786.0189134063</v>
      </c>
      <c r="G129" s="173">
        <f t="shared" si="45"/>
        <v>-283343.22269608756</v>
      </c>
      <c r="H129" s="173">
        <f t="shared" si="45"/>
        <v>-127771.18486927496</v>
      </c>
      <c r="I129" s="173">
        <f t="shared" si="45"/>
        <v>-48594.47431856109</v>
      </c>
      <c r="J129" s="173">
        <f t="shared" si="45"/>
        <v>-19297.237159280547</v>
      </c>
      <c r="K129" s="173">
        <f t="shared" si="45"/>
        <v>-4648.618579640273</v>
      </c>
      <c r="L129" s="173">
        <f aca="true" t="shared" si="46" ref="L129">$L65-L65</f>
        <v>0</v>
      </c>
      <c r="M129" s="173">
        <f>IF($L65-M65&lt;0,0,$L65-M65)</f>
        <v>10000</v>
      </c>
    </row>
    <row r="130" spans="2:13" ht="15">
      <c r="B130" s="701"/>
      <c r="C130" s="170">
        <v>0.001</v>
      </c>
      <c r="D130" s="173">
        <f>IF($M65-D65&gt;0,0,$M65-D65)</f>
        <v>-732778.2054473887</v>
      </c>
      <c r="E130" s="173">
        <f aca="true" t="shared" si="47" ref="E130:L130">IF($M65-E65&gt;0,0,$M65-E65)</f>
        <v>-732778.2054473887</v>
      </c>
      <c r="F130" s="173">
        <f t="shared" si="47"/>
        <v>-577786.0189134063</v>
      </c>
      <c r="G130" s="173">
        <f t="shared" si="47"/>
        <v>-293343.22269608756</v>
      </c>
      <c r="H130" s="173">
        <f t="shared" si="47"/>
        <v>-137771.18486927496</v>
      </c>
      <c r="I130" s="173">
        <f t="shared" si="47"/>
        <v>-58594.47431856109</v>
      </c>
      <c r="J130" s="173">
        <f t="shared" si="47"/>
        <v>-29297.237159280547</v>
      </c>
      <c r="K130" s="173">
        <f t="shared" si="47"/>
        <v>-14648.618579640273</v>
      </c>
      <c r="L130" s="173">
        <f t="shared" si="47"/>
        <v>-10000</v>
      </c>
      <c r="M130" s="173">
        <f aca="true" t="shared" si="48" ref="M130">$M65-M65</f>
        <v>0</v>
      </c>
    </row>
    <row r="132" spans="5:6" ht="15">
      <c r="E132" s="163" t="s">
        <v>262</v>
      </c>
      <c r="F132" s="163" t="s">
        <v>280</v>
      </c>
    </row>
    <row r="133" spans="1:13" ht="15">
      <c r="A133" s="711" t="str">
        <f>C94</f>
        <v>A ROAD and CRITICAL B ROADS</v>
      </c>
      <c r="B133" s="590"/>
      <c r="C133" s="590"/>
      <c r="D133" s="169">
        <v>1</v>
      </c>
      <c r="E133" s="169">
        <v>0.5</v>
      </c>
      <c r="F133" s="169">
        <v>0.2</v>
      </c>
      <c r="G133" s="169">
        <v>0.1</v>
      </c>
      <c r="H133" s="169">
        <v>0.04</v>
      </c>
      <c r="I133" s="169">
        <v>0.02</v>
      </c>
      <c r="J133" s="407">
        <v>0.0133</v>
      </c>
      <c r="K133" s="169">
        <v>0.01</v>
      </c>
      <c r="L133" s="170">
        <v>0.005</v>
      </c>
      <c r="M133" s="170">
        <v>0.001</v>
      </c>
    </row>
    <row r="134" spans="3:14" ht="15">
      <c r="C134" s="169">
        <v>1</v>
      </c>
      <c r="D134" s="173">
        <f>IF($D66-D66&lt;0,0,$D66-D66)</f>
        <v>0</v>
      </c>
      <c r="E134" s="173">
        <f aca="true" t="shared" si="49" ref="E134:M134">IF($D66-E66&lt;0,0,$D66-E66)</f>
        <v>0</v>
      </c>
      <c r="F134" s="173">
        <f t="shared" si="49"/>
        <v>33529.40094014787</v>
      </c>
      <c r="G134" s="173">
        <f t="shared" si="49"/>
        <v>175750.79904880724</v>
      </c>
      <c r="H134" s="173">
        <f t="shared" si="49"/>
        <v>253536.81796221354</v>
      </c>
      <c r="I134" s="173">
        <f t="shared" si="49"/>
        <v>293125.17323757045</v>
      </c>
      <c r="J134" s="173">
        <f t="shared" si="49"/>
        <v>307773.79181721073</v>
      </c>
      <c r="K134" s="173">
        <f t="shared" si="49"/>
        <v>315098.1011070309</v>
      </c>
      <c r="L134" s="173">
        <f t="shared" si="49"/>
        <v>317422.410396851</v>
      </c>
      <c r="M134" s="173">
        <f t="shared" si="49"/>
        <v>322422.410396851</v>
      </c>
      <c r="N134" s="163" t="s">
        <v>366</v>
      </c>
    </row>
    <row r="135" spans="2:13" ht="15" customHeight="1">
      <c r="B135" s="163" t="s">
        <v>261</v>
      </c>
      <c r="C135" s="169">
        <v>0.5</v>
      </c>
      <c r="D135" s="173">
        <f>IF($E66-D66&gt;0,0,$E66-D66)</f>
        <v>0</v>
      </c>
      <c r="E135" s="173">
        <f aca="true" t="shared" si="50" ref="E135">$E66-E66</f>
        <v>0</v>
      </c>
      <c r="F135" s="173">
        <f>IF($E66-F66&lt;0,0,$E66-F66)</f>
        <v>33529.40094014787</v>
      </c>
      <c r="G135" s="173">
        <f aca="true" t="shared" si="51" ref="G135:M135">IF($E66-G66&lt;0,0,$E66-G66)</f>
        <v>175750.79904880724</v>
      </c>
      <c r="H135" s="173">
        <f t="shared" si="51"/>
        <v>253536.81796221354</v>
      </c>
      <c r="I135" s="173">
        <f t="shared" si="51"/>
        <v>293125.17323757045</v>
      </c>
      <c r="J135" s="173">
        <f t="shared" si="51"/>
        <v>307773.79181721073</v>
      </c>
      <c r="K135" s="173">
        <f t="shared" si="51"/>
        <v>315098.1011070309</v>
      </c>
      <c r="L135" s="173">
        <f t="shared" si="51"/>
        <v>317422.410396851</v>
      </c>
      <c r="M135" s="173">
        <f t="shared" si="51"/>
        <v>322422.410396851</v>
      </c>
    </row>
    <row r="136" spans="2:13" ht="15">
      <c r="B136" s="700" t="s">
        <v>281</v>
      </c>
      <c r="C136" s="169">
        <v>0.2</v>
      </c>
      <c r="D136" s="173">
        <f>IF($F66-D66&gt;0,0,$F66-D66)</f>
        <v>-33529.40094014787</v>
      </c>
      <c r="E136" s="173">
        <f>IF($F66-E66&gt;0,0,$F66-E66)</f>
        <v>-33529.40094014787</v>
      </c>
      <c r="F136" s="173">
        <f aca="true" t="shared" si="52" ref="F136">$F66-F66</f>
        <v>0</v>
      </c>
      <c r="G136" s="173">
        <f>IF($F66-G66&lt;0,0,$F66-G66)</f>
        <v>142221.39810865937</v>
      </c>
      <c r="H136" s="173">
        <f aca="true" t="shared" si="53" ref="H136:M136">IF($F66-H66&lt;0,0,$F66-H66)</f>
        <v>220007.41702206567</v>
      </c>
      <c r="I136" s="173">
        <f t="shared" si="53"/>
        <v>259595.7722974226</v>
      </c>
      <c r="J136" s="173">
        <f t="shared" si="53"/>
        <v>274244.39087706286</v>
      </c>
      <c r="K136" s="173">
        <f t="shared" si="53"/>
        <v>281568.700166883</v>
      </c>
      <c r="L136" s="173">
        <f t="shared" si="53"/>
        <v>283893.00945670315</v>
      </c>
      <c r="M136" s="173">
        <f t="shared" si="53"/>
        <v>288893.00945670315</v>
      </c>
    </row>
    <row r="137" spans="2:13" ht="15">
      <c r="B137" s="701"/>
      <c r="C137" s="169">
        <v>0.1</v>
      </c>
      <c r="D137" s="173">
        <f>IF($G66-D66&gt;0,0,$G66-D66)</f>
        <v>-175750.79904880724</v>
      </c>
      <c r="E137" s="173">
        <f aca="true" t="shared" si="54" ref="E137:F137">IF($G66-E66&gt;0,0,$G66-E66)</f>
        <v>-175750.79904880724</v>
      </c>
      <c r="F137" s="173">
        <f t="shared" si="54"/>
        <v>-142221.39810865937</v>
      </c>
      <c r="G137" s="173">
        <f aca="true" t="shared" si="55" ref="G137">$G66-G66</f>
        <v>0</v>
      </c>
      <c r="H137" s="173">
        <f>IF($G66-H66&lt;0,0,$G66-H66)</f>
        <v>77786.0189134063</v>
      </c>
      <c r="I137" s="173">
        <f aca="true" t="shared" si="56" ref="I137:M137">IF($G66-I66&lt;0,0,$G66-I66)</f>
        <v>117374.37418876323</v>
      </c>
      <c r="J137" s="173">
        <f t="shared" si="56"/>
        <v>132022.9927684035</v>
      </c>
      <c r="K137" s="173">
        <f t="shared" si="56"/>
        <v>139347.30205822363</v>
      </c>
      <c r="L137" s="173">
        <f t="shared" si="56"/>
        <v>141671.61134804378</v>
      </c>
      <c r="M137" s="173">
        <f t="shared" si="56"/>
        <v>146671.61134804378</v>
      </c>
    </row>
    <row r="138" spans="2:13" ht="15">
      <c r="B138" s="701"/>
      <c r="C138" s="169">
        <v>0.04</v>
      </c>
      <c r="D138" s="173">
        <f>IF($H66-D66&gt;0,0,$H66-D66)</f>
        <v>-253536.81796221354</v>
      </c>
      <c r="E138" s="173">
        <f aca="true" t="shared" si="57" ref="E138:G138">IF($H66-E66&gt;0,0,$H66-E66)</f>
        <v>-253536.81796221354</v>
      </c>
      <c r="F138" s="173">
        <f t="shared" si="57"/>
        <v>-220007.41702206567</v>
      </c>
      <c r="G138" s="173">
        <f t="shared" si="57"/>
        <v>-77786.0189134063</v>
      </c>
      <c r="H138" s="173">
        <f aca="true" t="shared" si="58" ref="H138">$H66-H66</f>
        <v>0</v>
      </c>
      <c r="I138" s="173">
        <f>IF($H66-I66&lt;0,0,$H66-I66)</f>
        <v>39588.35527535694</v>
      </c>
      <c r="J138" s="173">
        <f aca="true" t="shared" si="59" ref="J138:M138">IF($H66-J66&lt;0,0,$H66-J66)</f>
        <v>54236.97385499721</v>
      </c>
      <c r="K138" s="173">
        <f t="shared" si="59"/>
        <v>61561.283144817346</v>
      </c>
      <c r="L138" s="173">
        <f t="shared" si="59"/>
        <v>63885.59243463748</v>
      </c>
      <c r="M138" s="173">
        <f t="shared" si="59"/>
        <v>68885.59243463748</v>
      </c>
    </row>
    <row r="139" spans="2:13" ht="15">
      <c r="B139" s="701"/>
      <c r="C139" s="169">
        <v>0.02</v>
      </c>
      <c r="D139" s="173">
        <f>IF($I66-D66&gt;0,0,$I66-D66)</f>
        <v>-293125.17323757045</v>
      </c>
      <c r="E139" s="173">
        <f aca="true" t="shared" si="60" ref="E139:H139">IF($I66-E66&gt;0,0,$I66-E66)</f>
        <v>-293125.17323757045</v>
      </c>
      <c r="F139" s="173">
        <f t="shared" si="60"/>
        <v>-259595.7722974226</v>
      </c>
      <c r="G139" s="173">
        <f t="shared" si="60"/>
        <v>-117374.37418876323</v>
      </c>
      <c r="H139" s="173">
        <f t="shared" si="60"/>
        <v>-39588.35527535694</v>
      </c>
      <c r="I139" s="173">
        <f aca="true" t="shared" si="61" ref="I139">$I66-I66</f>
        <v>0</v>
      </c>
      <c r="J139" s="173">
        <f>IF($I66-J66&lt;0,0,$I66-J66)</f>
        <v>14648.618579640273</v>
      </c>
      <c r="K139" s="173">
        <f aca="true" t="shared" si="62" ref="K139:M139">IF($I66-K66&lt;0,0,$I66-K66)</f>
        <v>21972.92786946041</v>
      </c>
      <c r="L139" s="173">
        <f t="shared" si="62"/>
        <v>24297.237159280547</v>
      </c>
      <c r="M139" s="173">
        <f t="shared" si="62"/>
        <v>29297.237159280547</v>
      </c>
    </row>
    <row r="140" spans="2:13" ht="15">
      <c r="B140" s="701"/>
      <c r="C140" s="407">
        <v>0.0133</v>
      </c>
      <c r="D140" s="173">
        <f>IF($J66-D66&gt;0,0,$J66-D66)</f>
        <v>-307773.79181721073</v>
      </c>
      <c r="E140" s="173">
        <f aca="true" t="shared" si="63" ref="E140:I140">IF($J66-E66&gt;0,0,$J66-E66)</f>
        <v>-307773.79181721073</v>
      </c>
      <c r="F140" s="173">
        <f t="shared" si="63"/>
        <v>-274244.39087706286</v>
      </c>
      <c r="G140" s="173">
        <f t="shared" si="63"/>
        <v>-132022.9927684035</v>
      </c>
      <c r="H140" s="173">
        <f t="shared" si="63"/>
        <v>-54236.97385499721</v>
      </c>
      <c r="I140" s="173">
        <f t="shared" si="63"/>
        <v>-14648.618579640273</v>
      </c>
      <c r="J140" s="173">
        <f aca="true" t="shared" si="64" ref="J140">$J66-J66</f>
        <v>0</v>
      </c>
      <c r="K140" s="173">
        <f>IF($J66-K66&lt;0,0,$J66-K66)</f>
        <v>7324.309289820137</v>
      </c>
      <c r="L140" s="173">
        <f aca="true" t="shared" si="65" ref="L140:M140">IF($J66-L66&lt;0,0,$J66-L66)</f>
        <v>9648.618579640273</v>
      </c>
      <c r="M140" s="173">
        <f t="shared" si="65"/>
        <v>14648.618579640273</v>
      </c>
    </row>
    <row r="141" spans="2:13" ht="15">
      <c r="B141" s="701"/>
      <c r="C141" s="169">
        <v>0.01</v>
      </c>
      <c r="D141" s="173">
        <f>IF($K66-D66&gt;0,0,$K66-D66)</f>
        <v>-315098.1011070309</v>
      </c>
      <c r="E141" s="173">
        <f aca="true" t="shared" si="66" ref="E141:J141">IF($K66-E66&gt;0,0,$K66-E66)</f>
        <v>-315098.1011070309</v>
      </c>
      <c r="F141" s="173">
        <f t="shared" si="66"/>
        <v>-281568.700166883</v>
      </c>
      <c r="G141" s="173">
        <f t="shared" si="66"/>
        <v>-139347.30205822363</v>
      </c>
      <c r="H141" s="173">
        <f t="shared" si="66"/>
        <v>-61561.283144817346</v>
      </c>
      <c r="I141" s="173">
        <f t="shared" si="66"/>
        <v>-21972.92786946041</v>
      </c>
      <c r="J141" s="173">
        <f t="shared" si="66"/>
        <v>-7324.309289820137</v>
      </c>
      <c r="K141" s="173">
        <f aca="true" t="shared" si="67" ref="K141">$K66-K66</f>
        <v>0</v>
      </c>
      <c r="L141" s="173">
        <f>IF($K66-L66&lt;0,0,$K66-L66)</f>
        <v>2324.3092898201367</v>
      </c>
      <c r="M141" s="173">
        <f>IF($K66-M66&lt;0,0,$K66-M66)</f>
        <v>7324.309289820137</v>
      </c>
    </row>
    <row r="142" spans="2:13" ht="15">
      <c r="B142" s="701"/>
      <c r="C142" s="170">
        <v>0.005</v>
      </c>
      <c r="D142" s="173">
        <f>IF($L66-D66&gt;0,0,$L66-D66)</f>
        <v>-317422.410396851</v>
      </c>
      <c r="E142" s="173">
        <f aca="true" t="shared" si="68" ref="E142:K142">IF($L66-E66&gt;0,0,$L66-E66)</f>
        <v>-317422.410396851</v>
      </c>
      <c r="F142" s="173">
        <f t="shared" si="68"/>
        <v>-283893.00945670315</v>
      </c>
      <c r="G142" s="173">
        <f t="shared" si="68"/>
        <v>-141671.61134804378</v>
      </c>
      <c r="H142" s="173">
        <f t="shared" si="68"/>
        <v>-63885.59243463748</v>
      </c>
      <c r="I142" s="173">
        <f t="shared" si="68"/>
        <v>-24297.237159280547</v>
      </c>
      <c r="J142" s="173">
        <f t="shared" si="68"/>
        <v>-9648.618579640273</v>
      </c>
      <c r="K142" s="173">
        <f t="shared" si="68"/>
        <v>-2324.3092898201367</v>
      </c>
      <c r="L142" s="173">
        <f aca="true" t="shared" si="69" ref="L142">$L66-L66</f>
        <v>0</v>
      </c>
      <c r="M142" s="173">
        <f>IF($L66-M66&lt;0,0,$L66-M66)</f>
        <v>5000</v>
      </c>
    </row>
    <row r="143" spans="2:13" ht="15">
      <c r="B143" s="701"/>
      <c r="C143" s="170">
        <v>0.001</v>
      </c>
      <c r="D143" s="173">
        <f>IF($M66-D66&gt;0,0,$M66-D66)</f>
        <v>-322422.410396851</v>
      </c>
      <c r="E143" s="173">
        <f aca="true" t="shared" si="70" ref="E143:L143">IF($M66-E66&gt;0,0,$M66-E66)</f>
        <v>-322422.410396851</v>
      </c>
      <c r="F143" s="173">
        <f t="shared" si="70"/>
        <v>-288893.00945670315</v>
      </c>
      <c r="G143" s="173">
        <f t="shared" si="70"/>
        <v>-146671.61134804378</v>
      </c>
      <c r="H143" s="173">
        <f t="shared" si="70"/>
        <v>-68885.59243463748</v>
      </c>
      <c r="I143" s="173">
        <f t="shared" si="70"/>
        <v>-29297.237159280547</v>
      </c>
      <c r="J143" s="173">
        <f t="shared" si="70"/>
        <v>-14648.618579640273</v>
      </c>
      <c r="K143" s="173">
        <f t="shared" si="70"/>
        <v>-7324.309289820137</v>
      </c>
      <c r="L143" s="173">
        <f t="shared" si="70"/>
        <v>-5000</v>
      </c>
      <c r="M143" s="173">
        <f aca="true" t="shared" si="71" ref="M143">$M66-M66</f>
        <v>0</v>
      </c>
    </row>
    <row r="145" spans="5:6" ht="15">
      <c r="E145" s="163" t="s">
        <v>262</v>
      </c>
      <c r="F145" s="163" t="s">
        <v>280</v>
      </c>
    </row>
    <row r="146" spans="1:13" ht="15">
      <c r="A146" s="711" t="str">
        <f>A107</f>
        <v>OTHER ROADS</v>
      </c>
      <c r="B146" s="590"/>
      <c r="C146" s="590"/>
      <c r="D146" s="169">
        <v>1</v>
      </c>
      <c r="E146" s="169">
        <v>0.5</v>
      </c>
      <c r="F146" s="169">
        <v>0.2</v>
      </c>
      <c r="G146" s="169">
        <v>0.1</v>
      </c>
      <c r="H146" s="169">
        <v>0.04</v>
      </c>
      <c r="I146" s="169">
        <v>0.02</v>
      </c>
      <c r="J146" s="407">
        <v>0.0133</v>
      </c>
      <c r="K146" s="169">
        <v>0.01</v>
      </c>
      <c r="L146" s="170">
        <v>0.005</v>
      </c>
      <c r="M146" s="170">
        <v>0.001</v>
      </c>
    </row>
    <row r="147" spans="3:14" ht="15">
      <c r="C147" s="169">
        <v>1</v>
      </c>
      <c r="D147" s="173">
        <f>IF($D67-D67&lt;0,0,$D67-D67)</f>
        <v>0</v>
      </c>
      <c r="E147" s="173">
        <f aca="true" t="shared" si="72" ref="E147:M147">IF($D67-E67&lt;0,0,$D67-E67)</f>
        <v>0</v>
      </c>
      <c r="F147" s="173">
        <f t="shared" si="72"/>
        <v>162054.859742876</v>
      </c>
      <c r="G147" s="173">
        <f t="shared" si="72"/>
        <v>190499.13936460786</v>
      </c>
      <c r="H147" s="173">
        <f t="shared" si="72"/>
        <v>206056.34314728912</v>
      </c>
      <c r="I147" s="173">
        <f t="shared" si="72"/>
        <v>213974.01420236053</v>
      </c>
      <c r="J147" s="173">
        <f t="shared" si="72"/>
        <v>216903.73791828856</v>
      </c>
      <c r="K147" s="173">
        <f t="shared" si="72"/>
        <v>218368.5997762526</v>
      </c>
      <c r="L147" s="173">
        <f t="shared" si="72"/>
        <v>218833.46163421663</v>
      </c>
      <c r="M147" s="173">
        <f t="shared" si="72"/>
        <v>219833.46163421663</v>
      </c>
      <c r="N147" s="163" t="s">
        <v>366</v>
      </c>
    </row>
    <row r="148" spans="2:13" ht="15" customHeight="1">
      <c r="B148" s="163" t="s">
        <v>261</v>
      </c>
      <c r="C148" s="169">
        <v>0.5</v>
      </c>
      <c r="D148" s="173">
        <f>IF($E67-D67&gt;0,0,$E67-D67)</f>
        <v>0</v>
      </c>
      <c r="E148" s="173">
        <f aca="true" t="shared" si="73" ref="E148">$E67-E67</f>
        <v>0</v>
      </c>
      <c r="F148" s="173">
        <f>IF($E67-F67&lt;0,0,$E67-F67)</f>
        <v>162054.859742876</v>
      </c>
      <c r="G148" s="173">
        <f aca="true" t="shared" si="74" ref="G148:M148">IF($E67-G67&lt;0,0,$E67-G67)</f>
        <v>190499.13936460786</v>
      </c>
      <c r="H148" s="173">
        <f t="shared" si="74"/>
        <v>206056.34314728912</v>
      </c>
      <c r="I148" s="173">
        <f t="shared" si="74"/>
        <v>213974.01420236053</v>
      </c>
      <c r="J148" s="173">
        <f t="shared" si="74"/>
        <v>216903.73791828856</v>
      </c>
      <c r="K148" s="173">
        <f t="shared" si="74"/>
        <v>218368.5997762526</v>
      </c>
      <c r="L148" s="173">
        <f t="shared" si="74"/>
        <v>218833.46163421663</v>
      </c>
      <c r="M148" s="173">
        <f t="shared" si="74"/>
        <v>219833.46163421663</v>
      </c>
    </row>
    <row r="149" spans="2:13" ht="15">
      <c r="B149" s="700" t="s">
        <v>281</v>
      </c>
      <c r="C149" s="169">
        <v>0.2</v>
      </c>
      <c r="D149" s="173">
        <f>IF($F67-D67&gt;0,0,$F67-D67)</f>
        <v>-162054.859742876</v>
      </c>
      <c r="E149" s="173">
        <f>IF($F67-E67&gt;0,0,$F67-E67)</f>
        <v>-162054.859742876</v>
      </c>
      <c r="F149" s="173">
        <f aca="true" t="shared" si="75" ref="F149">$F67-F67</f>
        <v>0</v>
      </c>
      <c r="G149" s="173">
        <f>IF($F67-G67&lt;0,0,$F67-G67)</f>
        <v>28444.279621731876</v>
      </c>
      <c r="H149" s="173">
        <f aca="true" t="shared" si="76" ref="H149:M149">IF($F67-H67&lt;0,0,$F67-H67)</f>
        <v>44001.48340441313</v>
      </c>
      <c r="I149" s="173">
        <f t="shared" si="76"/>
        <v>51919.15445948452</v>
      </c>
      <c r="J149" s="173">
        <f t="shared" si="76"/>
        <v>54848.878175412574</v>
      </c>
      <c r="K149" s="173">
        <f t="shared" si="76"/>
        <v>56313.740033376605</v>
      </c>
      <c r="L149" s="173">
        <f t="shared" si="76"/>
        <v>56778.60189134063</v>
      </c>
      <c r="M149" s="173">
        <f t="shared" si="76"/>
        <v>57778.60189134063</v>
      </c>
    </row>
    <row r="150" spans="2:13" ht="15">
      <c r="B150" s="701"/>
      <c r="C150" s="169">
        <v>0.1</v>
      </c>
      <c r="D150" s="173">
        <f>IF($G67-D67&gt;0,0,$G67-D67)</f>
        <v>-190499.13936460786</v>
      </c>
      <c r="E150" s="173">
        <f aca="true" t="shared" si="77" ref="E150:F150">IF($G67-E67&gt;0,0,$G67-E67)</f>
        <v>-190499.13936460786</v>
      </c>
      <c r="F150" s="173">
        <f t="shared" si="77"/>
        <v>-28444.279621731876</v>
      </c>
      <c r="G150" s="173">
        <f aca="true" t="shared" si="78" ref="G150">$G67-G67</f>
        <v>0</v>
      </c>
      <c r="H150" s="173">
        <f>IF($G67-H67&lt;0,0,$G67-H67)</f>
        <v>15557.203782681256</v>
      </c>
      <c r="I150" s="173">
        <f aca="true" t="shared" si="79" ref="I150:M150">IF($G67-I67&lt;0,0,$G67-I67)</f>
        <v>23474.874837752643</v>
      </c>
      <c r="J150" s="173">
        <f t="shared" si="79"/>
        <v>26404.5985536807</v>
      </c>
      <c r="K150" s="173">
        <f t="shared" si="79"/>
        <v>27869.460411644726</v>
      </c>
      <c r="L150" s="173">
        <f t="shared" si="79"/>
        <v>28334.322269608754</v>
      </c>
      <c r="M150" s="173">
        <f t="shared" si="79"/>
        <v>29334.322269608754</v>
      </c>
    </row>
    <row r="151" spans="2:13" ht="15">
      <c r="B151" s="701"/>
      <c r="C151" s="169">
        <v>0.04</v>
      </c>
      <c r="D151" s="173">
        <f>IF($H67-D67&gt;0,0,$H67-D67)</f>
        <v>-206056.34314728912</v>
      </c>
      <c r="E151" s="173">
        <f aca="true" t="shared" si="80" ref="E151:G151">IF($H67-E67&gt;0,0,$H67-E67)</f>
        <v>-206056.34314728912</v>
      </c>
      <c r="F151" s="173">
        <f t="shared" si="80"/>
        <v>-44001.48340441313</v>
      </c>
      <c r="G151" s="173">
        <f t="shared" si="80"/>
        <v>-15557.203782681256</v>
      </c>
      <c r="H151" s="173">
        <f aca="true" t="shared" si="81" ref="H151">$H67-H67</f>
        <v>0</v>
      </c>
      <c r="I151" s="173">
        <f>IF($H67-I67&lt;0,0,$H67-I67)</f>
        <v>7917.671055071389</v>
      </c>
      <c r="J151" s="173">
        <f aca="true" t="shared" si="82" ref="J151:M151">IF($H67-J67&lt;0,0,$H67-J67)</f>
        <v>10847.394770999443</v>
      </c>
      <c r="K151" s="173">
        <f t="shared" si="82"/>
        <v>12312.25662896347</v>
      </c>
      <c r="L151" s="173">
        <f t="shared" si="82"/>
        <v>12777.118486927498</v>
      </c>
      <c r="M151" s="173">
        <f t="shared" si="82"/>
        <v>13777.118486927498</v>
      </c>
    </row>
    <row r="152" spans="2:13" ht="15">
      <c r="B152" s="701"/>
      <c r="C152" s="169">
        <v>0.02</v>
      </c>
      <c r="D152" s="173">
        <f>IF($I67-D67&gt;0,0,$I67-D67)</f>
        <v>-213974.01420236053</v>
      </c>
      <c r="E152" s="173">
        <f aca="true" t="shared" si="83" ref="E152:H152">IF($I67-E67&gt;0,0,$I67-E67)</f>
        <v>-213974.01420236053</v>
      </c>
      <c r="F152" s="173">
        <f t="shared" si="83"/>
        <v>-51919.15445948452</v>
      </c>
      <c r="G152" s="173">
        <f t="shared" si="83"/>
        <v>-23474.874837752643</v>
      </c>
      <c r="H152" s="173">
        <f t="shared" si="83"/>
        <v>-7917.671055071389</v>
      </c>
      <c r="I152" s="173">
        <f aca="true" t="shared" si="84" ref="I152">$I67-I67</f>
        <v>0</v>
      </c>
      <c r="J152" s="173">
        <f>IF($I67-J67&lt;0,0,$I67-J67)</f>
        <v>2929.723715928055</v>
      </c>
      <c r="K152" s="173">
        <f aca="true" t="shared" si="85" ref="K152:M152">IF($I67-K67&lt;0,0,$I67-K67)</f>
        <v>4394.585573892082</v>
      </c>
      <c r="L152" s="173">
        <f t="shared" si="85"/>
        <v>4859.44743185611</v>
      </c>
      <c r="M152" s="173">
        <f t="shared" si="85"/>
        <v>5859.44743185611</v>
      </c>
    </row>
    <row r="153" spans="2:13" ht="15">
      <c r="B153" s="701"/>
      <c r="C153" s="407">
        <v>0.0133</v>
      </c>
      <c r="D153" s="173">
        <f>IF($J67-D67&gt;0,0,$J67-D67)</f>
        <v>-216903.73791828856</v>
      </c>
      <c r="E153" s="173">
        <f aca="true" t="shared" si="86" ref="E153:I153">IF($J67-E67&gt;0,0,$J67-E67)</f>
        <v>-216903.73791828856</v>
      </c>
      <c r="F153" s="173">
        <f t="shared" si="86"/>
        <v>-54848.878175412574</v>
      </c>
      <c r="G153" s="173">
        <f t="shared" si="86"/>
        <v>-26404.5985536807</v>
      </c>
      <c r="H153" s="173">
        <f t="shared" si="86"/>
        <v>-10847.394770999443</v>
      </c>
      <c r="I153" s="173">
        <f t="shared" si="86"/>
        <v>-2929.723715928055</v>
      </c>
      <c r="J153" s="173">
        <f aca="true" t="shared" si="87" ref="J153">$J67-J67</f>
        <v>0</v>
      </c>
      <c r="K153" s="173">
        <f>IF($J67-K67&lt;0,0,$J67-K67)</f>
        <v>1464.8618579640274</v>
      </c>
      <c r="L153" s="173">
        <f aca="true" t="shared" si="88" ref="L153:M153">IF($J67-L67&lt;0,0,$J67-L67)</f>
        <v>1929.7237159280548</v>
      </c>
      <c r="M153" s="173">
        <f t="shared" si="88"/>
        <v>2929.723715928055</v>
      </c>
    </row>
    <row r="154" spans="2:13" ht="15">
      <c r="B154" s="701"/>
      <c r="C154" s="169">
        <v>0.01</v>
      </c>
      <c r="D154" s="173">
        <f>IF($K67-D67&gt;0,0,$K67-D67)</f>
        <v>-218368.5997762526</v>
      </c>
      <c r="E154" s="173">
        <f aca="true" t="shared" si="89" ref="E154:J154">IF($K67-E67&gt;0,0,$K67-E67)</f>
        <v>-218368.5997762526</v>
      </c>
      <c r="F154" s="173">
        <f t="shared" si="89"/>
        <v>-56313.740033376605</v>
      </c>
      <c r="G154" s="173">
        <f t="shared" si="89"/>
        <v>-27869.460411644726</v>
      </c>
      <c r="H154" s="173">
        <f t="shared" si="89"/>
        <v>-12312.25662896347</v>
      </c>
      <c r="I154" s="173">
        <f t="shared" si="89"/>
        <v>-4394.585573892082</v>
      </c>
      <c r="J154" s="173">
        <f t="shared" si="89"/>
        <v>-1464.8618579640274</v>
      </c>
      <c r="K154" s="173">
        <f aca="true" t="shared" si="90" ref="K154">$K67-K67</f>
        <v>0</v>
      </c>
      <c r="L154" s="173">
        <f>IF($K67-L67&lt;0,0,$K67-L67)</f>
        <v>464.8618579640274</v>
      </c>
      <c r="M154" s="173">
        <f>IF($K67-M67&lt;0,0,$K67-M67)</f>
        <v>1464.8618579640274</v>
      </c>
    </row>
    <row r="155" spans="2:13" ht="15">
      <c r="B155" s="701"/>
      <c r="C155" s="170">
        <v>0.005</v>
      </c>
      <c r="D155" s="173">
        <f>IF($L67-D67&gt;0,0,$L67-D67)</f>
        <v>-218833.46163421663</v>
      </c>
      <c r="E155" s="173">
        <f aca="true" t="shared" si="91" ref="E155:K155">IF($L67-E67&gt;0,0,$L67-E67)</f>
        <v>-218833.46163421663</v>
      </c>
      <c r="F155" s="173">
        <f t="shared" si="91"/>
        <v>-56778.60189134063</v>
      </c>
      <c r="G155" s="173">
        <f t="shared" si="91"/>
        <v>-28334.322269608754</v>
      </c>
      <c r="H155" s="173">
        <f t="shared" si="91"/>
        <v>-12777.118486927498</v>
      </c>
      <c r="I155" s="173">
        <f t="shared" si="91"/>
        <v>-4859.44743185611</v>
      </c>
      <c r="J155" s="173">
        <f t="shared" si="91"/>
        <v>-1929.7237159280548</v>
      </c>
      <c r="K155" s="173">
        <f t="shared" si="91"/>
        <v>-464.8618579640274</v>
      </c>
      <c r="L155" s="173">
        <f aca="true" t="shared" si="92" ref="L155">$L67-L67</f>
        <v>0</v>
      </c>
      <c r="M155" s="173">
        <f>IF($L67-M67&lt;0,0,$L67-M67)</f>
        <v>1000</v>
      </c>
    </row>
    <row r="156" spans="2:13" ht="15">
      <c r="B156" s="701"/>
      <c r="C156" s="170">
        <v>0.001</v>
      </c>
      <c r="D156" s="173">
        <f>IF($M67-D67&gt;0,0,$M67-D67)</f>
        <v>-219833.46163421663</v>
      </c>
      <c r="E156" s="173">
        <f aca="true" t="shared" si="93" ref="E156:L156">IF($M67-E67&gt;0,0,$M67-E67)</f>
        <v>-219833.46163421663</v>
      </c>
      <c r="F156" s="173">
        <f t="shared" si="93"/>
        <v>-57778.60189134063</v>
      </c>
      <c r="G156" s="173">
        <f t="shared" si="93"/>
        <v>-29334.322269608754</v>
      </c>
      <c r="H156" s="173">
        <f t="shared" si="93"/>
        <v>-13777.118486927498</v>
      </c>
      <c r="I156" s="173">
        <f t="shared" si="93"/>
        <v>-5859.44743185611</v>
      </c>
      <c r="J156" s="173">
        <f t="shared" si="93"/>
        <v>-2929.723715928055</v>
      </c>
      <c r="K156" s="173">
        <f t="shared" si="93"/>
        <v>-1464.8618579640274</v>
      </c>
      <c r="L156" s="173">
        <f t="shared" si="93"/>
        <v>-1000</v>
      </c>
      <c r="M156" s="173">
        <f aca="true" t="shared" si="94" ref="M156">$M67-M67</f>
        <v>0</v>
      </c>
    </row>
    <row r="158" spans="5:6" ht="15">
      <c r="E158" s="163" t="s">
        <v>262</v>
      </c>
      <c r="F158" s="163" t="s">
        <v>280</v>
      </c>
    </row>
    <row r="159" spans="1:13" ht="15">
      <c r="A159" s="711" t="s">
        <v>369</v>
      </c>
      <c r="B159" s="590"/>
      <c r="C159" s="590"/>
      <c r="D159" s="169">
        <v>1</v>
      </c>
      <c r="E159" s="169">
        <v>0.5</v>
      </c>
      <c r="F159" s="169">
        <v>0.2</v>
      </c>
      <c r="G159" s="169">
        <v>0.1</v>
      </c>
      <c r="H159" s="169">
        <v>0.04</v>
      </c>
      <c r="I159" s="169">
        <v>0.02</v>
      </c>
      <c r="J159" s="407">
        <v>0.0133</v>
      </c>
      <c r="K159" s="169">
        <v>0.01</v>
      </c>
      <c r="L159" s="170">
        <v>0.005</v>
      </c>
      <c r="M159" s="170">
        <v>0.001</v>
      </c>
    </row>
    <row r="160" spans="3:13" ht="15">
      <c r="C160" s="169">
        <v>1</v>
      </c>
      <c r="D160" s="173">
        <f>D121*D82+D95*D134+D108*D147</f>
        <v>0</v>
      </c>
      <c r="E160" s="173">
        <f aca="true" t="shared" si="95" ref="E160:M160">E121*E82+E95*E134+E108*E147</f>
        <v>0</v>
      </c>
      <c r="F160" s="173">
        <f t="shared" si="95"/>
        <v>0</v>
      </c>
      <c r="G160" s="173">
        <f t="shared" si="95"/>
        <v>0</v>
      </c>
      <c r="H160" s="173">
        <f t="shared" si="95"/>
        <v>0</v>
      </c>
      <c r="I160" s="173">
        <f t="shared" si="95"/>
        <v>0</v>
      </c>
      <c r="J160" s="173">
        <f t="shared" si="95"/>
        <v>0</v>
      </c>
      <c r="K160" s="173">
        <f t="shared" si="95"/>
        <v>0</v>
      </c>
      <c r="L160" s="173">
        <f t="shared" si="95"/>
        <v>0</v>
      </c>
      <c r="M160" s="173">
        <f t="shared" si="95"/>
        <v>0</v>
      </c>
    </row>
    <row r="161" spans="2:13" ht="15">
      <c r="B161" s="163" t="s">
        <v>261</v>
      </c>
      <c r="C161" s="169">
        <v>0.5</v>
      </c>
      <c r="D161" s="173">
        <f aca="true" t="shared" si="96" ref="D161:M169">D122*D83+D96*D135+D109*D148</f>
        <v>0</v>
      </c>
      <c r="E161" s="173">
        <f t="shared" si="96"/>
        <v>0</v>
      </c>
      <c r="F161" s="173">
        <f t="shared" si="96"/>
        <v>0</v>
      </c>
      <c r="G161" s="173">
        <f t="shared" si="96"/>
        <v>0</v>
      </c>
      <c r="H161" s="173">
        <f t="shared" si="96"/>
        <v>0</v>
      </c>
      <c r="I161" s="173">
        <f t="shared" si="96"/>
        <v>0</v>
      </c>
      <c r="J161" s="173">
        <f t="shared" si="96"/>
        <v>0</v>
      </c>
      <c r="K161" s="173">
        <f t="shared" si="96"/>
        <v>0</v>
      </c>
      <c r="L161" s="173">
        <f t="shared" si="96"/>
        <v>0</v>
      </c>
      <c r="M161" s="173">
        <f t="shared" si="96"/>
        <v>0</v>
      </c>
    </row>
    <row r="162" spans="2:13" ht="15">
      <c r="B162" s="700" t="s">
        <v>281</v>
      </c>
      <c r="C162" s="169">
        <v>0.2</v>
      </c>
      <c r="D162" s="173">
        <f t="shared" si="96"/>
        <v>0</v>
      </c>
      <c r="E162" s="173">
        <f t="shared" si="96"/>
        <v>0</v>
      </c>
      <c r="F162" s="173">
        <f t="shared" si="96"/>
        <v>0</v>
      </c>
      <c r="G162" s="173">
        <f t="shared" si="96"/>
        <v>0</v>
      </c>
      <c r="H162" s="173">
        <f t="shared" si="96"/>
        <v>0</v>
      </c>
      <c r="I162" s="173">
        <f t="shared" si="96"/>
        <v>0</v>
      </c>
      <c r="J162" s="173">
        <f t="shared" si="96"/>
        <v>0</v>
      </c>
      <c r="K162" s="173">
        <f t="shared" si="96"/>
        <v>0</v>
      </c>
      <c r="L162" s="173">
        <f t="shared" si="96"/>
        <v>0</v>
      </c>
      <c r="M162" s="173">
        <f t="shared" si="96"/>
        <v>0</v>
      </c>
    </row>
    <row r="163" spans="2:13" ht="15">
      <c r="B163" s="701"/>
      <c r="C163" s="169">
        <v>0.1</v>
      </c>
      <c r="D163" s="173">
        <f t="shared" si="96"/>
        <v>0</v>
      </c>
      <c r="E163" s="173">
        <f t="shared" si="96"/>
        <v>0</v>
      </c>
      <c r="F163" s="173">
        <f t="shared" si="96"/>
        <v>0</v>
      </c>
      <c r="G163" s="173">
        <f t="shared" si="96"/>
        <v>0</v>
      </c>
      <c r="H163" s="173">
        <f t="shared" si="96"/>
        <v>0</v>
      </c>
      <c r="I163" s="173">
        <f t="shared" si="96"/>
        <v>0</v>
      </c>
      <c r="J163" s="173">
        <f t="shared" si="96"/>
        <v>0</v>
      </c>
      <c r="K163" s="173">
        <f t="shared" si="96"/>
        <v>0</v>
      </c>
      <c r="L163" s="173">
        <f t="shared" si="96"/>
        <v>0</v>
      </c>
      <c r="M163" s="173">
        <f t="shared" si="96"/>
        <v>0</v>
      </c>
    </row>
    <row r="164" spans="2:13" ht="15">
      <c r="B164" s="701"/>
      <c r="C164" s="169">
        <v>0.04</v>
      </c>
      <c r="D164" s="173">
        <f t="shared" si="96"/>
        <v>0</v>
      </c>
      <c r="E164" s="173">
        <f t="shared" si="96"/>
        <v>0</v>
      </c>
      <c r="F164" s="173">
        <f t="shared" si="96"/>
        <v>0</v>
      </c>
      <c r="G164" s="173">
        <f t="shared" si="96"/>
        <v>0</v>
      </c>
      <c r="H164" s="173">
        <f t="shared" si="96"/>
        <v>0</v>
      </c>
      <c r="I164" s="173">
        <f t="shared" si="96"/>
        <v>0</v>
      </c>
      <c r="J164" s="173">
        <f t="shared" si="96"/>
        <v>0</v>
      </c>
      <c r="K164" s="173">
        <f t="shared" si="96"/>
        <v>0</v>
      </c>
      <c r="L164" s="173">
        <f t="shared" si="96"/>
        <v>0</v>
      </c>
      <c r="M164" s="173">
        <f t="shared" si="96"/>
        <v>0</v>
      </c>
    </row>
    <row r="165" spans="2:13" ht="15">
      <c r="B165" s="701"/>
      <c r="C165" s="169">
        <v>0.02</v>
      </c>
      <c r="D165" s="173">
        <f t="shared" si="96"/>
        <v>0</v>
      </c>
      <c r="E165" s="173">
        <f t="shared" si="96"/>
        <v>0</v>
      </c>
      <c r="F165" s="173">
        <f t="shared" si="96"/>
        <v>0</v>
      </c>
      <c r="G165" s="173">
        <f t="shared" si="96"/>
        <v>0</v>
      </c>
      <c r="H165" s="173">
        <f t="shared" si="96"/>
        <v>0</v>
      </c>
      <c r="I165" s="173">
        <f t="shared" si="96"/>
        <v>0</v>
      </c>
      <c r="J165" s="173">
        <f t="shared" si="96"/>
        <v>0</v>
      </c>
      <c r="K165" s="173">
        <f t="shared" si="96"/>
        <v>0</v>
      </c>
      <c r="L165" s="173">
        <f t="shared" si="96"/>
        <v>0</v>
      </c>
      <c r="M165" s="173">
        <f t="shared" si="96"/>
        <v>0</v>
      </c>
    </row>
    <row r="166" spans="2:13" ht="15">
      <c r="B166" s="701"/>
      <c r="C166" s="407">
        <v>0.0133</v>
      </c>
      <c r="D166" s="173">
        <f t="shared" si="96"/>
        <v>0</v>
      </c>
      <c r="E166" s="173">
        <f t="shared" si="96"/>
        <v>0</v>
      </c>
      <c r="F166" s="173">
        <f t="shared" si="96"/>
        <v>0</v>
      </c>
      <c r="G166" s="173">
        <f t="shared" si="96"/>
        <v>0</v>
      </c>
      <c r="H166" s="173">
        <f t="shared" si="96"/>
        <v>0</v>
      </c>
      <c r="I166" s="173">
        <f t="shared" si="96"/>
        <v>0</v>
      </c>
      <c r="J166" s="173">
        <f t="shared" si="96"/>
        <v>0</v>
      </c>
      <c r="K166" s="173">
        <f t="shared" si="96"/>
        <v>0</v>
      </c>
      <c r="L166" s="173">
        <f t="shared" si="96"/>
        <v>0</v>
      </c>
      <c r="M166" s="173">
        <f t="shared" si="96"/>
        <v>0</v>
      </c>
    </row>
    <row r="167" spans="2:13" ht="15">
      <c r="B167" s="701"/>
      <c r="C167" s="169">
        <v>0.01</v>
      </c>
      <c r="D167" s="173">
        <f t="shared" si="96"/>
        <v>0</v>
      </c>
      <c r="E167" s="173">
        <f t="shared" si="96"/>
        <v>0</v>
      </c>
      <c r="F167" s="173">
        <f t="shared" si="96"/>
        <v>0</v>
      </c>
      <c r="G167" s="173">
        <f t="shared" si="96"/>
        <v>0</v>
      </c>
      <c r="H167" s="173">
        <f t="shared" si="96"/>
        <v>0</v>
      </c>
      <c r="I167" s="173">
        <f t="shared" si="96"/>
        <v>0</v>
      </c>
      <c r="J167" s="173">
        <f t="shared" si="96"/>
        <v>0</v>
      </c>
      <c r="K167" s="173">
        <f t="shared" si="96"/>
        <v>0</v>
      </c>
      <c r="L167" s="173">
        <f t="shared" si="96"/>
        <v>0</v>
      </c>
      <c r="M167" s="173">
        <f t="shared" si="96"/>
        <v>0</v>
      </c>
    </row>
    <row r="168" spans="2:13" ht="15">
      <c r="B168" s="701"/>
      <c r="C168" s="170">
        <v>0.005</v>
      </c>
      <c r="D168" s="173">
        <f t="shared" si="96"/>
        <v>0</v>
      </c>
      <c r="E168" s="173">
        <f t="shared" si="96"/>
        <v>0</v>
      </c>
      <c r="F168" s="173">
        <f t="shared" si="96"/>
        <v>0</v>
      </c>
      <c r="G168" s="173">
        <f t="shared" si="96"/>
        <v>0</v>
      </c>
      <c r="H168" s="173">
        <f t="shared" si="96"/>
        <v>0</v>
      </c>
      <c r="I168" s="173">
        <f t="shared" si="96"/>
        <v>0</v>
      </c>
      <c r="J168" s="173">
        <f t="shared" si="96"/>
        <v>0</v>
      </c>
      <c r="K168" s="173">
        <f t="shared" si="96"/>
        <v>0</v>
      </c>
      <c r="L168" s="173">
        <f t="shared" si="96"/>
        <v>0</v>
      </c>
      <c r="M168" s="173">
        <f t="shared" si="96"/>
        <v>0</v>
      </c>
    </row>
    <row r="169" spans="2:13" ht="15">
      <c r="B169" s="701"/>
      <c r="C169" s="170">
        <v>0.001</v>
      </c>
      <c r="D169" s="173">
        <f t="shared" si="96"/>
        <v>0</v>
      </c>
      <c r="E169" s="173">
        <f t="shared" si="96"/>
        <v>0</v>
      </c>
      <c r="F169" s="173">
        <f t="shared" si="96"/>
        <v>0</v>
      </c>
      <c r="G169" s="173">
        <f t="shared" si="96"/>
        <v>0</v>
      </c>
      <c r="H169" s="173">
        <f t="shared" si="96"/>
        <v>0</v>
      </c>
      <c r="I169" s="173">
        <f t="shared" si="96"/>
        <v>0</v>
      </c>
      <c r="J169" s="173">
        <f t="shared" si="96"/>
        <v>0</v>
      </c>
      <c r="K169" s="173">
        <f t="shared" si="96"/>
        <v>0</v>
      </c>
      <c r="L169" s="173">
        <f t="shared" si="96"/>
        <v>0</v>
      </c>
      <c r="M169" s="173">
        <f t="shared" si="96"/>
        <v>0</v>
      </c>
    </row>
    <row r="171" spans="3:6" ht="15">
      <c r="C171" s="176" t="s">
        <v>722</v>
      </c>
      <c r="E171" s="163" t="s">
        <v>262</v>
      </c>
      <c r="F171" s="163" t="s">
        <v>280</v>
      </c>
    </row>
    <row r="172" spans="1:13" ht="15">
      <c r="A172" s="711" t="str">
        <f>A120</f>
        <v>MOTORWAY</v>
      </c>
      <c r="B172" s="590"/>
      <c r="C172" s="590"/>
      <c r="D172" s="169">
        <v>1</v>
      </c>
      <c r="E172" s="169">
        <v>0.5</v>
      </c>
      <c r="F172" s="169">
        <v>0.2</v>
      </c>
      <c r="G172" s="169">
        <v>0.1</v>
      </c>
      <c r="H172" s="169">
        <v>0.04</v>
      </c>
      <c r="I172" s="169">
        <v>0.02</v>
      </c>
      <c r="J172" s="407">
        <v>0.0133</v>
      </c>
      <c r="K172" s="169">
        <v>0.01</v>
      </c>
      <c r="L172" s="170">
        <v>0.005</v>
      </c>
      <c r="M172" s="170">
        <v>0.001</v>
      </c>
    </row>
    <row r="173" spans="3:14" ht="15">
      <c r="C173" s="169">
        <v>1</v>
      </c>
      <c r="D173" s="173">
        <f>IF($D71-D71&lt;0,0,$D71-D71)</f>
        <v>0</v>
      </c>
      <c r="E173" s="173">
        <f aca="true" t="shared" si="97" ref="E173:M173">IF($D71-E71&lt;0,0,$D71-E71)</f>
        <v>0</v>
      </c>
      <c r="F173" s="173">
        <f t="shared" si="97"/>
        <v>0</v>
      </c>
      <c r="G173" s="173">
        <f t="shared" si="97"/>
        <v>0</v>
      </c>
      <c r="H173" s="173">
        <f t="shared" si="97"/>
        <v>0</v>
      </c>
      <c r="I173" s="173">
        <f t="shared" si="97"/>
        <v>0</v>
      </c>
      <c r="J173" s="173">
        <f t="shared" si="97"/>
        <v>0</v>
      </c>
      <c r="K173" s="173">
        <f t="shared" si="97"/>
        <v>0</v>
      </c>
      <c r="L173" s="173">
        <f t="shared" si="97"/>
        <v>0</v>
      </c>
      <c r="M173" s="173">
        <f t="shared" si="97"/>
        <v>0</v>
      </c>
      <c r="N173" s="163" t="s">
        <v>366</v>
      </c>
    </row>
    <row r="174" spans="2:13" ht="15" customHeight="1">
      <c r="B174" s="163" t="s">
        <v>261</v>
      </c>
      <c r="C174" s="169">
        <v>0.5</v>
      </c>
      <c r="D174" s="173">
        <f>IF($E71-D71&gt;0,0,$E71-D71)</f>
        <v>0</v>
      </c>
      <c r="E174" s="173">
        <f>$E71-E71</f>
        <v>0</v>
      </c>
      <c r="F174" s="173">
        <f>IF($E71-F71&lt;0,0,$E71-F71)</f>
        <v>0</v>
      </c>
      <c r="G174" s="173">
        <f aca="true" t="shared" si="98" ref="G174:I174">IF($E71-G71&lt;0,0,$E71-G71)</f>
        <v>0</v>
      </c>
      <c r="H174" s="173">
        <f t="shared" si="98"/>
        <v>0</v>
      </c>
      <c r="I174" s="173">
        <f t="shared" si="98"/>
        <v>0</v>
      </c>
      <c r="J174" s="173">
        <f aca="true" t="shared" si="99" ref="J174:M174">IF($E71-J71&lt;0,0,$E71-J71)</f>
        <v>0</v>
      </c>
      <c r="K174" s="173">
        <f t="shared" si="99"/>
        <v>0</v>
      </c>
      <c r="L174" s="173">
        <f t="shared" si="99"/>
        <v>0</v>
      </c>
      <c r="M174" s="173">
        <f t="shared" si="99"/>
        <v>0</v>
      </c>
    </row>
    <row r="175" spans="2:13" ht="15">
      <c r="B175" s="700" t="s">
        <v>281</v>
      </c>
      <c r="C175" s="169">
        <v>0.2</v>
      </c>
      <c r="D175" s="173">
        <f>IF($F71-D71&gt;0,0,$F71-D71)</f>
        <v>0</v>
      </c>
      <c r="E175" s="173">
        <f>IF($F71-E71&gt;0,0,$F71-E71)</f>
        <v>0</v>
      </c>
      <c r="F175" s="173">
        <f aca="true" t="shared" si="100" ref="F175">$F71-F71</f>
        <v>0</v>
      </c>
      <c r="G175" s="173">
        <f>IF($F71-G71&lt;0,0,$F71-G71)</f>
        <v>3926.6525206452816</v>
      </c>
      <c r="H175" s="173">
        <f aca="true" t="shared" si="101" ref="H175:M175">IF($F71-H71&lt;0,0,$F71-H71)</f>
        <v>6074.280594192473</v>
      </c>
      <c r="I175" s="173">
        <f t="shared" si="101"/>
        <v>7167.292736510292</v>
      </c>
      <c r="J175" s="173">
        <f t="shared" si="101"/>
        <v>7571.7328266419445</v>
      </c>
      <c r="K175" s="173">
        <f t="shared" si="101"/>
        <v>7773.95287170777</v>
      </c>
      <c r="L175" s="173">
        <f t="shared" si="101"/>
        <v>7838.125739173596</v>
      </c>
      <c r="M175" s="173">
        <f t="shared" si="101"/>
        <v>7976.172916773597</v>
      </c>
    </row>
    <row r="176" spans="2:13" ht="15">
      <c r="B176" s="701"/>
      <c r="C176" s="169">
        <v>0.1</v>
      </c>
      <c r="D176" s="173">
        <f>IF($G71-D71&gt;0,0,$G71-D71)</f>
        <v>0</v>
      </c>
      <c r="E176" s="173">
        <f aca="true" t="shared" si="102" ref="E176:F176">IF($G71-E71&gt;0,0,$G71-E71)</f>
        <v>0</v>
      </c>
      <c r="F176" s="173">
        <f t="shared" si="102"/>
        <v>-3926.6525206452816</v>
      </c>
      <c r="G176" s="173">
        <f aca="true" t="shared" si="103" ref="G176">$G71-G71</f>
        <v>0</v>
      </c>
      <c r="H176" s="173">
        <f>IF($G71-H71&lt;0,0,$G71-H71)</f>
        <v>2147.628073547191</v>
      </c>
      <c r="I176" s="173">
        <f aca="true" t="shared" si="104" ref="I176:M176">IF($G71-I71&lt;0,0,$G71-I71)</f>
        <v>3240.6402158650108</v>
      </c>
      <c r="J176" s="173">
        <f t="shared" si="104"/>
        <v>3645.080305996663</v>
      </c>
      <c r="K176" s="173">
        <f t="shared" si="104"/>
        <v>3847.300351062489</v>
      </c>
      <c r="L176" s="173">
        <f t="shared" si="104"/>
        <v>3911.473218528315</v>
      </c>
      <c r="M176" s="173">
        <f t="shared" si="104"/>
        <v>4049.520396128315</v>
      </c>
    </row>
    <row r="177" spans="2:13" ht="15">
      <c r="B177" s="701"/>
      <c r="C177" s="169">
        <v>0.04</v>
      </c>
      <c r="D177" s="173">
        <f>IF($H71-D71&gt;0,0,$H71-D71)</f>
        <v>0</v>
      </c>
      <c r="E177" s="173">
        <f aca="true" t="shared" si="105" ref="E177:G177">IF($H71-E71&gt;0,0,$H71-E71)</f>
        <v>0</v>
      </c>
      <c r="F177" s="173">
        <f t="shared" si="105"/>
        <v>-6074.280594192473</v>
      </c>
      <c r="G177" s="173">
        <f t="shared" si="105"/>
        <v>-2147.628073547191</v>
      </c>
      <c r="H177" s="173">
        <f aca="true" t="shared" si="106" ref="H177">$H71-H71</f>
        <v>0</v>
      </c>
      <c r="I177" s="173">
        <f>IF($H71-I71&lt;0,0,$H71-I71)</f>
        <v>1093.0121423178196</v>
      </c>
      <c r="J177" s="173">
        <f aca="true" t="shared" si="107" ref="J177:M177">IF($H71-J71&lt;0,0,$H71-J71)</f>
        <v>1497.4522324494717</v>
      </c>
      <c r="K177" s="173">
        <f t="shared" si="107"/>
        <v>1699.6722775152978</v>
      </c>
      <c r="L177" s="173">
        <f t="shared" si="107"/>
        <v>1763.845144981124</v>
      </c>
      <c r="M177" s="173">
        <f t="shared" si="107"/>
        <v>1901.8923225811238</v>
      </c>
    </row>
    <row r="178" spans="2:13" ht="15">
      <c r="B178" s="701"/>
      <c r="C178" s="169">
        <v>0.02</v>
      </c>
      <c r="D178" s="173">
        <f>IF($I71-D71&gt;0,0,$I71-D71)</f>
        <v>0</v>
      </c>
      <c r="E178" s="173">
        <f aca="true" t="shared" si="108" ref="E178:H178">IF($I71-E71&gt;0,0,$I71-E71)</f>
        <v>0</v>
      </c>
      <c r="F178" s="173">
        <f t="shared" si="108"/>
        <v>-7167.292736510292</v>
      </c>
      <c r="G178" s="173">
        <f t="shared" si="108"/>
        <v>-3240.6402158650108</v>
      </c>
      <c r="H178" s="173">
        <f t="shared" si="108"/>
        <v>-1093.0121423178196</v>
      </c>
      <c r="I178" s="173">
        <f aca="true" t="shared" si="109" ref="I178">$I71-I71</f>
        <v>0</v>
      </c>
      <c r="J178" s="173">
        <f>IF($I71-J71&lt;0,0,$I71-J71)</f>
        <v>404.44009013165214</v>
      </c>
      <c r="K178" s="173">
        <f aca="true" t="shared" si="110" ref="K178:M178">IF($I71-K71&lt;0,0,$I71-K71)</f>
        <v>606.6601351974782</v>
      </c>
      <c r="L178" s="173">
        <f t="shared" si="110"/>
        <v>670.8330026633042</v>
      </c>
      <c r="M178" s="173">
        <f t="shared" si="110"/>
        <v>808.8801802633043</v>
      </c>
    </row>
    <row r="179" spans="2:13" ht="15">
      <c r="B179" s="701"/>
      <c r="C179" s="407">
        <v>0.0133</v>
      </c>
      <c r="D179" s="173">
        <f>IF($J71-D71&gt;0,0,$J71-D71)</f>
        <v>0</v>
      </c>
      <c r="E179" s="173">
        <f aca="true" t="shared" si="111" ref="E179:I179">IF($J71-E71&gt;0,0,$J71-E71)</f>
        <v>0</v>
      </c>
      <c r="F179" s="173">
        <f t="shared" si="111"/>
        <v>-7571.7328266419445</v>
      </c>
      <c r="G179" s="173">
        <f t="shared" si="111"/>
        <v>-3645.080305996663</v>
      </c>
      <c r="H179" s="173">
        <f t="shared" si="111"/>
        <v>-1497.4522324494717</v>
      </c>
      <c r="I179" s="173">
        <f t="shared" si="111"/>
        <v>-404.44009013165214</v>
      </c>
      <c r="J179" s="173">
        <f aca="true" t="shared" si="112" ref="J179">$J71-J71</f>
        <v>0</v>
      </c>
      <c r="K179" s="173">
        <f>IF($J71-K71&lt;0,0,$J71-K71)</f>
        <v>202.22004506582607</v>
      </c>
      <c r="L179" s="173">
        <f aca="true" t="shared" si="113" ref="L179:M179">IF($J71-L71&lt;0,0,$J71-L71)</f>
        <v>266.3929125316521</v>
      </c>
      <c r="M179" s="173">
        <f t="shared" si="113"/>
        <v>404.44009013165214</v>
      </c>
    </row>
    <row r="180" spans="2:13" ht="15">
      <c r="B180" s="701"/>
      <c r="C180" s="169">
        <v>0.01</v>
      </c>
      <c r="D180" s="173">
        <f>IF($K71-D71&gt;0,0,$K71-D71)</f>
        <v>0</v>
      </c>
      <c r="E180" s="173">
        <f aca="true" t="shared" si="114" ref="E180:J180">IF($K71-E71&gt;0,0,$K71-E71)</f>
        <v>0</v>
      </c>
      <c r="F180" s="173">
        <f t="shared" si="114"/>
        <v>-7773.95287170777</v>
      </c>
      <c r="G180" s="173">
        <f t="shared" si="114"/>
        <v>-3847.300351062489</v>
      </c>
      <c r="H180" s="173">
        <f t="shared" si="114"/>
        <v>-1699.6722775152978</v>
      </c>
      <c r="I180" s="173">
        <f t="shared" si="114"/>
        <v>-606.6601351974782</v>
      </c>
      <c r="J180" s="173">
        <f t="shared" si="114"/>
        <v>-202.22004506582607</v>
      </c>
      <c r="K180" s="173">
        <f aca="true" t="shared" si="115" ref="K180">$K71-K71</f>
        <v>0</v>
      </c>
      <c r="L180" s="173">
        <f>IF($K71-L71&lt;0,0,$K71-L71)</f>
        <v>64.17286746582604</v>
      </c>
      <c r="M180" s="173">
        <f>IF($K71-M71&lt;0,0,$K71-M71)</f>
        <v>202.22004506582607</v>
      </c>
    </row>
    <row r="181" spans="2:13" ht="15">
      <c r="B181" s="701"/>
      <c r="C181" s="170">
        <v>0.005</v>
      </c>
      <c r="D181" s="173">
        <f>IF($L71-D71&gt;0,0,$L71-D71)</f>
        <v>0</v>
      </c>
      <c r="E181" s="173">
        <f aca="true" t="shared" si="116" ref="E181:K181">IF($L71-E71&gt;0,0,$L71-E71)</f>
        <v>0</v>
      </c>
      <c r="F181" s="173">
        <f t="shared" si="116"/>
        <v>-7838.125739173596</v>
      </c>
      <c r="G181" s="173">
        <f t="shared" si="116"/>
        <v>-3911.473218528315</v>
      </c>
      <c r="H181" s="173">
        <f t="shared" si="116"/>
        <v>-1763.845144981124</v>
      </c>
      <c r="I181" s="173">
        <f t="shared" si="116"/>
        <v>-670.8330026633042</v>
      </c>
      <c r="J181" s="173">
        <f t="shared" si="116"/>
        <v>-266.3929125316521</v>
      </c>
      <c r="K181" s="173">
        <f t="shared" si="116"/>
        <v>-64.17286746582604</v>
      </c>
      <c r="L181" s="173">
        <f aca="true" t="shared" si="117" ref="L181">$L71-L71</f>
        <v>0</v>
      </c>
      <c r="M181" s="173">
        <f>IF($L71-M71&lt;0,0,$L71-M71)</f>
        <v>138.04717760000003</v>
      </c>
    </row>
    <row r="182" spans="2:13" ht="15">
      <c r="B182" s="701"/>
      <c r="C182" s="170">
        <v>0.001</v>
      </c>
      <c r="D182" s="173">
        <f>IF($M71-D71&gt;0,0,$M71-D71)</f>
        <v>0</v>
      </c>
      <c r="E182" s="173">
        <f aca="true" t="shared" si="118" ref="E182:L182">IF($M71-E71&gt;0,0,$M71-E71)</f>
        <v>0</v>
      </c>
      <c r="F182" s="173">
        <f t="shared" si="118"/>
        <v>-7976.172916773597</v>
      </c>
      <c r="G182" s="173">
        <f t="shared" si="118"/>
        <v>-4049.520396128315</v>
      </c>
      <c r="H182" s="173">
        <f t="shared" si="118"/>
        <v>-1901.8923225811238</v>
      </c>
      <c r="I182" s="173">
        <f t="shared" si="118"/>
        <v>-808.8801802633043</v>
      </c>
      <c r="J182" s="173">
        <f t="shared" si="118"/>
        <v>-404.44009013165214</v>
      </c>
      <c r="K182" s="173">
        <f t="shared" si="118"/>
        <v>-202.22004506582607</v>
      </c>
      <c r="L182" s="173">
        <f t="shared" si="118"/>
        <v>-138.04717760000003</v>
      </c>
      <c r="M182" s="173">
        <f aca="true" t="shared" si="119" ref="M182">$M71-M71</f>
        <v>0</v>
      </c>
    </row>
    <row r="184" spans="5:6" ht="15">
      <c r="E184" s="163" t="s">
        <v>262</v>
      </c>
      <c r="F184" s="163" t="s">
        <v>280</v>
      </c>
    </row>
    <row r="185" spans="1:13" ht="15">
      <c r="A185" s="711" t="str">
        <f>A133</f>
        <v>A ROAD and CRITICAL B ROADS</v>
      </c>
      <c r="B185" s="590"/>
      <c r="C185" s="590"/>
      <c r="D185" s="169">
        <v>1</v>
      </c>
      <c r="E185" s="169">
        <v>0.5</v>
      </c>
      <c r="F185" s="169">
        <v>0.2</v>
      </c>
      <c r="G185" s="169">
        <v>0.1</v>
      </c>
      <c r="H185" s="169">
        <v>0.04</v>
      </c>
      <c r="I185" s="169">
        <v>0.02</v>
      </c>
      <c r="J185" s="407">
        <v>0.0133</v>
      </c>
      <c r="K185" s="169">
        <v>0.01</v>
      </c>
      <c r="L185" s="170">
        <v>0.005</v>
      </c>
      <c r="M185" s="170">
        <v>0.001</v>
      </c>
    </row>
    <row r="186" spans="3:14" ht="15">
      <c r="C186" s="169">
        <v>1</v>
      </c>
      <c r="D186" s="173">
        <f>IF($D72-D72&lt;0,0,$D72-D72)</f>
        <v>0</v>
      </c>
      <c r="E186" s="173">
        <f aca="true" t="shared" si="120" ref="E186:M186">IF($D72-E72&lt;0,0,$D72-E72)</f>
        <v>0</v>
      </c>
      <c r="F186" s="173">
        <f t="shared" si="120"/>
        <v>0</v>
      </c>
      <c r="G186" s="173">
        <f t="shared" si="120"/>
        <v>0</v>
      </c>
      <c r="H186" s="173">
        <f t="shared" si="120"/>
        <v>0</v>
      </c>
      <c r="I186" s="173">
        <f t="shared" si="120"/>
        <v>0</v>
      </c>
      <c r="J186" s="173">
        <f t="shared" si="120"/>
        <v>0</v>
      </c>
      <c r="K186" s="173">
        <f t="shared" si="120"/>
        <v>0</v>
      </c>
      <c r="L186" s="173">
        <f t="shared" si="120"/>
        <v>0</v>
      </c>
      <c r="M186" s="173">
        <f t="shared" si="120"/>
        <v>0</v>
      </c>
      <c r="N186" s="163" t="s">
        <v>366</v>
      </c>
    </row>
    <row r="187" spans="2:13" ht="15" customHeight="1">
      <c r="B187" s="163" t="s">
        <v>261</v>
      </c>
      <c r="C187" s="169">
        <v>0.5</v>
      </c>
      <c r="D187" s="173">
        <f>IF($E72-D72&gt;0,0,$E72-D72)</f>
        <v>0</v>
      </c>
      <c r="E187" s="173">
        <f>$E72-E72</f>
        <v>0</v>
      </c>
      <c r="F187" s="173">
        <f>IF($E72-F72&lt;0,0,$E72-F72)</f>
        <v>0</v>
      </c>
      <c r="G187" s="173">
        <f aca="true" t="shared" si="121" ref="G187:I187">IF($E72-G72&lt;0,0,$E72-G72)</f>
        <v>0</v>
      </c>
      <c r="H187" s="173">
        <f t="shared" si="121"/>
        <v>0</v>
      </c>
      <c r="I187" s="173">
        <f t="shared" si="121"/>
        <v>0</v>
      </c>
      <c r="J187" s="173">
        <f aca="true" t="shared" si="122" ref="J187:M187">IF($E72-J72&lt;0,0,$E72-J72)</f>
        <v>0</v>
      </c>
      <c r="K187" s="173">
        <f t="shared" si="122"/>
        <v>0</v>
      </c>
      <c r="L187" s="173">
        <f t="shared" si="122"/>
        <v>0</v>
      </c>
      <c r="M187" s="173">
        <f t="shared" si="122"/>
        <v>0</v>
      </c>
    </row>
    <row r="188" spans="2:13" ht="15">
      <c r="B188" s="700" t="s">
        <v>281</v>
      </c>
      <c r="C188" s="169">
        <v>0.2</v>
      </c>
      <c r="D188" s="173">
        <f>IF($F72-D72&gt;0,0,$F72-D72)</f>
        <v>0</v>
      </c>
      <c r="E188" s="173">
        <f>IF($F72-E72&gt;0,0,$F72-E72)</f>
        <v>0</v>
      </c>
      <c r="F188" s="173">
        <f aca="true" t="shared" si="123" ref="F188">$F72-F72</f>
        <v>0</v>
      </c>
      <c r="G188" s="173">
        <f>IF($F72-G72&lt;0,0,$F72-G72)</f>
        <v>599.7635304876694</v>
      </c>
      <c r="H188" s="173">
        <f aca="true" t="shared" si="124" ref="H188:M188">IF($F72-H72&lt;0,0,$F72-H72)</f>
        <v>927.7958656109774</v>
      </c>
      <c r="I188" s="173">
        <f t="shared" si="124"/>
        <v>1094.7443842017433</v>
      </c>
      <c r="J188" s="173">
        <f t="shared" si="124"/>
        <v>1156.5192458816987</v>
      </c>
      <c r="K188" s="173">
        <f t="shared" si="124"/>
        <v>1187.4066767216766</v>
      </c>
      <c r="L188" s="173">
        <f t="shared" si="124"/>
        <v>1197.2085487616544</v>
      </c>
      <c r="M188" s="173">
        <f t="shared" si="124"/>
        <v>1218.2941075616543</v>
      </c>
    </row>
    <row r="189" spans="2:13" ht="15">
      <c r="B189" s="701"/>
      <c r="C189" s="169">
        <v>0.1</v>
      </c>
      <c r="D189" s="173">
        <f>IF($G72-D72&gt;0,0,$G72-D72)</f>
        <v>0</v>
      </c>
      <c r="E189" s="173">
        <f aca="true" t="shared" si="125" ref="E189:F189">IF($G72-E72&gt;0,0,$G72-E72)</f>
        <v>0</v>
      </c>
      <c r="F189" s="173">
        <f t="shared" si="125"/>
        <v>-599.7635304876694</v>
      </c>
      <c r="G189" s="173">
        <f aca="true" t="shared" si="126" ref="G189">$G72-G72</f>
        <v>0</v>
      </c>
      <c r="H189" s="173">
        <f>IF($G72-H72&lt;0,0,$G72-H72)</f>
        <v>328.03233512330803</v>
      </c>
      <c r="I189" s="173">
        <f aca="true" t="shared" si="127" ref="I189:M189">IF($G72-I72&lt;0,0,$G72-I72)</f>
        <v>494.9808537140739</v>
      </c>
      <c r="J189" s="173">
        <f t="shared" si="127"/>
        <v>556.7557153940294</v>
      </c>
      <c r="K189" s="173">
        <f t="shared" si="127"/>
        <v>587.6431462340072</v>
      </c>
      <c r="L189" s="173">
        <f t="shared" si="127"/>
        <v>597.4450182739848</v>
      </c>
      <c r="M189" s="173">
        <f t="shared" si="127"/>
        <v>618.5305770739849</v>
      </c>
    </row>
    <row r="190" spans="2:13" ht="15">
      <c r="B190" s="701"/>
      <c r="C190" s="169">
        <v>0.04</v>
      </c>
      <c r="D190" s="173">
        <f>IF($H72-D72&gt;0,0,$H72-D72)</f>
        <v>0</v>
      </c>
      <c r="E190" s="173">
        <f aca="true" t="shared" si="128" ref="E190:G190">IF($H72-E72&gt;0,0,$H72-E72)</f>
        <v>0</v>
      </c>
      <c r="F190" s="173">
        <f t="shared" si="128"/>
        <v>-927.7958656109774</v>
      </c>
      <c r="G190" s="173">
        <f t="shared" si="128"/>
        <v>-328.03233512330803</v>
      </c>
      <c r="H190" s="173">
        <f aca="true" t="shared" si="129" ref="H190">$H72-H72</f>
        <v>0</v>
      </c>
      <c r="I190" s="173">
        <f>IF($H72-I72&lt;0,0,$H72-I72)</f>
        <v>166.94851859076584</v>
      </c>
      <c r="J190" s="173">
        <f aca="true" t="shared" si="130" ref="J190:M190">IF($H72-J72&lt;0,0,$H72-J72)</f>
        <v>228.72338027072135</v>
      </c>
      <c r="K190" s="173">
        <f t="shared" si="130"/>
        <v>259.6108111106991</v>
      </c>
      <c r="L190" s="173">
        <f t="shared" si="130"/>
        <v>269.41268315067686</v>
      </c>
      <c r="M190" s="173">
        <f t="shared" si="130"/>
        <v>290.49824195067686</v>
      </c>
    </row>
    <row r="191" spans="2:13" ht="15">
      <c r="B191" s="701"/>
      <c r="C191" s="169">
        <v>0.02</v>
      </c>
      <c r="D191" s="173">
        <f>IF($I72-D72&gt;0,0,$I72-D72)</f>
        <v>0</v>
      </c>
      <c r="E191" s="173">
        <f aca="true" t="shared" si="131" ref="E191:H191">IF($I72-E72&gt;0,0,$I72-E72)</f>
        <v>0</v>
      </c>
      <c r="F191" s="173">
        <f t="shared" si="131"/>
        <v>-1094.7443842017433</v>
      </c>
      <c r="G191" s="173">
        <f t="shared" si="131"/>
        <v>-494.9808537140739</v>
      </c>
      <c r="H191" s="173">
        <f t="shared" si="131"/>
        <v>-166.94851859076584</v>
      </c>
      <c r="I191" s="173">
        <f aca="true" t="shared" si="132" ref="I191">$I72-I72</f>
        <v>0</v>
      </c>
      <c r="J191" s="173">
        <f>IF($I72-J72&lt;0,0,$I72-J72)</f>
        <v>61.77486167995551</v>
      </c>
      <c r="K191" s="173">
        <f aca="true" t="shared" si="133" ref="K191:M191">IF($I72-K72&lt;0,0,$I72-K72)</f>
        <v>92.66229251993326</v>
      </c>
      <c r="L191" s="173">
        <f t="shared" si="133"/>
        <v>102.46416455991101</v>
      </c>
      <c r="M191" s="173">
        <f t="shared" si="133"/>
        <v>123.54972335991101</v>
      </c>
    </row>
    <row r="192" spans="2:13" ht="15">
      <c r="B192" s="701"/>
      <c r="C192" s="407">
        <v>0.0133</v>
      </c>
      <c r="D192" s="173">
        <f>IF($J72-D72&gt;0,0,$J72-D72)</f>
        <v>0</v>
      </c>
      <c r="E192" s="173">
        <f aca="true" t="shared" si="134" ref="E192:I192">IF($J72-E72&gt;0,0,$J72-E72)</f>
        <v>0</v>
      </c>
      <c r="F192" s="173">
        <f t="shared" si="134"/>
        <v>-1156.5192458816987</v>
      </c>
      <c r="G192" s="173">
        <f t="shared" si="134"/>
        <v>-556.7557153940294</v>
      </c>
      <c r="H192" s="173">
        <f t="shared" si="134"/>
        <v>-228.72338027072135</v>
      </c>
      <c r="I192" s="173">
        <f t="shared" si="134"/>
        <v>-61.77486167995551</v>
      </c>
      <c r="J192" s="173">
        <f aca="true" t="shared" si="135" ref="J192">$J72-J72</f>
        <v>0</v>
      </c>
      <c r="K192" s="173">
        <f>IF($J72-K72&lt;0,0,$J72-K72)</f>
        <v>30.887430839977753</v>
      </c>
      <c r="L192" s="173">
        <f aca="true" t="shared" si="136" ref="L192:M192">IF($J72-L72&lt;0,0,$J72-L72)</f>
        <v>40.689302879955505</v>
      </c>
      <c r="M192" s="173">
        <f t="shared" si="136"/>
        <v>61.77486167995551</v>
      </c>
    </row>
    <row r="193" spans="2:13" ht="15">
      <c r="B193" s="701"/>
      <c r="C193" s="169">
        <v>0.01</v>
      </c>
      <c r="D193" s="173">
        <f>IF($K72-D72&gt;0,0,$K72-D72)</f>
        <v>0</v>
      </c>
      <c r="E193" s="173">
        <f aca="true" t="shared" si="137" ref="E193:J193">IF($K72-E72&gt;0,0,$K72-E72)</f>
        <v>0</v>
      </c>
      <c r="F193" s="173">
        <f t="shared" si="137"/>
        <v>-1187.4066767216766</v>
      </c>
      <c r="G193" s="173">
        <f t="shared" si="137"/>
        <v>-587.6431462340072</v>
      </c>
      <c r="H193" s="173">
        <f t="shared" si="137"/>
        <v>-259.6108111106991</v>
      </c>
      <c r="I193" s="173">
        <f t="shared" si="137"/>
        <v>-92.66229251993326</v>
      </c>
      <c r="J193" s="173">
        <f t="shared" si="137"/>
        <v>-30.887430839977753</v>
      </c>
      <c r="K193" s="173">
        <f aca="true" t="shared" si="138" ref="K193">$K72-K72</f>
        <v>0</v>
      </c>
      <c r="L193" s="173">
        <f>IF($K72-L72&lt;0,0,$K72-L72)</f>
        <v>9.801872039977749</v>
      </c>
      <c r="M193" s="173">
        <f>IF($K72-M72&lt;0,0,$K72-M72)</f>
        <v>30.887430839977753</v>
      </c>
    </row>
    <row r="194" spans="2:13" ht="15">
      <c r="B194" s="701"/>
      <c r="C194" s="170">
        <v>0.005</v>
      </c>
      <c r="D194" s="173">
        <f>IF($L72-D72&gt;0,0,$L72-D72)</f>
        <v>0</v>
      </c>
      <c r="E194" s="173">
        <f aca="true" t="shared" si="139" ref="E194:K194">IF($L72-E72&gt;0,0,$L72-E72)</f>
        <v>0</v>
      </c>
      <c r="F194" s="173">
        <f t="shared" si="139"/>
        <v>-1197.2085487616544</v>
      </c>
      <c r="G194" s="173">
        <f t="shared" si="139"/>
        <v>-597.4450182739848</v>
      </c>
      <c r="H194" s="173">
        <f t="shared" si="139"/>
        <v>-269.41268315067686</v>
      </c>
      <c r="I194" s="173">
        <f t="shared" si="139"/>
        <v>-102.46416455991101</v>
      </c>
      <c r="J194" s="173">
        <f t="shared" si="139"/>
        <v>-40.689302879955505</v>
      </c>
      <c r="K194" s="173">
        <f t="shared" si="139"/>
        <v>-9.801872039977749</v>
      </c>
      <c r="L194" s="173">
        <f aca="true" t="shared" si="140" ref="L194">$L72-L72</f>
        <v>0</v>
      </c>
      <c r="M194" s="173">
        <f>IF($L72-M72&lt;0,0,$L72-M72)</f>
        <v>21.085558800000005</v>
      </c>
    </row>
    <row r="195" spans="2:13" ht="15">
      <c r="B195" s="701"/>
      <c r="C195" s="170">
        <v>0.001</v>
      </c>
      <c r="D195" s="173">
        <f>IF($M72-D72&gt;0,0,$M72-D72)</f>
        <v>0</v>
      </c>
      <c r="E195" s="173">
        <f aca="true" t="shared" si="141" ref="E195:L195">IF($M72-E72&gt;0,0,$M72-E72)</f>
        <v>0</v>
      </c>
      <c r="F195" s="173">
        <f t="shared" si="141"/>
        <v>-1218.2941075616543</v>
      </c>
      <c r="G195" s="173">
        <f t="shared" si="141"/>
        <v>-618.5305770739849</v>
      </c>
      <c r="H195" s="173">
        <f t="shared" si="141"/>
        <v>-290.49824195067686</v>
      </c>
      <c r="I195" s="173">
        <f t="shared" si="141"/>
        <v>-123.54972335991101</v>
      </c>
      <c r="J195" s="173">
        <f t="shared" si="141"/>
        <v>-61.77486167995551</v>
      </c>
      <c r="K195" s="173">
        <f t="shared" si="141"/>
        <v>-30.887430839977753</v>
      </c>
      <c r="L195" s="173">
        <f t="shared" si="141"/>
        <v>-21.085558800000005</v>
      </c>
      <c r="M195" s="173">
        <f aca="true" t="shared" si="142" ref="M195">$M72-M72</f>
        <v>0</v>
      </c>
    </row>
    <row r="197" spans="5:6" ht="15">
      <c r="E197" s="163" t="s">
        <v>262</v>
      </c>
      <c r="F197" s="163" t="s">
        <v>280</v>
      </c>
    </row>
    <row r="198" spans="1:13" ht="15">
      <c r="A198" s="711" t="str">
        <f>A146</f>
        <v>OTHER ROADS</v>
      </c>
      <c r="B198" s="590"/>
      <c r="C198" s="590"/>
      <c r="D198" s="169">
        <v>1</v>
      </c>
      <c r="E198" s="169">
        <v>0.5</v>
      </c>
      <c r="F198" s="169">
        <v>0.2</v>
      </c>
      <c r="G198" s="169">
        <v>0.1</v>
      </c>
      <c r="H198" s="169">
        <v>0.04</v>
      </c>
      <c r="I198" s="169">
        <v>0.02</v>
      </c>
      <c r="J198" s="407">
        <v>0.0133</v>
      </c>
      <c r="K198" s="169">
        <v>0.01</v>
      </c>
      <c r="L198" s="170">
        <v>0.005</v>
      </c>
      <c r="M198" s="170">
        <v>0.001</v>
      </c>
    </row>
    <row r="199" spans="3:14" ht="15">
      <c r="C199" s="169">
        <v>1</v>
      </c>
      <c r="D199" s="173">
        <f>IF($D73-D73&lt;0,0,$D73-D73)</f>
        <v>0</v>
      </c>
      <c r="E199" s="173">
        <f aca="true" t="shared" si="143" ref="E199:M199">IF($D73-E73&lt;0,0,$D73-E73)</f>
        <v>0</v>
      </c>
      <c r="F199" s="173">
        <f t="shared" si="143"/>
        <v>0</v>
      </c>
      <c r="G199" s="173">
        <f t="shared" si="143"/>
        <v>0</v>
      </c>
      <c r="H199" s="173">
        <f t="shared" si="143"/>
        <v>0</v>
      </c>
      <c r="I199" s="173">
        <f t="shared" si="143"/>
        <v>0</v>
      </c>
      <c r="J199" s="173">
        <f t="shared" si="143"/>
        <v>0</v>
      </c>
      <c r="K199" s="173">
        <f t="shared" si="143"/>
        <v>0</v>
      </c>
      <c r="L199" s="173">
        <f t="shared" si="143"/>
        <v>0</v>
      </c>
      <c r="M199" s="173">
        <f t="shared" si="143"/>
        <v>0</v>
      </c>
      <c r="N199" s="163" t="s">
        <v>366</v>
      </c>
    </row>
    <row r="200" spans="2:13" ht="15" customHeight="1">
      <c r="B200" s="163" t="s">
        <v>261</v>
      </c>
      <c r="C200" s="169">
        <v>0.5</v>
      </c>
      <c r="D200" s="173">
        <f>IF($E73-D73&gt;0,0,$E73-D73)</f>
        <v>0</v>
      </c>
      <c r="E200" s="173">
        <f>$E73-E73</f>
        <v>0</v>
      </c>
      <c r="F200" s="173">
        <f>IF($E73-F73&lt;0,0,$E73-F73)</f>
        <v>0</v>
      </c>
      <c r="G200" s="173">
        <f aca="true" t="shared" si="144" ref="G200:I200">IF($E73-G73&lt;0,0,$E73-G73)</f>
        <v>0</v>
      </c>
      <c r="H200" s="173">
        <f t="shared" si="144"/>
        <v>0</v>
      </c>
      <c r="I200" s="173">
        <f t="shared" si="144"/>
        <v>0</v>
      </c>
      <c r="J200" s="173">
        <f aca="true" t="shared" si="145" ref="J200:M200">IF($E73-J73&lt;0,0,$E73-J73)</f>
        <v>0</v>
      </c>
      <c r="K200" s="173">
        <f t="shared" si="145"/>
        <v>0</v>
      </c>
      <c r="L200" s="173">
        <f t="shared" si="145"/>
        <v>0</v>
      </c>
      <c r="M200" s="173">
        <f t="shared" si="145"/>
        <v>0</v>
      </c>
    </row>
    <row r="201" spans="2:13" ht="15">
      <c r="B201" s="700" t="s">
        <v>281</v>
      </c>
      <c r="C201" s="169">
        <v>0.2</v>
      </c>
      <c r="D201" s="173">
        <f>IF($F73-D73&gt;0,0,$F73-D73)</f>
        <v>0</v>
      </c>
      <c r="E201" s="173">
        <f>IF($F73-E73&gt;0,0,$F73-E73)</f>
        <v>0</v>
      </c>
      <c r="F201" s="173">
        <f aca="true" t="shared" si="146" ref="F201">$F73-F73</f>
        <v>0</v>
      </c>
      <c r="G201" s="173">
        <f>IF($F73-G73&lt;0,0,$F73-G73)</f>
        <v>176.73004365659196</v>
      </c>
      <c r="H201" s="173">
        <f aca="true" t="shared" si="147" ref="H201:M201">IF($F73-H73&lt;0,0,$F73-H73)</f>
        <v>273.3900870906732</v>
      </c>
      <c r="I201" s="173">
        <f t="shared" si="147"/>
        <v>322.5841735583164</v>
      </c>
      <c r="J201" s="173">
        <f t="shared" si="147"/>
        <v>340.7871376376786</v>
      </c>
      <c r="K201" s="173">
        <f t="shared" si="147"/>
        <v>349.88861967735966</v>
      </c>
      <c r="L201" s="173">
        <f t="shared" si="147"/>
        <v>352.7769001170407</v>
      </c>
      <c r="M201" s="173">
        <f t="shared" si="147"/>
        <v>358.9901017170407</v>
      </c>
    </row>
    <row r="202" spans="2:13" ht="15">
      <c r="B202" s="701"/>
      <c r="C202" s="169">
        <v>0.1</v>
      </c>
      <c r="D202" s="173">
        <f>IF($G73-D73&gt;0,0,$G73-D73)</f>
        <v>0</v>
      </c>
      <c r="E202" s="173">
        <f aca="true" t="shared" si="148" ref="E202:F202">IF($G73-E73&gt;0,0,$G73-E73)</f>
        <v>0</v>
      </c>
      <c r="F202" s="173">
        <f t="shared" si="148"/>
        <v>-176.73004365659196</v>
      </c>
      <c r="G202" s="173">
        <f aca="true" t="shared" si="149" ref="G202">$G73-G73</f>
        <v>0</v>
      </c>
      <c r="H202" s="173">
        <f>IF($G73-H73&lt;0,0,$G73-H73)</f>
        <v>96.66004343408123</v>
      </c>
      <c r="I202" s="173">
        <f aca="true" t="shared" si="150" ref="I202:M202">IF($G73-I73&lt;0,0,$G73-I73)</f>
        <v>145.8541299017245</v>
      </c>
      <c r="J202" s="173">
        <f t="shared" si="150"/>
        <v>164.0570939810866</v>
      </c>
      <c r="K202" s="173">
        <f t="shared" si="150"/>
        <v>173.1585760207677</v>
      </c>
      <c r="L202" s="173">
        <f t="shared" si="150"/>
        <v>176.04685646044877</v>
      </c>
      <c r="M202" s="173">
        <f t="shared" si="150"/>
        <v>182.26005806044876</v>
      </c>
    </row>
    <row r="203" spans="2:13" ht="15">
      <c r="B203" s="701"/>
      <c r="C203" s="169">
        <v>0.04</v>
      </c>
      <c r="D203" s="173">
        <f>IF($H73-D73&gt;0,0,$H73-D73)</f>
        <v>0</v>
      </c>
      <c r="E203" s="173">
        <f aca="true" t="shared" si="151" ref="E203:G203">IF($H73-E73&gt;0,0,$H73-E73)</f>
        <v>0</v>
      </c>
      <c r="F203" s="173">
        <f t="shared" si="151"/>
        <v>-273.3900870906732</v>
      </c>
      <c r="G203" s="173">
        <f t="shared" si="151"/>
        <v>-96.66004343408123</v>
      </c>
      <c r="H203" s="173">
        <f aca="true" t="shared" si="152" ref="H203">$H73-H73</f>
        <v>0</v>
      </c>
      <c r="I203" s="173">
        <f>IF($H73-I73&lt;0,0,$H73-I73)</f>
        <v>49.194086467643245</v>
      </c>
      <c r="J203" s="173">
        <f aca="true" t="shared" si="153" ref="J203:M203">IF($H73-J73&lt;0,0,$H73-J73)</f>
        <v>67.39705054700539</v>
      </c>
      <c r="K203" s="173">
        <f t="shared" si="153"/>
        <v>76.49853258668645</v>
      </c>
      <c r="L203" s="173">
        <f t="shared" si="153"/>
        <v>79.38681302636752</v>
      </c>
      <c r="M203" s="173">
        <f t="shared" si="153"/>
        <v>85.60001462636752</v>
      </c>
    </row>
    <row r="204" spans="2:13" ht="15">
      <c r="B204" s="701"/>
      <c r="C204" s="169">
        <v>0.02</v>
      </c>
      <c r="D204" s="173">
        <f>IF($I73-D73&gt;0,0,$I73-D73)</f>
        <v>0</v>
      </c>
      <c r="E204" s="173">
        <f aca="true" t="shared" si="154" ref="E204:H204">IF($I73-E73&gt;0,0,$I73-E73)</f>
        <v>0</v>
      </c>
      <c r="F204" s="173">
        <f t="shared" si="154"/>
        <v>-322.5841735583164</v>
      </c>
      <c r="G204" s="173">
        <f t="shared" si="154"/>
        <v>-145.8541299017245</v>
      </c>
      <c r="H204" s="173">
        <f t="shared" si="154"/>
        <v>-49.194086467643245</v>
      </c>
      <c r="I204" s="173">
        <f aca="true" t="shared" si="155" ref="I204">$I73-I73</f>
        <v>0</v>
      </c>
      <c r="J204" s="173">
        <f>IF($I73-J73&lt;0,0,$I73-J73)</f>
        <v>18.20296407936214</v>
      </c>
      <c r="K204" s="173">
        <f aca="true" t="shared" si="156" ref="K204:M204">IF($I73-K73&lt;0,0,$I73-K73)</f>
        <v>27.30444611904321</v>
      </c>
      <c r="L204" s="173">
        <f t="shared" si="156"/>
        <v>30.192726558724278</v>
      </c>
      <c r="M204" s="173">
        <f t="shared" si="156"/>
        <v>36.40592815872428</v>
      </c>
    </row>
    <row r="205" spans="2:13" ht="15">
      <c r="B205" s="701"/>
      <c r="C205" s="407">
        <v>0.0133</v>
      </c>
      <c r="D205" s="173">
        <f>IF($J73-D73&gt;0,0,$J73-D73)</f>
        <v>0</v>
      </c>
      <c r="E205" s="173">
        <f aca="true" t="shared" si="157" ref="E205:I205">IF($J73-E73&gt;0,0,$J73-E73)</f>
        <v>0</v>
      </c>
      <c r="F205" s="173">
        <f t="shared" si="157"/>
        <v>-340.7871376376786</v>
      </c>
      <c r="G205" s="173">
        <f t="shared" si="157"/>
        <v>-164.0570939810866</v>
      </c>
      <c r="H205" s="173">
        <f t="shared" si="157"/>
        <v>-67.39705054700539</v>
      </c>
      <c r="I205" s="173">
        <f t="shared" si="157"/>
        <v>-18.20296407936214</v>
      </c>
      <c r="J205" s="173">
        <f aca="true" t="shared" si="158" ref="J205">$J73-J73</f>
        <v>0</v>
      </c>
      <c r="K205" s="173">
        <f>IF($J73-K73&lt;0,0,$J73-K73)</f>
        <v>9.10148203968107</v>
      </c>
      <c r="L205" s="173">
        <f aca="true" t="shared" si="159" ref="L205:M205">IF($J73-L73&lt;0,0,$J73-L73)</f>
        <v>11.989762479362138</v>
      </c>
      <c r="M205" s="173">
        <f t="shared" si="159"/>
        <v>18.20296407936214</v>
      </c>
    </row>
    <row r="206" spans="2:13" ht="15">
      <c r="B206" s="701"/>
      <c r="C206" s="169">
        <v>0.01</v>
      </c>
      <c r="D206" s="173">
        <f>IF($K73-D73&gt;0,0,$K73-D73)</f>
        <v>0</v>
      </c>
      <c r="E206" s="173">
        <f aca="true" t="shared" si="160" ref="E206:J206">IF($K73-E73&gt;0,0,$K73-E73)</f>
        <v>0</v>
      </c>
      <c r="F206" s="173">
        <f t="shared" si="160"/>
        <v>-349.88861967735966</v>
      </c>
      <c r="G206" s="173">
        <f t="shared" si="160"/>
        <v>-173.1585760207677</v>
      </c>
      <c r="H206" s="173">
        <f t="shared" si="160"/>
        <v>-76.49853258668645</v>
      </c>
      <c r="I206" s="173">
        <f t="shared" si="160"/>
        <v>-27.30444611904321</v>
      </c>
      <c r="J206" s="173">
        <f t="shared" si="160"/>
        <v>-9.10148203968107</v>
      </c>
      <c r="K206" s="173">
        <f aca="true" t="shared" si="161" ref="K206">$K73-K73</f>
        <v>0</v>
      </c>
      <c r="L206" s="173">
        <f>IF($K73-L73&lt;0,0,$K73-L73)</f>
        <v>2.8882804396810684</v>
      </c>
      <c r="M206" s="173">
        <f>IF($K73-M73&lt;0,0,$K73-M73)</f>
        <v>9.10148203968107</v>
      </c>
    </row>
    <row r="207" spans="2:13" ht="15">
      <c r="B207" s="701"/>
      <c r="C207" s="170">
        <v>0.005</v>
      </c>
      <c r="D207" s="173">
        <f>IF($L73-D73&gt;0,0,$L73-D73)</f>
        <v>0</v>
      </c>
      <c r="E207" s="173">
        <f aca="true" t="shared" si="162" ref="E207:K207">IF($L73-E73&gt;0,0,$L73-E73)</f>
        <v>0</v>
      </c>
      <c r="F207" s="173">
        <f t="shared" si="162"/>
        <v>-352.7769001170407</v>
      </c>
      <c r="G207" s="173">
        <f t="shared" si="162"/>
        <v>-176.04685646044877</v>
      </c>
      <c r="H207" s="173">
        <f t="shared" si="162"/>
        <v>-79.38681302636752</v>
      </c>
      <c r="I207" s="173">
        <f t="shared" si="162"/>
        <v>-30.192726558724278</v>
      </c>
      <c r="J207" s="173">
        <f t="shared" si="162"/>
        <v>-11.989762479362138</v>
      </c>
      <c r="K207" s="173">
        <f t="shared" si="162"/>
        <v>-2.8882804396810684</v>
      </c>
      <c r="L207" s="173">
        <f aca="true" t="shared" si="163" ref="L207">$L73-L73</f>
        <v>0</v>
      </c>
      <c r="M207" s="173">
        <f>IF($L73-M73&lt;0,0,$L73-M73)</f>
        <v>6.213201600000001</v>
      </c>
    </row>
    <row r="208" spans="2:13" ht="15">
      <c r="B208" s="701"/>
      <c r="C208" s="170">
        <v>0.001</v>
      </c>
      <c r="D208" s="173">
        <f>IF($M73-D73&gt;0,0,$M73-D73)</f>
        <v>0</v>
      </c>
      <c r="E208" s="173">
        <f aca="true" t="shared" si="164" ref="E208:L208">IF($M73-E73&gt;0,0,$M73-E73)</f>
        <v>0</v>
      </c>
      <c r="F208" s="173">
        <f t="shared" si="164"/>
        <v>-358.9901017170407</v>
      </c>
      <c r="G208" s="173">
        <f t="shared" si="164"/>
        <v>-182.26005806044876</v>
      </c>
      <c r="H208" s="173">
        <f t="shared" si="164"/>
        <v>-85.60001462636752</v>
      </c>
      <c r="I208" s="173">
        <f t="shared" si="164"/>
        <v>-36.40592815872428</v>
      </c>
      <c r="J208" s="173">
        <f t="shared" si="164"/>
        <v>-18.20296407936214</v>
      </c>
      <c r="K208" s="173">
        <f t="shared" si="164"/>
        <v>-9.10148203968107</v>
      </c>
      <c r="L208" s="173">
        <f t="shared" si="164"/>
        <v>-6.213201600000001</v>
      </c>
      <c r="M208" s="173">
        <f aca="true" t="shared" si="165" ref="M208">$M73-M73</f>
        <v>0</v>
      </c>
    </row>
    <row r="209" spans="2:13" ht="15">
      <c r="B209" s="303"/>
      <c r="C209" s="170"/>
      <c r="D209" s="172"/>
      <c r="E209" s="172"/>
      <c r="F209" s="172"/>
      <c r="G209" s="172"/>
      <c r="H209" s="172"/>
      <c r="I209" s="172"/>
      <c r="J209" s="172"/>
      <c r="K209" s="172"/>
      <c r="L209" s="172"/>
      <c r="M209" s="172"/>
    </row>
    <row r="211" spans="5:6" ht="15">
      <c r="E211" s="163" t="s">
        <v>262</v>
      </c>
      <c r="F211" s="163" t="s">
        <v>280</v>
      </c>
    </row>
    <row r="212" spans="1:13" ht="15">
      <c r="A212" s="711" t="s">
        <v>369</v>
      </c>
      <c r="B212" s="590"/>
      <c r="C212" s="590"/>
      <c r="D212" s="169">
        <v>1</v>
      </c>
      <c r="E212" s="169">
        <v>0.5</v>
      </c>
      <c r="F212" s="169">
        <v>0.2</v>
      </c>
      <c r="G212" s="169">
        <v>0.1</v>
      </c>
      <c r="H212" s="169">
        <v>0.04</v>
      </c>
      <c r="I212" s="169">
        <v>0.02</v>
      </c>
      <c r="J212" s="407">
        <v>0.0133</v>
      </c>
      <c r="K212" s="169">
        <v>0.01</v>
      </c>
      <c r="L212" s="170">
        <v>0.005</v>
      </c>
      <c r="M212" s="170">
        <v>0.001</v>
      </c>
    </row>
    <row r="213" spans="3:13" ht="15">
      <c r="C213" s="169">
        <v>1</v>
      </c>
      <c r="D213" s="173">
        <f>D173*D82+D95*D186+D108*D199</f>
        <v>0</v>
      </c>
      <c r="E213" s="173">
        <f aca="true" t="shared" si="166" ref="E213:M213">E173*E82+E95*E186+E108*E199</f>
        <v>0</v>
      </c>
      <c r="F213" s="173">
        <f t="shared" si="166"/>
        <v>0</v>
      </c>
      <c r="G213" s="173">
        <f t="shared" si="166"/>
        <v>0</v>
      </c>
      <c r="H213" s="173">
        <f t="shared" si="166"/>
        <v>0</v>
      </c>
      <c r="I213" s="173">
        <f t="shared" si="166"/>
        <v>0</v>
      </c>
      <c r="J213" s="173">
        <f t="shared" si="166"/>
        <v>0</v>
      </c>
      <c r="K213" s="173">
        <f t="shared" si="166"/>
        <v>0</v>
      </c>
      <c r="L213" s="173">
        <f t="shared" si="166"/>
        <v>0</v>
      </c>
      <c r="M213" s="173">
        <f t="shared" si="166"/>
        <v>0</v>
      </c>
    </row>
    <row r="214" spans="2:13" ht="15">
      <c r="B214" s="163" t="s">
        <v>261</v>
      </c>
      <c r="C214" s="169">
        <v>0.5</v>
      </c>
      <c r="D214" s="173">
        <f aca="true" t="shared" si="167" ref="D214:M214">D173*D83+D96*D174+D109*D200</f>
        <v>0</v>
      </c>
      <c r="E214" s="173">
        <f t="shared" si="167"/>
        <v>0</v>
      </c>
      <c r="F214" s="173">
        <f t="shared" si="167"/>
        <v>0</v>
      </c>
      <c r="G214" s="173">
        <f t="shared" si="167"/>
        <v>0</v>
      </c>
      <c r="H214" s="173">
        <f t="shared" si="167"/>
        <v>0</v>
      </c>
      <c r="I214" s="173">
        <f t="shared" si="167"/>
        <v>0</v>
      </c>
      <c r="J214" s="173">
        <f t="shared" si="167"/>
        <v>0</v>
      </c>
      <c r="K214" s="173">
        <f t="shared" si="167"/>
        <v>0</v>
      </c>
      <c r="L214" s="173">
        <f t="shared" si="167"/>
        <v>0</v>
      </c>
      <c r="M214" s="173">
        <f t="shared" si="167"/>
        <v>0</v>
      </c>
    </row>
    <row r="215" spans="2:13" ht="15">
      <c r="B215" s="700" t="s">
        <v>281</v>
      </c>
      <c r="C215" s="169">
        <v>0.2</v>
      </c>
      <c r="D215" s="173">
        <f aca="true" t="shared" si="168" ref="D215:M215">D175*D84+D97*D188+D110*D201</f>
        <v>0</v>
      </c>
      <c r="E215" s="173">
        <f t="shared" si="168"/>
        <v>0</v>
      </c>
      <c r="F215" s="173">
        <f t="shared" si="168"/>
        <v>0</v>
      </c>
      <c r="G215" s="173">
        <f t="shared" si="168"/>
        <v>0</v>
      </c>
      <c r="H215" s="173">
        <f t="shared" si="168"/>
        <v>0</v>
      </c>
      <c r="I215" s="173">
        <f t="shared" si="168"/>
        <v>0</v>
      </c>
      <c r="J215" s="173">
        <f t="shared" si="168"/>
        <v>0</v>
      </c>
      <c r="K215" s="173">
        <f t="shared" si="168"/>
        <v>0</v>
      </c>
      <c r="L215" s="173">
        <f t="shared" si="168"/>
        <v>0</v>
      </c>
      <c r="M215" s="173">
        <f t="shared" si="168"/>
        <v>0</v>
      </c>
    </row>
    <row r="216" spans="2:13" ht="15">
      <c r="B216" s="701"/>
      <c r="C216" s="169">
        <v>0.1</v>
      </c>
      <c r="D216" s="173">
        <f aca="true" t="shared" si="169" ref="D216:M216">D176*D85+D98*D189+D111*D202</f>
        <v>0</v>
      </c>
      <c r="E216" s="173">
        <f t="shared" si="169"/>
        <v>0</v>
      </c>
      <c r="F216" s="173">
        <f t="shared" si="169"/>
        <v>0</v>
      </c>
      <c r="G216" s="173">
        <f t="shared" si="169"/>
        <v>0</v>
      </c>
      <c r="H216" s="173">
        <f t="shared" si="169"/>
        <v>0</v>
      </c>
      <c r="I216" s="173">
        <f t="shared" si="169"/>
        <v>0</v>
      </c>
      <c r="J216" s="173">
        <f t="shared" si="169"/>
        <v>0</v>
      </c>
      <c r="K216" s="173">
        <f t="shared" si="169"/>
        <v>0</v>
      </c>
      <c r="L216" s="173">
        <f t="shared" si="169"/>
        <v>0</v>
      </c>
      <c r="M216" s="173">
        <f t="shared" si="169"/>
        <v>0</v>
      </c>
    </row>
    <row r="217" spans="2:13" ht="15">
      <c r="B217" s="701"/>
      <c r="C217" s="169">
        <v>0.04</v>
      </c>
      <c r="D217" s="173">
        <f aca="true" t="shared" si="170" ref="D217:M217">D177*D86+D99*D190+D112*D203</f>
        <v>0</v>
      </c>
      <c r="E217" s="173">
        <f t="shared" si="170"/>
        <v>0</v>
      </c>
      <c r="F217" s="173">
        <f t="shared" si="170"/>
        <v>0</v>
      </c>
      <c r="G217" s="173">
        <f t="shared" si="170"/>
        <v>0</v>
      </c>
      <c r="H217" s="173">
        <f t="shared" si="170"/>
        <v>0</v>
      </c>
      <c r="I217" s="173">
        <f t="shared" si="170"/>
        <v>0</v>
      </c>
      <c r="J217" s="173">
        <f t="shared" si="170"/>
        <v>0</v>
      </c>
      <c r="K217" s="173">
        <f t="shared" si="170"/>
        <v>0</v>
      </c>
      <c r="L217" s="173">
        <f t="shared" si="170"/>
        <v>0</v>
      </c>
      <c r="M217" s="173">
        <f t="shared" si="170"/>
        <v>0</v>
      </c>
    </row>
    <row r="218" spans="2:13" ht="15">
      <c r="B218" s="701"/>
      <c r="C218" s="169">
        <v>0.02</v>
      </c>
      <c r="D218" s="173">
        <f aca="true" t="shared" si="171" ref="D218:M218">D178*D87+D100*D191+D113*D204</f>
        <v>0</v>
      </c>
      <c r="E218" s="173">
        <f t="shared" si="171"/>
        <v>0</v>
      </c>
      <c r="F218" s="173">
        <f t="shared" si="171"/>
        <v>0</v>
      </c>
      <c r="G218" s="173">
        <f t="shared" si="171"/>
        <v>0</v>
      </c>
      <c r="H218" s="173">
        <f t="shared" si="171"/>
        <v>0</v>
      </c>
      <c r="I218" s="173">
        <f t="shared" si="171"/>
        <v>0</v>
      </c>
      <c r="J218" s="173">
        <f t="shared" si="171"/>
        <v>0</v>
      </c>
      <c r="K218" s="173">
        <f t="shared" si="171"/>
        <v>0</v>
      </c>
      <c r="L218" s="173">
        <f t="shared" si="171"/>
        <v>0</v>
      </c>
      <c r="M218" s="173">
        <f t="shared" si="171"/>
        <v>0</v>
      </c>
    </row>
    <row r="219" spans="2:13" ht="15">
      <c r="B219" s="701"/>
      <c r="C219" s="407">
        <v>0.0133</v>
      </c>
      <c r="D219" s="173">
        <f aca="true" t="shared" si="172" ref="D219:M219">D179*D88+D101*D192+D114*D205</f>
        <v>0</v>
      </c>
      <c r="E219" s="173">
        <f t="shared" si="172"/>
        <v>0</v>
      </c>
      <c r="F219" s="173">
        <f t="shared" si="172"/>
        <v>0</v>
      </c>
      <c r="G219" s="173">
        <f t="shared" si="172"/>
        <v>0</v>
      </c>
      <c r="H219" s="173">
        <f t="shared" si="172"/>
        <v>0</v>
      </c>
      <c r="I219" s="173">
        <f t="shared" si="172"/>
        <v>0</v>
      </c>
      <c r="J219" s="173">
        <f t="shared" si="172"/>
        <v>0</v>
      </c>
      <c r="K219" s="173">
        <f t="shared" si="172"/>
        <v>0</v>
      </c>
      <c r="L219" s="173">
        <f t="shared" si="172"/>
        <v>0</v>
      </c>
      <c r="M219" s="173">
        <f t="shared" si="172"/>
        <v>0</v>
      </c>
    </row>
    <row r="220" spans="2:13" ht="15">
      <c r="B220" s="701"/>
      <c r="C220" s="169">
        <v>0.01</v>
      </c>
      <c r="D220" s="173">
        <f aca="true" t="shared" si="173" ref="D220:M220">D180*D89+D102*D193+D115*D206</f>
        <v>0</v>
      </c>
      <c r="E220" s="173">
        <f t="shared" si="173"/>
        <v>0</v>
      </c>
      <c r="F220" s="173">
        <f t="shared" si="173"/>
        <v>0</v>
      </c>
      <c r="G220" s="173">
        <f t="shared" si="173"/>
        <v>0</v>
      </c>
      <c r="H220" s="173">
        <f t="shared" si="173"/>
        <v>0</v>
      </c>
      <c r="I220" s="173">
        <f t="shared" si="173"/>
        <v>0</v>
      </c>
      <c r="J220" s="173">
        <f t="shared" si="173"/>
        <v>0</v>
      </c>
      <c r="K220" s="173">
        <f t="shared" si="173"/>
        <v>0</v>
      </c>
      <c r="L220" s="173">
        <f t="shared" si="173"/>
        <v>0</v>
      </c>
      <c r="M220" s="173">
        <f t="shared" si="173"/>
        <v>0</v>
      </c>
    </row>
    <row r="221" spans="2:13" ht="15">
      <c r="B221" s="701"/>
      <c r="C221" s="170">
        <v>0.005</v>
      </c>
      <c r="D221" s="173">
        <f aca="true" t="shared" si="174" ref="D221:M221">D181*D90+D103*D194+D116*D207</f>
        <v>0</v>
      </c>
      <c r="E221" s="173">
        <f t="shared" si="174"/>
        <v>0</v>
      </c>
      <c r="F221" s="173">
        <f t="shared" si="174"/>
        <v>0</v>
      </c>
      <c r="G221" s="173">
        <f t="shared" si="174"/>
        <v>0</v>
      </c>
      <c r="H221" s="173">
        <f t="shared" si="174"/>
        <v>0</v>
      </c>
      <c r="I221" s="173">
        <f t="shared" si="174"/>
        <v>0</v>
      </c>
      <c r="J221" s="173">
        <f t="shared" si="174"/>
        <v>0</v>
      </c>
      <c r="K221" s="173">
        <f t="shared" si="174"/>
        <v>0</v>
      </c>
      <c r="L221" s="173">
        <f t="shared" si="174"/>
        <v>0</v>
      </c>
      <c r="M221" s="173">
        <f t="shared" si="174"/>
        <v>0</v>
      </c>
    </row>
    <row r="222" spans="2:13" ht="15">
      <c r="B222" s="701"/>
      <c r="C222" s="170">
        <v>0.001</v>
      </c>
      <c r="D222" s="173">
        <f aca="true" t="shared" si="175" ref="D222:M222">D170*D91+D104*D195+D117*D208</f>
        <v>0</v>
      </c>
      <c r="E222" s="173">
        <f t="shared" si="175"/>
        <v>0</v>
      </c>
      <c r="F222" s="173">
        <f t="shared" si="175"/>
        <v>0</v>
      </c>
      <c r="G222" s="173">
        <f t="shared" si="175"/>
        <v>0</v>
      </c>
      <c r="H222" s="173">
        <f t="shared" si="175"/>
        <v>0</v>
      </c>
      <c r="I222" s="173">
        <f t="shared" si="175"/>
        <v>0</v>
      </c>
      <c r="J222" s="173">
        <f t="shared" si="175"/>
        <v>0</v>
      </c>
      <c r="K222" s="173">
        <f t="shared" si="175"/>
        <v>0</v>
      </c>
      <c r="L222" s="173">
        <f t="shared" si="175"/>
        <v>0</v>
      </c>
      <c r="M222" s="173">
        <f t="shared" si="175"/>
        <v>0</v>
      </c>
    </row>
    <row r="223" spans="2:13" ht="15.75" thickBot="1">
      <c r="B223" s="303"/>
      <c r="C223" s="170"/>
      <c r="D223" s="172"/>
      <c r="E223" s="172"/>
      <c r="F223" s="172"/>
      <c r="G223" s="172"/>
      <c r="H223" s="172"/>
      <c r="I223" s="172"/>
      <c r="J223" s="172"/>
      <c r="K223" s="172"/>
      <c r="L223" s="172"/>
      <c r="M223" s="172"/>
    </row>
    <row r="224" spans="4:15" ht="16.5" thickBot="1" thickTop="1">
      <c r="D224" s="195" t="str">
        <f>IF(SUM(D160:M169)=0,"Enter delay","Total annual direct impacts")</f>
        <v>Enter delay</v>
      </c>
      <c r="E224" s="201"/>
      <c r="F224" s="196"/>
      <c r="G224" s="196"/>
      <c r="H224" s="186">
        <f>SUM(D160:M169)</f>
        <v>0</v>
      </c>
      <c r="I224" s="366" t="s">
        <v>804</v>
      </c>
      <c r="J224" s="406"/>
      <c r="K224" s="593" t="s">
        <v>811</v>
      </c>
      <c r="L224" s="593"/>
      <c r="M224" s="594"/>
      <c r="N224" s="594"/>
      <c r="O224" s="595"/>
    </row>
    <row r="225" spans="4:15" ht="16.5" thickBot="1" thickTop="1">
      <c r="D225" s="195" t="str">
        <f>IF(SUM(D161:M170)=0,"Enter delay","Total annual indirect impacts")</f>
        <v>Enter delay</v>
      </c>
      <c r="E225" s="201"/>
      <c r="F225" s="196"/>
      <c r="G225" s="196"/>
      <c r="H225" s="186">
        <f>SUM(D213:M222)</f>
        <v>0</v>
      </c>
      <c r="I225" s="366" t="s">
        <v>804</v>
      </c>
      <c r="J225" s="406"/>
      <c r="K225" s="593" t="s">
        <v>811</v>
      </c>
      <c r="L225" s="593"/>
      <c r="M225" s="594"/>
      <c r="N225" s="594"/>
      <c r="O225" s="595"/>
    </row>
    <row r="226" ht="15.75" thickTop="1"/>
  </sheetData>
  <sheetProtection sheet="1" objects="1" scenarios="1"/>
  <mergeCells count="32">
    <mergeCell ref="P1:T1"/>
    <mergeCell ref="A185:C185"/>
    <mergeCell ref="B188:B195"/>
    <mergeCell ref="B162:B169"/>
    <mergeCell ref="K224:O224"/>
    <mergeCell ref="A107:C107"/>
    <mergeCell ref="A172:C172"/>
    <mergeCell ref="B175:B182"/>
    <mergeCell ref="I1:K1"/>
    <mergeCell ref="D4:H4"/>
    <mergeCell ref="A159:C159"/>
    <mergeCell ref="D10:E10"/>
    <mergeCell ref="D15:H15"/>
    <mergeCell ref="O48:Y48"/>
    <mergeCell ref="A56:C56"/>
    <mergeCell ref="B136:B143"/>
    <mergeCell ref="K225:O225"/>
    <mergeCell ref="A212:C212"/>
    <mergeCell ref="B215:B222"/>
    <mergeCell ref="A198:C198"/>
    <mergeCell ref="B201:B208"/>
    <mergeCell ref="A146:C146"/>
    <mergeCell ref="B149:B156"/>
    <mergeCell ref="B109:B110"/>
    <mergeCell ref="A120:C120"/>
    <mergeCell ref="B123:B130"/>
    <mergeCell ref="A133:C133"/>
    <mergeCell ref="B83:B84"/>
    <mergeCell ref="B96:B97"/>
    <mergeCell ref="A77:C77"/>
    <mergeCell ref="A78:C78"/>
    <mergeCell ref="P106:T106"/>
  </mergeCells>
  <dataValidations count="2">
    <dataValidation type="list" allowBlank="1" showInputMessage="1" showErrorMessage="1" sqref="D48:M48">
      <formula1>"Permanent loss, One-off loss"</formula1>
    </dataValidation>
    <dataValidation type="list" allowBlank="1" showInputMessage="1" showErrorMessage="1" sqref="K224:O225">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99"/>
  <headerFooter>
    <oddHeader>&amp;C&amp;A</oddHead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76"/>
  <sheetViews>
    <sheetView workbookViewId="0" topLeftCell="A1"/>
  </sheetViews>
  <sheetFormatPr defaultColWidth="9.140625" defaultRowHeight="15"/>
  <cols>
    <col min="1" max="1" width="9.140625" style="163" customWidth="1"/>
    <col min="2" max="2" width="10.7109375" style="163" customWidth="1"/>
    <col min="3" max="3" width="9.140625" style="163" customWidth="1"/>
    <col min="4" max="4" width="11.140625" style="163" customWidth="1"/>
    <col min="5" max="5" width="13.421875" style="163" customWidth="1"/>
    <col min="6" max="6" width="12.57421875" style="163" customWidth="1"/>
    <col min="7" max="7" width="12.140625" style="163" customWidth="1"/>
    <col min="8" max="8" width="11.8515625" style="163" customWidth="1"/>
    <col min="9" max="13" width="10.421875" style="163" customWidth="1"/>
    <col min="14" max="16384" width="9.140625" style="163" customWidth="1"/>
  </cols>
  <sheetData>
    <row r="1" spans="1:20" ht="15">
      <c r="A1" s="164" t="s">
        <v>270</v>
      </c>
      <c r="B1" s="165"/>
      <c r="C1" s="165"/>
      <c r="D1" s="162"/>
      <c r="E1" s="165"/>
      <c r="F1" s="166" t="s">
        <v>260</v>
      </c>
      <c r="I1" s="704" t="s">
        <v>655</v>
      </c>
      <c r="J1" s="704"/>
      <c r="K1" s="705"/>
      <c r="L1" s="403"/>
      <c r="M1" s="176" t="s">
        <v>992</v>
      </c>
      <c r="N1" s="176">
        <v>7</v>
      </c>
      <c r="O1" s="176" t="s">
        <v>991</v>
      </c>
      <c r="P1" s="707"/>
      <c r="Q1" s="590"/>
      <c r="R1" s="590"/>
      <c r="S1" s="590"/>
      <c r="T1" s="590"/>
    </row>
    <row r="3" spans="3:6" ht="15">
      <c r="C3" s="298"/>
      <c r="E3" s="163" t="s">
        <v>262</v>
      </c>
      <c r="F3" s="163" t="str">
        <f>"Length (km) of "&amp;C4&amp;" whose risk changes due to changes in water levels"</f>
        <v>Length (km) of MAINLINE whose risk changes due to changes in water levels</v>
      </c>
    </row>
    <row r="4" spans="3:13" ht="15">
      <c r="C4" s="298" t="s">
        <v>711</v>
      </c>
      <c r="D4" s="169">
        <v>1</v>
      </c>
      <c r="E4" s="169">
        <v>0.5</v>
      </c>
      <c r="F4" s="169">
        <v>0.2</v>
      </c>
      <c r="G4" s="169">
        <v>0.1</v>
      </c>
      <c r="H4" s="169">
        <v>0.04</v>
      </c>
      <c r="I4" s="169">
        <v>0.02</v>
      </c>
      <c r="J4" s="407">
        <v>0.0133</v>
      </c>
      <c r="K4" s="169">
        <v>0.01</v>
      </c>
      <c r="L4" s="170">
        <v>0.005</v>
      </c>
      <c r="M4" s="170">
        <v>0.001</v>
      </c>
    </row>
    <row r="5" spans="3:15" ht="15">
      <c r="C5" s="169">
        <v>1</v>
      </c>
      <c r="D5" s="550"/>
      <c r="E5" s="550"/>
      <c r="F5" s="550"/>
      <c r="G5" s="550"/>
      <c r="H5" s="550"/>
      <c r="I5" s="550"/>
      <c r="J5" s="550"/>
      <c r="K5" s="550"/>
      <c r="L5" s="550"/>
      <c r="M5" s="550"/>
      <c r="O5" s="163" t="s">
        <v>714</v>
      </c>
    </row>
    <row r="6" spans="2:13" ht="15">
      <c r="B6" s="591" t="s">
        <v>294</v>
      </c>
      <c r="C6" s="169">
        <v>0.5</v>
      </c>
      <c r="D6" s="550"/>
      <c r="E6" s="550"/>
      <c r="F6" s="550"/>
      <c r="G6" s="550"/>
      <c r="H6" s="550"/>
      <c r="I6" s="550"/>
      <c r="J6" s="550"/>
      <c r="K6" s="550"/>
      <c r="L6" s="550"/>
      <c r="M6" s="550"/>
    </row>
    <row r="7" spans="2:13" ht="15">
      <c r="B7" s="592"/>
      <c r="C7" s="169">
        <v>0.2</v>
      </c>
      <c r="D7" s="550"/>
      <c r="E7" s="550"/>
      <c r="F7" s="550"/>
      <c r="G7" s="550"/>
      <c r="H7" s="550"/>
      <c r="I7" s="550"/>
      <c r="J7" s="550"/>
      <c r="K7" s="550"/>
      <c r="L7" s="550"/>
      <c r="M7" s="550"/>
    </row>
    <row r="8" spans="3:13" ht="15">
      <c r="C8" s="169">
        <v>0.1</v>
      </c>
      <c r="D8" s="550"/>
      <c r="E8" s="550"/>
      <c r="F8" s="550"/>
      <c r="G8" s="550"/>
      <c r="H8" s="550"/>
      <c r="I8" s="550"/>
      <c r="J8" s="550"/>
      <c r="K8" s="550"/>
      <c r="L8" s="550"/>
      <c r="M8" s="550"/>
    </row>
    <row r="9" spans="3:13" ht="15">
      <c r="C9" s="169">
        <v>0.04</v>
      </c>
      <c r="D9" s="550"/>
      <c r="E9" s="550"/>
      <c r="F9" s="550"/>
      <c r="G9" s="550"/>
      <c r="H9" s="550"/>
      <c r="I9" s="550"/>
      <c r="J9" s="550"/>
      <c r="K9" s="550"/>
      <c r="L9" s="550"/>
      <c r="M9" s="550"/>
    </row>
    <row r="10" spans="3:13" ht="15">
      <c r="C10" s="169">
        <v>0.02</v>
      </c>
      <c r="D10" s="550"/>
      <c r="E10" s="550"/>
      <c r="F10" s="550"/>
      <c r="G10" s="550"/>
      <c r="H10" s="550"/>
      <c r="I10" s="550"/>
      <c r="J10" s="550"/>
      <c r="K10" s="550"/>
      <c r="L10" s="550"/>
      <c r="M10" s="550"/>
    </row>
    <row r="11" spans="3:13" ht="15">
      <c r="C11" s="407">
        <v>0.0133</v>
      </c>
      <c r="D11" s="550"/>
      <c r="E11" s="550"/>
      <c r="F11" s="550"/>
      <c r="G11" s="550"/>
      <c r="H11" s="550"/>
      <c r="I11" s="550"/>
      <c r="J11" s="550"/>
      <c r="K11" s="550"/>
      <c r="L11" s="550"/>
      <c r="M11" s="550"/>
    </row>
    <row r="12" spans="3:13" ht="15">
      <c r="C12" s="169">
        <v>0.01</v>
      </c>
      <c r="D12" s="550"/>
      <c r="E12" s="550"/>
      <c r="F12" s="550"/>
      <c r="G12" s="550"/>
      <c r="H12" s="550"/>
      <c r="I12" s="550"/>
      <c r="J12" s="550"/>
      <c r="K12" s="550"/>
      <c r="L12" s="550"/>
      <c r="M12" s="550"/>
    </row>
    <row r="13" spans="3:13" ht="15">
      <c r="C13" s="170">
        <v>0.005</v>
      </c>
      <c r="D13" s="550"/>
      <c r="E13" s="550"/>
      <c r="F13" s="550"/>
      <c r="G13" s="550"/>
      <c r="H13" s="550"/>
      <c r="I13" s="550"/>
      <c r="J13" s="550"/>
      <c r="K13" s="550"/>
      <c r="L13" s="550"/>
      <c r="M13" s="550"/>
    </row>
    <row r="14" spans="3:13" ht="15">
      <c r="C14" s="170">
        <v>0.001</v>
      </c>
      <c r="D14" s="550"/>
      <c r="E14" s="550"/>
      <c r="F14" s="550"/>
      <c r="G14" s="550"/>
      <c r="H14" s="550"/>
      <c r="I14" s="550"/>
      <c r="J14" s="550"/>
      <c r="K14" s="550"/>
      <c r="L14" s="550"/>
      <c r="M14" s="550"/>
    </row>
    <row r="16" spans="3:6" ht="15">
      <c r="C16" s="298"/>
      <c r="E16" s="163" t="s">
        <v>262</v>
      </c>
      <c r="F16" s="163" t="str">
        <f>"Length (km) of "&amp;C17&amp;" whose risk changes due to changes in water levels"</f>
        <v>Length (km) of BRANCH LINE whose risk changes due to changes in water levels</v>
      </c>
    </row>
    <row r="17" spans="3:13" ht="15">
      <c r="C17" s="298" t="s">
        <v>712</v>
      </c>
      <c r="D17" s="169">
        <v>1</v>
      </c>
      <c r="E17" s="169">
        <v>0.5</v>
      </c>
      <c r="F17" s="169">
        <v>0.2</v>
      </c>
      <c r="G17" s="169">
        <v>0.1</v>
      </c>
      <c r="H17" s="169">
        <v>0.04</v>
      </c>
      <c r="I17" s="169">
        <v>0.02</v>
      </c>
      <c r="J17" s="407">
        <v>0.0133</v>
      </c>
      <c r="K17" s="169">
        <v>0.01</v>
      </c>
      <c r="L17" s="170">
        <v>0.005</v>
      </c>
      <c r="M17" s="170">
        <v>0.001</v>
      </c>
    </row>
    <row r="18" spans="3:15" ht="15">
      <c r="C18" s="169">
        <v>1</v>
      </c>
      <c r="D18" s="550"/>
      <c r="E18" s="550"/>
      <c r="F18" s="550"/>
      <c r="G18" s="550"/>
      <c r="H18" s="550"/>
      <c r="I18" s="550"/>
      <c r="J18" s="550"/>
      <c r="K18" s="550"/>
      <c r="L18" s="550"/>
      <c r="M18" s="550"/>
      <c r="O18" s="163" t="s">
        <v>715</v>
      </c>
    </row>
    <row r="19" spans="2:13" ht="15">
      <c r="B19" s="591" t="s">
        <v>294</v>
      </c>
      <c r="C19" s="169">
        <v>0.5</v>
      </c>
      <c r="D19" s="550"/>
      <c r="E19" s="550"/>
      <c r="F19" s="550"/>
      <c r="G19" s="550"/>
      <c r="H19" s="550"/>
      <c r="I19" s="550"/>
      <c r="J19" s="550"/>
      <c r="K19" s="550"/>
      <c r="L19" s="550"/>
      <c r="M19" s="550"/>
    </row>
    <row r="20" spans="2:13" ht="15">
      <c r="B20" s="592"/>
      <c r="C20" s="169">
        <v>0.2</v>
      </c>
      <c r="D20" s="550"/>
      <c r="E20" s="550"/>
      <c r="F20" s="550"/>
      <c r="G20" s="550"/>
      <c r="H20" s="550"/>
      <c r="I20" s="550"/>
      <c r="J20" s="550"/>
      <c r="K20" s="550"/>
      <c r="L20" s="550"/>
      <c r="M20" s="550"/>
    </row>
    <row r="21" spans="3:13" ht="15">
      <c r="C21" s="169">
        <v>0.1</v>
      </c>
      <c r="D21" s="550"/>
      <c r="E21" s="550"/>
      <c r="F21" s="550"/>
      <c r="G21" s="550"/>
      <c r="H21" s="550"/>
      <c r="I21" s="550"/>
      <c r="J21" s="550"/>
      <c r="K21" s="550"/>
      <c r="L21" s="550"/>
      <c r="M21" s="550"/>
    </row>
    <row r="22" spans="3:13" ht="15">
      <c r="C22" s="169">
        <v>0.04</v>
      </c>
      <c r="D22" s="550"/>
      <c r="E22" s="550"/>
      <c r="F22" s="550"/>
      <c r="G22" s="550"/>
      <c r="H22" s="550"/>
      <c r="I22" s="550"/>
      <c r="J22" s="550"/>
      <c r="K22" s="550"/>
      <c r="L22" s="550"/>
      <c r="M22" s="550"/>
    </row>
    <row r="23" spans="3:13" ht="15">
      <c r="C23" s="169">
        <v>0.02</v>
      </c>
      <c r="D23" s="550"/>
      <c r="E23" s="550"/>
      <c r="F23" s="550"/>
      <c r="G23" s="550"/>
      <c r="H23" s="550"/>
      <c r="I23" s="550"/>
      <c r="J23" s="550"/>
      <c r="K23" s="550"/>
      <c r="L23" s="550"/>
      <c r="M23" s="550"/>
    </row>
    <row r="24" spans="3:13" ht="15">
      <c r="C24" s="407">
        <v>0.0133</v>
      </c>
      <c r="D24" s="550"/>
      <c r="E24" s="550"/>
      <c r="F24" s="550"/>
      <c r="G24" s="550"/>
      <c r="H24" s="550"/>
      <c r="I24" s="550"/>
      <c r="J24" s="550"/>
      <c r="K24" s="550"/>
      <c r="L24" s="550"/>
      <c r="M24" s="550"/>
    </row>
    <row r="25" spans="3:15" ht="15">
      <c r="C25" s="169">
        <v>0.01</v>
      </c>
      <c r="D25" s="550"/>
      <c r="E25" s="550"/>
      <c r="F25" s="550"/>
      <c r="G25" s="550"/>
      <c r="H25" s="550"/>
      <c r="I25" s="550"/>
      <c r="J25" s="550"/>
      <c r="K25" s="550"/>
      <c r="L25" s="550"/>
      <c r="M25" s="550"/>
      <c r="O25" s="184"/>
    </row>
    <row r="26" spans="3:15" ht="15">
      <c r="C26" s="170">
        <v>0.005</v>
      </c>
      <c r="D26" s="550"/>
      <c r="E26" s="550"/>
      <c r="F26" s="550"/>
      <c r="G26" s="550"/>
      <c r="H26" s="550"/>
      <c r="I26" s="550"/>
      <c r="J26" s="550"/>
      <c r="K26" s="550"/>
      <c r="L26" s="550"/>
      <c r="M26" s="550"/>
      <c r="O26" s="184"/>
    </row>
    <row r="27" spans="3:15" ht="15">
      <c r="C27" s="170">
        <v>0.001</v>
      </c>
      <c r="D27" s="550"/>
      <c r="E27" s="550"/>
      <c r="F27" s="550"/>
      <c r="G27" s="550"/>
      <c r="H27" s="550"/>
      <c r="I27" s="550"/>
      <c r="J27" s="550"/>
      <c r="K27" s="550"/>
      <c r="L27" s="550"/>
      <c r="M27" s="550"/>
      <c r="O27" s="184"/>
    </row>
    <row r="28" ht="15">
      <c r="O28" s="184"/>
    </row>
    <row r="29" spans="3:15" ht="15">
      <c r="C29" s="298"/>
      <c r="E29" s="163" t="s">
        <v>262</v>
      </c>
      <c r="F29" s="163" t="str">
        <f>"Number of "&amp;A30&amp;" whose risk changes due to changes in water levels"</f>
        <v>Number of STATIONS whose risk changes due to changes in water levels</v>
      </c>
      <c r="O29" s="184"/>
    </row>
    <row r="30" spans="1:15" ht="15">
      <c r="A30" s="706" t="s">
        <v>713</v>
      </c>
      <c r="B30" s="590"/>
      <c r="C30" s="590"/>
      <c r="D30" s="169">
        <v>1</v>
      </c>
      <c r="E30" s="169">
        <v>0.5</v>
      </c>
      <c r="F30" s="169">
        <v>0.2</v>
      </c>
      <c r="G30" s="169">
        <v>0.1</v>
      </c>
      <c r="H30" s="169">
        <v>0.04</v>
      </c>
      <c r="I30" s="169">
        <v>0.02</v>
      </c>
      <c r="J30" s="407">
        <v>0.0133</v>
      </c>
      <c r="K30" s="169">
        <v>0.01</v>
      </c>
      <c r="L30" s="170">
        <v>0.005</v>
      </c>
      <c r="M30" s="170">
        <v>0.001</v>
      </c>
      <c r="O30" s="184"/>
    </row>
    <row r="31" spans="3:15" ht="15">
      <c r="C31" s="169">
        <v>1</v>
      </c>
      <c r="D31" s="550"/>
      <c r="E31" s="550"/>
      <c r="F31" s="550"/>
      <c r="G31" s="550"/>
      <c r="H31" s="550"/>
      <c r="I31" s="550"/>
      <c r="J31" s="550"/>
      <c r="K31" s="550"/>
      <c r="L31" s="550"/>
      <c r="M31" s="550"/>
      <c r="O31" s="163" t="s">
        <v>716</v>
      </c>
    </row>
    <row r="32" spans="2:13" ht="15">
      <c r="B32" s="591" t="s">
        <v>294</v>
      </c>
      <c r="C32" s="169">
        <v>0.5</v>
      </c>
      <c r="D32" s="550"/>
      <c r="E32" s="550"/>
      <c r="F32" s="550"/>
      <c r="G32" s="550"/>
      <c r="H32" s="550"/>
      <c r="I32" s="550"/>
      <c r="J32" s="550"/>
      <c r="K32" s="550"/>
      <c r="L32" s="550"/>
      <c r="M32" s="550"/>
    </row>
    <row r="33" spans="2:13" ht="15">
      <c r="B33" s="592"/>
      <c r="C33" s="169">
        <v>0.2</v>
      </c>
      <c r="D33" s="550"/>
      <c r="E33" s="550"/>
      <c r="F33" s="550"/>
      <c r="G33" s="550"/>
      <c r="H33" s="550"/>
      <c r="I33" s="550"/>
      <c r="J33" s="550"/>
      <c r="K33" s="550"/>
      <c r="L33" s="550"/>
      <c r="M33" s="550"/>
    </row>
    <row r="34" spans="3:13" ht="15">
      <c r="C34" s="169">
        <v>0.1</v>
      </c>
      <c r="D34" s="550"/>
      <c r="E34" s="550"/>
      <c r="F34" s="550"/>
      <c r="G34" s="550"/>
      <c r="H34" s="550"/>
      <c r="I34" s="550"/>
      <c r="J34" s="550"/>
      <c r="K34" s="550"/>
      <c r="L34" s="550"/>
      <c r="M34" s="550"/>
    </row>
    <row r="35" spans="3:13" ht="15">
      <c r="C35" s="169">
        <v>0.04</v>
      </c>
      <c r="D35" s="550"/>
      <c r="E35" s="550"/>
      <c r="F35" s="550"/>
      <c r="G35" s="550"/>
      <c r="H35" s="550"/>
      <c r="I35" s="550"/>
      <c r="J35" s="550"/>
      <c r="K35" s="550"/>
      <c r="L35" s="550"/>
      <c r="M35" s="550"/>
    </row>
    <row r="36" spans="3:13" ht="15">
      <c r="C36" s="169">
        <v>0.02</v>
      </c>
      <c r="D36" s="550"/>
      <c r="E36" s="550"/>
      <c r="F36" s="550"/>
      <c r="G36" s="550"/>
      <c r="H36" s="550"/>
      <c r="I36" s="550"/>
      <c r="J36" s="550"/>
      <c r="K36" s="550"/>
      <c r="L36" s="550"/>
      <c r="M36" s="550"/>
    </row>
    <row r="37" spans="3:13" ht="15">
      <c r="C37" s="407">
        <v>0.0133</v>
      </c>
      <c r="D37" s="550"/>
      <c r="E37" s="550"/>
      <c r="F37" s="550"/>
      <c r="G37" s="550"/>
      <c r="H37" s="550"/>
      <c r="I37" s="550"/>
      <c r="J37" s="550"/>
      <c r="K37" s="550"/>
      <c r="L37" s="550"/>
      <c r="M37" s="550"/>
    </row>
    <row r="38" spans="3:13" ht="15">
      <c r="C38" s="169">
        <v>0.01</v>
      </c>
      <c r="D38" s="550"/>
      <c r="E38" s="550"/>
      <c r="F38" s="550"/>
      <c r="G38" s="550"/>
      <c r="H38" s="550"/>
      <c r="I38" s="550"/>
      <c r="J38" s="550"/>
      <c r="K38" s="550"/>
      <c r="L38" s="550"/>
      <c r="M38" s="550"/>
    </row>
    <row r="39" spans="3:13" ht="15">
      <c r="C39" s="170">
        <v>0.005</v>
      </c>
      <c r="D39" s="550"/>
      <c r="E39" s="550"/>
      <c r="F39" s="550"/>
      <c r="G39" s="550"/>
      <c r="H39" s="550"/>
      <c r="I39" s="550"/>
      <c r="J39" s="550"/>
      <c r="K39" s="550"/>
      <c r="L39" s="550"/>
      <c r="M39" s="550"/>
    </row>
    <row r="40" spans="3:13" ht="15">
      <c r="C40" s="170">
        <v>0.001</v>
      </c>
      <c r="D40" s="550"/>
      <c r="E40" s="550"/>
      <c r="F40" s="550"/>
      <c r="G40" s="550"/>
      <c r="H40" s="550"/>
      <c r="I40" s="550"/>
      <c r="J40" s="550"/>
      <c r="K40" s="550"/>
      <c r="L40" s="550"/>
      <c r="M40" s="550"/>
    </row>
    <row r="41" spans="3:13" ht="15">
      <c r="C41" s="170"/>
      <c r="D41" s="181"/>
      <c r="E41" s="181"/>
      <c r="F41" s="181"/>
      <c r="G41" s="181"/>
      <c r="H41" s="181"/>
      <c r="I41" s="181"/>
      <c r="J41" s="181"/>
      <c r="K41" s="181"/>
      <c r="L41" s="181"/>
      <c r="M41" s="181"/>
    </row>
    <row r="42" spans="4:13" ht="15">
      <c r="D42" s="169">
        <v>1</v>
      </c>
      <c r="E42" s="169">
        <v>0.5</v>
      </c>
      <c r="F42" s="169">
        <v>0.2</v>
      </c>
      <c r="G42" s="169">
        <v>0.1</v>
      </c>
      <c r="H42" s="169">
        <v>0.04</v>
      </c>
      <c r="I42" s="169">
        <v>0.02</v>
      </c>
      <c r="J42" s="407">
        <v>0.0133</v>
      </c>
      <c r="K42" s="169">
        <v>0.01</v>
      </c>
      <c r="L42" s="170">
        <v>0.005</v>
      </c>
      <c r="M42" s="170">
        <v>0.001</v>
      </c>
    </row>
    <row r="43" spans="4:13" ht="15">
      <c r="D43" s="553">
        <v>0.01</v>
      </c>
      <c r="E43" s="553">
        <v>0.02</v>
      </c>
      <c r="F43" s="553">
        <v>0.05</v>
      </c>
      <c r="G43" s="553">
        <v>0.1</v>
      </c>
      <c r="H43" s="553">
        <v>0.25</v>
      </c>
      <c r="I43" s="553">
        <v>0.8</v>
      </c>
      <c r="J43" s="553">
        <f>(K43-I43)*0.67+I43</f>
        <v>0.8871</v>
      </c>
      <c r="K43" s="553">
        <v>0.93</v>
      </c>
      <c r="L43" s="553">
        <f>(K43+M43)/2</f>
        <v>0.9650000000000001</v>
      </c>
      <c r="M43" s="553">
        <v>1</v>
      </c>
    </row>
    <row r="44" spans="3:13" ht="15">
      <c r="C44" s="298" t="s">
        <v>727</v>
      </c>
      <c r="D44" s="552"/>
      <c r="E44" s="189"/>
      <c r="F44" s="189"/>
      <c r="G44" s="189"/>
      <c r="H44" s="189"/>
      <c r="I44" s="189"/>
      <c r="J44" s="189"/>
      <c r="K44" s="189"/>
      <c r="L44" s="189"/>
      <c r="M44" s="189"/>
    </row>
    <row r="45" spans="1:14" ht="32.25" customHeight="1">
      <c r="A45" s="706" t="s">
        <v>907</v>
      </c>
      <c r="B45" s="592"/>
      <c r="C45" s="592"/>
      <c r="D45" s="278">
        <f aca="true" t="shared" si="0" ref="D45:I45">$D$44*D43</f>
        <v>0</v>
      </c>
      <c r="E45" s="278">
        <f t="shared" si="0"/>
        <v>0</v>
      </c>
      <c r="F45" s="278">
        <f t="shared" si="0"/>
        <v>0</v>
      </c>
      <c r="G45" s="278">
        <f t="shared" si="0"/>
        <v>0</v>
      </c>
      <c r="H45" s="278">
        <f t="shared" si="0"/>
        <v>0</v>
      </c>
      <c r="I45" s="278">
        <f t="shared" si="0"/>
        <v>0</v>
      </c>
      <c r="J45" s="278">
        <f aca="true" t="shared" si="1" ref="J45:M45">$D$44*J43</f>
        <v>0</v>
      </c>
      <c r="K45" s="278">
        <f t="shared" si="1"/>
        <v>0</v>
      </c>
      <c r="L45" s="278">
        <f t="shared" si="1"/>
        <v>0</v>
      </c>
      <c r="M45" s="278">
        <f t="shared" si="1"/>
        <v>0</v>
      </c>
      <c r="N45" s="163" t="s">
        <v>587</v>
      </c>
    </row>
    <row r="46" spans="1:13" ht="32.25" customHeight="1">
      <c r="A46" s="706" t="s">
        <v>908</v>
      </c>
      <c r="B46" s="591"/>
      <c r="C46" s="591"/>
      <c r="D46" s="278">
        <f>D45</f>
        <v>0</v>
      </c>
      <c r="E46" s="278">
        <f>E45-D45</f>
        <v>0</v>
      </c>
      <c r="F46" s="278">
        <f aca="true" t="shared" si="2" ref="F46:I46">F45-E45</f>
        <v>0</v>
      </c>
      <c r="G46" s="278">
        <f t="shared" si="2"/>
        <v>0</v>
      </c>
      <c r="H46" s="278">
        <f t="shared" si="2"/>
        <v>0</v>
      </c>
      <c r="I46" s="278">
        <f t="shared" si="2"/>
        <v>0</v>
      </c>
      <c r="J46" s="278">
        <f aca="true" t="shared" si="3" ref="J46">J45-I45</f>
        <v>0</v>
      </c>
      <c r="K46" s="278">
        <f aca="true" t="shared" si="4" ref="K46">K45-J45</f>
        <v>0</v>
      </c>
      <c r="L46" s="278">
        <f aca="true" t="shared" si="5" ref="L46">L45-K45</f>
        <v>0</v>
      </c>
      <c r="M46" s="278">
        <f aca="true" t="shared" si="6" ref="M46">M45-L45</f>
        <v>0</v>
      </c>
    </row>
    <row r="48" spans="3:13" ht="15">
      <c r="C48" s="330" t="s">
        <v>702</v>
      </c>
      <c r="D48" s="206">
        <v>1</v>
      </c>
      <c r="E48" s="206">
        <v>0.5</v>
      </c>
      <c r="F48" s="206">
        <v>0.2</v>
      </c>
      <c r="G48" s="206">
        <v>0.1</v>
      </c>
      <c r="H48" s="206">
        <v>0.04</v>
      </c>
      <c r="I48" s="206">
        <v>0.02</v>
      </c>
      <c r="J48" s="407">
        <v>0.0133</v>
      </c>
      <c r="K48" s="169">
        <v>0.01</v>
      </c>
      <c r="L48" s="170">
        <v>0.005</v>
      </c>
      <c r="M48" s="170">
        <v>0.001</v>
      </c>
    </row>
    <row r="49" spans="3:25" ht="30">
      <c r="C49" s="163" t="s">
        <v>377</v>
      </c>
      <c r="D49" s="554" t="s">
        <v>195</v>
      </c>
      <c r="E49" s="554" t="s">
        <v>195</v>
      </c>
      <c r="F49" s="554" t="s">
        <v>378</v>
      </c>
      <c r="G49" s="554" t="s">
        <v>378</v>
      </c>
      <c r="H49" s="554" t="s">
        <v>378</v>
      </c>
      <c r="I49" s="554" t="s">
        <v>378</v>
      </c>
      <c r="J49" s="554" t="s">
        <v>378</v>
      </c>
      <c r="K49" s="554" t="s">
        <v>378</v>
      </c>
      <c r="L49" s="554" t="s">
        <v>378</v>
      </c>
      <c r="M49" s="554" t="s">
        <v>378</v>
      </c>
      <c r="O49" s="591"/>
      <c r="P49" s="590"/>
      <c r="Q49" s="590"/>
      <c r="R49" s="590"/>
      <c r="S49" s="590"/>
      <c r="T49" s="590"/>
      <c r="U49" s="590"/>
      <c r="V49" s="590"/>
      <c r="W49" s="590"/>
      <c r="X49" s="590"/>
      <c r="Y49" s="590"/>
    </row>
    <row r="51" spans="8:10" ht="30">
      <c r="H51" s="163" t="s">
        <v>909</v>
      </c>
      <c r="I51" s="404" t="s">
        <v>834</v>
      </c>
      <c r="J51" s="404" t="s">
        <v>837</v>
      </c>
    </row>
    <row r="52" spans="3:11" ht="63" customHeight="1">
      <c r="C52" s="405" t="s">
        <v>833</v>
      </c>
      <c r="D52" s="591" t="s">
        <v>842</v>
      </c>
      <c r="E52" s="592"/>
      <c r="F52" s="556" t="s">
        <v>840</v>
      </c>
      <c r="G52" s="564"/>
      <c r="H52" s="556">
        <v>1</v>
      </c>
      <c r="I52" s="413">
        <v>1726000</v>
      </c>
      <c r="J52" s="173">
        <f>IF(F52="At risk",I52*H52,0)</f>
        <v>0</v>
      </c>
      <c r="K52" s="163" t="s">
        <v>835</v>
      </c>
    </row>
    <row r="53" spans="4:11" ht="63" customHeight="1">
      <c r="D53" s="591" t="s">
        <v>843</v>
      </c>
      <c r="E53" s="592"/>
      <c r="F53" s="556" t="s">
        <v>840</v>
      </c>
      <c r="G53" s="564"/>
      <c r="H53" s="556">
        <v>1</v>
      </c>
      <c r="I53" s="413">
        <v>1084000</v>
      </c>
      <c r="J53" s="173">
        <f aca="true" t="shared" si="7" ref="J53:J60">IF(F53="At risk",I53*H53,0)</f>
        <v>0</v>
      </c>
      <c r="K53" s="163" t="s">
        <v>836</v>
      </c>
    </row>
    <row r="54" spans="4:10" ht="63" customHeight="1">
      <c r="D54" s="591" t="s">
        <v>847</v>
      </c>
      <c r="E54" s="592"/>
      <c r="F54" s="556" t="s">
        <v>840</v>
      </c>
      <c r="G54" s="564"/>
      <c r="H54" s="556">
        <v>1</v>
      </c>
      <c r="I54" s="413">
        <v>857000</v>
      </c>
      <c r="J54" s="173">
        <f t="shared" si="7"/>
        <v>0</v>
      </c>
    </row>
    <row r="55" spans="4:10" ht="63" customHeight="1">
      <c r="D55" s="591" t="s">
        <v>844</v>
      </c>
      <c r="E55" s="592"/>
      <c r="F55" s="556" t="s">
        <v>840</v>
      </c>
      <c r="G55" s="564"/>
      <c r="H55" s="556">
        <v>1</v>
      </c>
      <c r="I55" s="413">
        <v>254000</v>
      </c>
      <c r="J55" s="173">
        <f t="shared" si="7"/>
        <v>0</v>
      </c>
    </row>
    <row r="56" spans="4:10" ht="63" customHeight="1">
      <c r="D56" s="591" t="s">
        <v>845</v>
      </c>
      <c r="E56" s="592"/>
      <c r="F56" s="556" t="s">
        <v>840</v>
      </c>
      <c r="G56" s="564"/>
      <c r="H56" s="556">
        <v>1</v>
      </c>
      <c r="I56" s="413">
        <v>198000</v>
      </c>
      <c r="J56" s="173">
        <f t="shared" si="7"/>
        <v>0</v>
      </c>
    </row>
    <row r="57" spans="4:10" ht="63" customHeight="1">
      <c r="D57" s="591" t="s">
        <v>846</v>
      </c>
      <c r="E57" s="592"/>
      <c r="F57" s="556" t="s">
        <v>840</v>
      </c>
      <c r="G57" s="564"/>
      <c r="H57" s="556">
        <v>1</v>
      </c>
      <c r="I57" s="413">
        <v>131000</v>
      </c>
      <c r="J57" s="173">
        <f t="shared" si="7"/>
        <v>0</v>
      </c>
    </row>
    <row r="58" spans="4:10" ht="63" customHeight="1">
      <c r="D58" s="591" t="s">
        <v>848</v>
      </c>
      <c r="E58" s="592"/>
      <c r="F58" s="556" t="s">
        <v>840</v>
      </c>
      <c r="G58" s="564"/>
      <c r="H58" s="556">
        <v>1</v>
      </c>
      <c r="I58" s="413">
        <v>116000</v>
      </c>
      <c r="J58" s="173">
        <f t="shared" si="7"/>
        <v>0</v>
      </c>
    </row>
    <row r="59" spans="4:10" ht="63" customHeight="1">
      <c r="D59" s="591" t="s">
        <v>849</v>
      </c>
      <c r="E59" s="592"/>
      <c r="F59" s="556" t="s">
        <v>840</v>
      </c>
      <c r="G59" s="564"/>
      <c r="H59" s="556">
        <v>1</v>
      </c>
      <c r="I59" s="413">
        <v>23000</v>
      </c>
      <c r="J59" s="173">
        <f t="shared" si="7"/>
        <v>0</v>
      </c>
    </row>
    <row r="60" spans="4:10" ht="63" customHeight="1">
      <c r="D60" s="591" t="s">
        <v>841</v>
      </c>
      <c r="E60" s="592"/>
      <c r="F60" s="556" t="s">
        <v>840</v>
      </c>
      <c r="G60" s="564"/>
      <c r="H60" s="556">
        <v>1</v>
      </c>
      <c r="I60" s="413">
        <v>3000</v>
      </c>
      <c r="J60" s="173">
        <f t="shared" si="7"/>
        <v>0</v>
      </c>
    </row>
    <row r="63" spans="3:5" ht="15">
      <c r="C63" s="163" t="s">
        <v>365</v>
      </c>
      <c r="D63" s="555">
        <f>SUM(J52:J60)</f>
        <v>0</v>
      </c>
      <c r="E63" s="163" t="s">
        <v>903</v>
      </c>
    </row>
    <row r="64" spans="3:25" ht="15">
      <c r="C64" s="176"/>
      <c r="D64" s="345"/>
      <c r="E64" s="329"/>
      <c r="F64" s="329"/>
      <c r="G64" s="329"/>
      <c r="H64" s="329"/>
      <c r="I64" s="329"/>
      <c r="J64" s="397"/>
      <c r="K64" s="329"/>
      <c r="L64" s="397"/>
      <c r="M64" s="329"/>
      <c r="O64" s="329"/>
      <c r="P64" s="276"/>
      <c r="Q64" s="276"/>
      <c r="R64" s="276"/>
      <c r="S64" s="276"/>
      <c r="T64" s="276"/>
      <c r="U64" s="276"/>
      <c r="V64" s="276"/>
      <c r="W64" s="276"/>
      <c r="X64" s="276"/>
      <c r="Y64" s="276"/>
    </row>
    <row r="65" spans="4:25" ht="15">
      <c r="D65" s="276" t="s">
        <v>764</v>
      </c>
      <c r="E65" s="329"/>
      <c r="F65" s="329"/>
      <c r="G65" s="329"/>
      <c r="H65" s="329"/>
      <c r="I65" s="329"/>
      <c r="J65" s="397"/>
      <c r="K65" s="329"/>
      <c r="L65" s="397"/>
      <c r="M65" s="329"/>
      <c r="O65" s="329"/>
      <c r="P65" s="276"/>
      <c r="Q65" s="276"/>
      <c r="R65" s="276"/>
      <c r="S65" s="276"/>
      <c r="T65" s="276"/>
      <c r="U65" s="276"/>
      <c r="V65" s="276"/>
      <c r="W65" s="276"/>
      <c r="X65" s="276"/>
      <c r="Y65" s="276"/>
    </row>
    <row r="66" spans="1:25" ht="15">
      <c r="A66" s="706" t="s">
        <v>839</v>
      </c>
      <c r="B66" s="592"/>
      <c r="C66" s="592"/>
      <c r="D66" s="563">
        <v>4</v>
      </c>
      <c r="E66" s="163" t="s">
        <v>906</v>
      </c>
      <c r="F66" s="329"/>
      <c r="G66" s="329"/>
      <c r="H66" s="329"/>
      <c r="I66" s="329"/>
      <c r="J66" s="397"/>
      <c r="K66" s="329"/>
      <c r="L66" s="397"/>
      <c r="M66" s="329"/>
      <c r="O66" s="329"/>
      <c r="P66" s="276"/>
      <c r="Q66" s="276"/>
      <c r="R66" s="276"/>
      <c r="S66" s="276"/>
      <c r="T66" s="276"/>
      <c r="U66" s="276"/>
      <c r="V66" s="276"/>
      <c r="W66" s="276"/>
      <c r="X66" s="276"/>
      <c r="Y66" s="276"/>
    </row>
    <row r="67" spans="4:25" ht="15">
      <c r="D67" s="329"/>
      <c r="E67" s="329"/>
      <c r="F67" s="329"/>
      <c r="G67" s="329"/>
      <c r="H67" s="329"/>
      <c r="I67" s="329"/>
      <c r="J67" s="397"/>
      <c r="K67" s="329"/>
      <c r="L67" s="397"/>
      <c r="M67" s="329"/>
      <c r="O67" s="329"/>
      <c r="P67" s="276"/>
      <c r="Q67" s="276"/>
      <c r="R67" s="276"/>
      <c r="S67" s="276"/>
      <c r="T67" s="276"/>
      <c r="U67" s="276"/>
      <c r="V67" s="276"/>
      <c r="W67" s="276"/>
      <c r="X67" s="276"/>
      <c r="Y67" s="276"/>
    </row>
    <row r="68" spans="3:25" ht="15">
      <c r="C68" s="163" t="s">
        <v>365</v>
      </c>
      <c r="D68" s="555">
        <f>D66*D63</f>
        <v>0</v>
      </c>
      <c r="E68" s="163" t="s">
        <v>904</v>
      </c>
      <c r="F68" s="329"/>
      <c r="G68" s="329"/>
      <c r="H68" s="329"/>
      <c r="I68" s="329"/>
      <c r="J68" s="397"/>
      <c r="K68" s="329"/>
      <c r="L68" s="397"/>
      <c r="M68" s="329"/>
      <c r="O68" s="329"/>
      <c r="P68" s="276"/>
      <c r="Q68" s="276"/>
      <c r="R68" s="276"/>
      <c r="S68" s="276"/>
      <c r="T68" s="276"/>
      <c r="U68" s="276"/>
      <c r="V68" s="276"/>
      <c r="W68" s="276"/>
      <c r="X68" s="276"/>
      <c r="Y68" s="276"/>
    </row>
    <row r="69" spans="4:25" ht="15">
      <c r="D69" s="329"/>
      <c r="E69" s="329"/>
      <c r="F69" s="329"/>
      <c r="G69" s="329"/>
      <c r="H69" s="329"/>
      <c r="I69" s="329"/>
      <c r="J69" s="397"/>
      <c r="K69" s="329"/>
      <c r="L69" s="397"/>
      <c r="M69" s="329"/>
      <c r="O69" s="329"/>
      <c r="P69" s="276"/>
      <c r="Q69" s="276"/>
      <c r="R69" s="276"/>
      <c r="S69" s="276"/>
      <c r="T69" s="276"/>
      <c r="U69" s="276"/>
      <c r="V69" s="276"/>
      <c r="W69" s="276"/>
      <c r="X69" s="276"/>
      <c r="Y69" s="276"/>
    </row>
    <row r="70" spans="3:13" ht="15">
      <c r="C70" s="298" t="s">
        <v>702</v>
      </c>
      <c r="D70" s="206">
        <v>1</v>
      </c>
      <c r="E70" s="206">
        <v>0.5</v>
      </c>
      <c r="F70" s="206">
        <v>0.2</v>
      </c>
      <c r="G70" s="206">
        <v>0.1</v>
      </c>
      <c r="H70" s="206">
        <v>0.04</v>
      </c>
      <c r="I70" s="206">
        <v>0.02</v>
      </c>
      <c r="J70" s="407">
        <v>0.0133</v>
      </c>
      <c r="K70" s="169">
        <v>0.01</v>
      </c>
      <c r="L70" s="170">
        <v>0.005</v>
      </c>
      <c r="M70" s="170">
        <v>0.001</v>
      </c>
    </row>
    <row r="71" spans="3:25" ht="30">
      <c r="C71" s="163" t="s">
        <v>377</v>
      </c>
      <c r="D71" s="554" t="s">
        <v>195</v>
      </c>
      <c r="E71" s="554" t="s">
        <v>195</v>
      </c>
      <c r="F71" s="554" t="s">
        <v>378</v>
      </c>
      <c r="G71" s="554" t="s">
        <v>378</v>
      </c>
      <c r="H71" s="554" t="s">
        <v>378</v>
      </c>
      <c r="I71" s="554" t="s">
        <v>378</v>
      </c>
      <c r="J71" s="554" t="s">
        <v>378</v>
      </c>
      <c r="K71" s="554" t="s">
        <v>378</v>
      </c>
      <c r="L71" s="554" t="s">
        <v>378</v>
      </c>
      <c r="M71" s="554" t="s">
        <v>378</v>
      </c>
      <c r="O71" s="591"/>
      <c r="P71" s="590"/>
      <c r="Q71" s="590"/>
      <c r="R71" s="590"/>
      <c r="S71" s="590"/>
      <c r="T71" s="590"/>
      <c r="U71" s="590"/>
      <c r="V71" s="590"/>
      <c r="W71" s="590"/>
      <c r="X71" s="590"/>
      <c r="Y71" s="590"/>
    </row>
    <row r="72" spans="4:25" ht="15">
      <c r="D72" s="296"/>
      <c r="E72" s="296"/>
      <c r="F72" s="296"/>
      <c r="G72" s="296"/>
      <c r="H72" s="296"/>
      <c r="I72" s="296"/>
      <c r="J72" s="397"/>
      <c r="K72" s="296"/>
      <c r="L72" s="397"/>
      <c r="M72" s="296"/>
      <c r="O72" s="296"/>
      <c r="P72" s="276"/>
      <c r="Q72" s="276"/>
      <c r="R72" s="276"/>
      <c r="S72" s="276"/>
      <c r="T72" s="276"/>
      <c r="U72" s="276"/>
      <c r="V72" s="276"/>
      <c r="W72" s="276"/>
      <c r="X72" s="276"/>
      <c r="Y72" s="276"/>
    </row>
    <row r="73" spans="3:9" ht="30">
      <c r="C73" s="298" t="str">
        <f>C70</f>
        <v>RAIL TRANSPORT</v>
      </c>
      <c r="D73" s="296" t="s">
        <v>195</v>
      </c>
      <c r="G73" s="296"/>
      <c r="I73" s="163" t="s">
        <v>723</v>
      </c>
    </row>
    <row r="74" spans="2:14" ht="15">
      <c r="B74" s="197"/>
      <c r="C74" s="304" t="s">
        <v>700</v>
      </c>
      <c r="D74" s="555">
        <v>25000000</v>
      </c>
      <c r="E74" s="276" t="s">
        <v>703</v>
      </c>
      <c r="G74" s="296"/>
      <c r="H74" s="163" t="s">
        <v>725</v>
      </c>
      <c r="I74" s="555">
        <v>1000000</v>
      </c>
      <c r="J74" s="555"/>
      <c r="K74" s="163" t="s">
        <v>724</v>
      </c>
      <c r="M74" s="565">
        <f>'Water levels-Business'!D45</f>
        <v>17.60372637562664</v>
      </c>
      <c r="N74" s="163" t="s">
        <v>709</v>
      </c>
    </row>
    <row r="75" spans="2:14" ht="15" customHeight="1">
      <c r="B75" s="197"/>
      <c r="C75" s="304" t="s">
        <v>701</v>
      </c>
      <c r="D75" s="555">
        <v>12500000</v>
      </c>
      <c r="E75" s="276" t="s">
        <v>703</v>
      </c>
      <c r="F75" s="276"/>
      <c r="G75" s="296"/>
      <c r="H75" s="168" t="s">
        <v>726</v>
      </c>
      <c r="I75" s="555">
        <v>500000</v>
      </c>
      <c r="J75" s="555"/>
      <c r="K75" s="163" t="s">
        <v>724</v>
      </c>
      <c r="M75" s="556">
        <v>1000</v>
      </c>
      <c r="N75" s="163" t="s">
        <v>708</v>
      </c>
    </row>
    <row r="76" spans="2:14" ht="15" customHeight="1">
      <c r="B76" s="197"/>
      <c r="C76" s="188" t="s">
        <v>704</v>
      </c>
      <c r="D76" s="555">
        <v>10000000</v>
      </c>
      <c r="E76" s="276" t="s">
        <v>705</v>
      </c>
      <c r="F76" s="276"/>
      <c r="G76" s="296"/>
      <c r="H76" s="168"/>
      <c r="M76" s="173">
        <f>M75*M74</f>
        <v>17603.72637562664</v>
      </c>
      <c r="N76" s="163" t="s">
        <v>710</v>
      </c>
    </row>
    <row r="77" spans="2:4" ht="15">
      <c r="B77" s="297"/>
      <c r="C77" s="297"/>
      <c r="D77" s="163" t="s">
        <v>386</v>
      </c>
    </row>
    <row r="78" spans="2:4" ht="15">
      <c r="B78" s="297"/>
      <c r="C78" s="297"/>
      <c r="D78" s="163" t="s">
        <v>387</v>
      </c>
    </row>
    <row r="79" spans="1:5" ht="27.75" customHeight="1">
      <c r="A79" s="706" t="s">
        <v>639</v>
      </c>
      <c r="B79" s="592"/>
      <c r="C79" s="592"/>
      <c r="D79" s="556">
        <v>25</v>
      </c>
      <c r="E79" s="163" t="s">
        <v>391</v>
      </c>
    </row>
    <row r="80" spans="1:5" ht="15">
      <c r="A80" s="296"/>
      <c r="B80" s="296"/>
      <c r="C80" s="298" t="s">
        <v>390</v>
      </c>
      <c r="D80" s="162">
        <f>VLOOKUP(D79-1,Sheet1!A$15:C$114,3,FALSE)</f>
        <v>17.058367603016084</v>
      </c>
      <c r="E80" s="163" t="str">
        <f>"Sum of discount factors from year 0 to year "&amp;D79</f>
        <v>Sum of discount factors from year 0 to year 25</v>
      </c>
    </row>
    <row r="81" spans="1:5" ht="15">
      <c r="A81" s="329"/>
      <c r="B81" s="329"/>
      <c r="C81" s="330" t="s">
        <v>785</v>
      </c>
      <c r="D81" s="178">
        <v>0.5</v>
      </c>
      <c r="E81" s="163" t="s">
        <v>786</v>
      </c>
    </row>
    <row r="82" spans="1:5" ht="15">
      <c r="A82" s="296"/>
      <c r="B82" s="197"/>
      <c r="C82" s="304" t="s">
        <v>700</v>
      </c>
      <c r="D82" s="207">
        <f>D74/D80-D74/D80*D81</f>
        <v>732778.2054473887</v>
      </c>
      <c r="E82" s="163" t="s">
        <v>706</v>
      </c>
    </row>
    <row r="83" spans="2:5" ht="15" customHeight="1">
      <c r="B83" s="197"/>
      <c r="C83" s="304" t="s">
        <v>701</v>
      </c>
      <c r="D83" s="207">
        <f>D75/D80-D75/D80*D81</f>
        <v>366389.10272369435</v>
      </c>
      <c r="E83" s="163" t="s">
        <v>706</v>
      </c>
    </row>
    <row r="84" spans="2:5" ht="15" customHeight="1">
      <c r="B84" s="197"/>
      <c r="C84" s="188" t="s">
        <v>704</v>
      </c>
      <c r="D84" s="207">
        <f>D76/D80-D76/D80*D81</f>
        <v>293111.2821789555</v>
      </c>
      <c r="E84" s="163" t="s">
        <v>707</v>
      </c>
    </row>
    <row r="85" spans="3:4" ht="15">
      <c r="C85" s="298"/>
      <c r="D85" s="309"/>
    </row>
    <row r="86" spans="3:14" ht="15">
      <c r="C86" s="176" t="s">
        <v>721</v>
      </c>
      <c r="D86" s="169">
        <v>1</v>
      </c>
      <c r="E86" s="169">
        <v>0.5</v>
      </c>
      <c r="F86" s="169">
        <v>0.2</v>
      </c>
      <c r="G86" s="169">
        <v>0.1</v>
      </c>
      <c r="H86" s="169">
        <v>0.04</v>
      </c>
      <c r="I86" s="169">
        <v>0.02</v>
      </c>
      <c r="J86" s="407">
        <v>0.0133</v>
      </c>
      <c r="K86" s="169">
        <v>0.01</v>
      </c>
      <c r="L86" s="170">
        <v>0.005</v>
      </c>
      <c r="M86" s="170">
        <v>0.001</v>
      </c>
      <c r="N86" s="176" t="s">
        <v>61</v>
      </c>
    </row>
    <row r="87" spans="3:14" s="197" customFormat="1" ht="15">
      <c r="C87" s="198" t="s">
        <v>367</v>
      </c>
      <c r="D87" s="199">
        <f>'Water levels-Residential'!D32</f>
        <v>1</v>
      </c>
      <c r="E87" s="199">
        <f>'Water levels-Residential'!E32</f>
        <v>0.8944928611162618</v>
      </c>
      <c r="F87" s="199">
        <f>'Water levels-Residential'!F32</f>
        <v>0.5777860189134063</v>
      </c>
      <c r="G87" s="199">
        <f>'Water levels-Residential'!G32</f>
        <v>0.29334322269608754</v>
      </c>
      <c r="H87" s="199">
        <f>'Water levels-Residential'!H32</f>
        <v>0.13777118486927498</v>
      </c>
      <c r="I87" s="199">
        <f>'Water levels-Residential'!I32</f>
        <v>0.058594474318561095</v>
      </c>
      <c r="J87" s="199">
        <f>'Water levels-Residential'!J32</f>
        <v>0.029297237159280547</v>
      </c>
      <c r="K87" s="199">
        <f>'Water levels-Residential'!K32</f>
        <v>0.014648618579640274</v>
      </c>
      <c r="L87" s="199">
        <f>'Water levels-Residential'!L32</f>
        <v>0.01</v>
      </c>
      <c r="M87" s="199">
        <f>'Water levels-Residential'!M32</f>
        <v>0</v>
      </c>
      <c r="N87" s="197" t="s">
        <v>368</v>
      </c>
    </row>
    <row r="88" spans="3:13" s="197" customFormat="1" ht="15">
      <c r="C88" s="304" t="s">
        <v>700</v>
      </c>
      <c r="D88" s="200">
        <f>IF(D$71="One-off loss",D87*$I$74,$D82)</f>
        <v>732778.2054473887</v>
      </c>
      <c r="E88" s="200">
        <f aca="true" t="shared" si="8" ref="E88:M88">IF(E$71="One-off loss",E87*$I$74,$D82)</f>
        <v>732778.2054473887</v>
      </c>
      <c r="F88" s="200">
        <f t="shared" si="8"/>
        <v>577786.0189134063</v>
      </c>
      <c r="G88" s="200">
        <f t="shared" si="8"/>
        <v>293343.22269608756</v>
      </c>
      <c r="H88" s="200">
        <f t="shared" si="8"/>
        <v>137771.18486927496</v>
      </c>
      <c r="I88" s="200">
        <f t="shared" si="8"/>
        <v>58594.47431856109</v>
      </c>
      <c r="J88" s="200">
        <f t="shared" si="8"/>
        <v>29297.237159280547</v>
      </c>
      <c r="K88" s="200">
        <f t="shared" si="8"/>
        <v>14648.618579640273</v>
      </c>
      <c r="L88" s="200">
        <f t="shared" si="8"/>
        <v>10000</v>
      </c>
      <c r="M88" s="200">
        <f t="shared" si="8"/>
        <v>0</v>
      </c>
    </row>
    <row r="89" spans="3:13" s="197" customFormat="1" ht="15">
      <c r="C89" s="304" t="s">
        <v>701</v>
      </c>
      <c r="D89" s="200">
        <f>IF(D71="One-off loss",D87*$I$75,$D83)</f>
        <v>366389.10272369435</v>
      </c>
      <c r="E89" s="200">
        <f aca="true" t="shared" si="9" ref="E89:M89">IF(E71="One-off loss",E87*$I$75,$D83)</f>
        <v>366389.10272369435</v>
      </c>
      <c r="F89" s="200">
        <f t="shared" si="9"/>
        <v>288893.00945670315</v>
      </c>
      <c r="G89" s="200">
        <f t="shared" si="9"/>
        <v>146671.61134804378</v>
      </c>
      <c r="H89" s="200">
        <f t="shared" si="9"/>
        <v>68885.59243463748</v>
      </c>
      <c r="I89" s="200">
        <f t="shared" si="9"/>
        <v>29297.237159280547</v>
      </c>
      <c r="J89" s="200">
        <f t="shared" si="9"/>
        <v>14648.618579640273</v>
      </c>
      <c r="K89" s="200">
        <f t="shared" si="9"/>
        <v>7324.309289820137</v>
      </c>
      <c r="L89" s="200">
        <f t="shared" si="9"/>
        <v>5000</v>
      </c>
      <c r="M89" s="200">
        <f t="shared" si="9"/>
        <v>0</v>
      </c>
    </row>
    <row r="90" spans="3:13" s="197" customFormat="1" ht="15">
      <c r="C90" s="188" t="s">
        <v>704</v>
      </c>
      <c r="D90" s="200">
        <f>IF(D71="One-off loss",D87*$M$76,$D84)</f>
        <v>293111.2821789555</v>
      </c>
      <c r="E90" s="200">
        <f aca="true" t="shared" si="10" ref="E90:M90">IF(E71="One-off loss",E87*$M$76,$D84)</f>
        <v>293111.2821789555</v>
      </c>
      <c r="F90" s="200">
        <f t="shared" si="10"/>
        <v>10171.186980614244</v>
      </c>
      <c r="G90" s="200">
        <f t="shared" si="10"/>
        <v>5163.9338264864355</v>
      </c>
      <c r="H90" s="200">
        <f t="shared" si="10"/>
        <v>2425.28624088459</v>
      </c>
      <c r="I90" s="200">
        <f t="shared" si="10"/>
        <v>1031.4810930276317</v>
      </c>
      <c r="J90" s="200">
        <f t="shared" si="10"/>
        <v>515.7405465138158</v>
      </c>
      <c r="K90" s="200">
        <f t="shared" si="10"/>
        <v>257.8702732569079</v>
      </c>
      <c r="L90" s="200">
        <f t="shared" si="10"/>
        <v>176.0372637562664</v>
      </c>
      <c r="M90" s="200">
        <f t="shared" si="10"/>
        <v>0</v>
      </c>
    </row>
    <row r="91" spans="3:14" ht="15">
      <c r="C91" s="176" t="s">
        <v>722</v>
      </c>
      <c r="D91" s="169">
        <v>1</v>
      </c>
      <c r="E91" s="169">
        <v>0.5</v>
      </c>
      <c r="F91" s="169">
        <v>0.2</v>
      </c>
      <c r="G91" s="169">
        <v>0.1</v>
      </c>
      <c r="H91" s="169">
        <v>0.04</v>
      </c>
      <c r="I91" s="169">
        <v>0.02</v>
      </c>
      <c r="J91" s="407">
        <v>0.0133</v>
      </c>
      <c r="K91" s="169">
        <v>0.01</v>
      </c>
      <c r="L91" s="170">
        <v>0.005</v>
      </c>
      <c r="M91" s="170">
        <v>0.001</v>
      </c>
      <c r="N91" s="176" t="s">
        <v>61</v>
      </c>
    </row>
    <row r="92" spans="3:14" s="197" customFormat="1" ht="15">
      <c r="C92" s="198" t="s">
        <v>367</v>
      </c>
      <c r="D92" s="199">
        <f>D87</f>
        <v>1</v>
      </c>
      <c r="E92" s="199">
        <f aca="true" t="shared" si="11" ref="E92:M92">E87</f>
        <v>0.8944928611162618</v>
      </c>
      <c r="F92" s="199">
        <f t="shared" si="11"/>
        <v>0.5777860189134063</v>
      </c>
      <c r="G92" s="199">
        <f t="shared" si="11"/>
        <v>0.29334322269608754</v>
      </c>
      <c r="H92" s="199">
        <f t="shared" si="11"/>
        <v>0.13777118486927498</v>
      </c>
      <c r="I92" s="199">
        <f t="shared" si="11"/>
        <v>0.058594474318561095</v>
      </c>
      <c r="J92" s="199">
        <f t="shared" si="11"/>
        <v>0.029297237159280547</v>
      </c>
      <c r="K92" s="199">
        <f t="shared" si="11"/>
        <v>0.014648618579640274</v>
      </c>
      <c r="L92" s="199">
        <f t="shared" si="11"/>
        <v>0.01</v>
      </c>
      <c r="M92" s="199">
        <f t="shared" si="11"/>
        <v>0</v>
      </c>
      <c r="N92" s="197" t="s">
        <v>368</v>
      </c>
    </row>
    <row r="93" spans="3:13" s="197" customFormat="1" ht="15">
      <c r="C93" s="304" t="s">
        <v>838</v>
      </c>
      <c r="D93" s="200">
        <f aca="true" t="shared" si="12" ref="D93:M93">IF(D$71="One-off loss",D92*$D$68,0)</f>
        <v>0</v>
      </c>
      <c r="E93" s="200">
        <f t="shared" si="12"/>
        <v>0</v>
      </c>
      <c r="F93" s="200">
        <f t="shared" si="12"/>
        <v>0</v>
      </c>
      <c r="G93" s="200">
        <f t="shared" si="12"/>
        <v>0</v>
      </c>
      <c r="H93" s="200">
        <f t="shared" si="12"/>
        <v>0</v>
      </c>
      <c r="I93" s="200">
        <f t="shared" si="12"/>
        <v>0</v>
      </c>
      <c r="J93" s="200">
        <f t="shared" si="12"/>
        <v>0</v>
      </c>
      <c r="K93" s="200">
        <f t="shared" si="12"/>
        <v>0</v>
      </c>
      <c r="L93" s="200">
        <f t="shared" si="12"/>
        <v>0</v>
      </c>
      <c r="M93" s="200">
        <f t="shared" si="12"/>
        <v>0</v>
      </c>
    </row>
    <row r="94" spans="3:13" s="197" customFormat="1" ht="15">
      <c r="C94" s="198"/>
      <c r="D94" s="189"/>
      <c r="E94" s="189"/>
      <c r="F94" s="189"/>
      <c r="G94" s="189"/>
      <c r="H94" s="189"/>
      <c r="I94" s="189"/>
      <c r="J94" s="189"/>
      <c r="K94" s="189"/>
      <c r="L94" s="189"/>
      <c r="M94" s="189"/>
    </row>
    <row r="95" spans="3:13" ht="15">
      <c r="C95" s="170"/>
      <c r="D95" s="181"/>
      <c r="E95" s="181"/>
      <c r="F95" s="181"/>
      <c r="G95" s="181"/>
      <c r="H95" s="181"/>
      <c r="I95" s="181"/>
      <c r="J95" s="181"/>
      <c r="K95" s="181"/>
      <c r="L95" s="181"/>
      <c r="M95" s="181"/>
    </row>
    <row r="96" spans="3:6" ht="15">
      <c r="C96" s="176" t="s">
        <v>721</v>
      </c>
      <c r="E96" s="163" t="s">
        <v>262</v>
      </c>
      <c r="F96" s="163" t="s">
        <v>280</v>
      </c>
    </row>
    <row r="97" spans="1:13" ht="15">
      <c r="A97" s="711" t="str">
        <f>C4</f>
        <v>MAINLINE</v>
      </c>
      <c r="B97" s="590"/>
      <c r="C97" s="590"/>
      <c r="D97" s="169">
        <v>1</v>
      </c>
      <c r="E97" s="169">
        <v>0.5</v>
      </c>
      <c r="F97" s="169">
        <v>0.2</v>
      </c>
      <c r="G97" s="169">
        <v>0.1</v>
      </c>
      <c r="H97" s="169">
        <v>0.04</v>
      </c>
      <c r="I97" s="169">
        <v>0.02</v>
      </c>
      <c r="J97" s="407">
        <v>0.0133</v>
      </c>
      <c r="K97" s="169">
        <v>0.01</v>
      </c>
      <c r="L97" s="170">
        <v>0.005</v>
      </c>
      <c r="M97" s="170">
        <v>0.001</v>
      </c>
    </row>
    <row r="98" spans="3:14" ht="15">
      <c r="C98" s="169">
        <v>1</v>
      </c>
      <c r="D98" s="173">
        <f>IF($D88-D88&lt;0,0,$D88-D88)</f>
        <v>0</v>
      </c>
      <c r="E98" s="173">
        <f aca="true" t="shared" si="13" ref="E98:M98">IF($D88-E88&lt;0,0,$D88-E88)</f>
        <v>0</v>
      </c>
      <c r="F98" s="173">
        <f t="shared" si="13"/>
        <v>154992.1865339824</v>
      </c>
      <c r="G98" s="173">
        <f t="shared" si="13"/>
        <v>439434.98275130114</v>
      </c>
      <c r="H98" s="173">
        <f t="shared" si="13"/>
        <v>595007.0205781137</v>
      </c>
      <c r="I98" s="173">
        <f t="shared" si="13"/>
        <v>674183.7311288276</v>
      </c>
      <c r="J98" s="173">
        <f t="shared" si="13"/>
        <v>703480.9682881081</v>
      </c>
      <c r="K98" s="173">
        <f t="shared" si="13"/>
        <v>718129.5868677484</v>
      </c>
      <c r="L98" s="173">
        <f t="shared" si="13"/>
        <v>722778.2054473887</v>
      </c>
      <c r="M98" s="173">
        <f t="shared" si="13"/>
        <v>732778.2054473887</v>
      </c>
      <c r="N98" s="163" t="s">
        <v>366</v>
      </c>
    </row>
    <row r="99" spans="2:13" ht="15" customHeight="1">
      <c r="B99" s="163" t="s">
        <v>261</v>
      </c>
      <c r="C99" s="169">
        <v>0.5</v>
      </c>
      <c r="D99" s="173">
        <f>IF($E88-D88&gt;0,0,$E88-D88)</f>
        <v>0</v>
      </c>
      <c r="E99" s="173">
        <f aca="true" t="shared" si="14" ref="E99">$E88-E88</f>
        <v>0</v>
      </c>
      <c r="F99" s="173">
        <f>IF($E88-F88&lt;0,0,$E88-F88)</f>
        <v>154992.1865339824</v>
      </c>
      <c r="G99" s="173">
        <f aca="true" t="shared" si="15" ref="G99:M99">IF($E88-G88&lt;0,0,$E88-G88)</f>
        <v>439434.98275130114</v>
      </c>
      <c r="H99" s="173">
        <f t="shared" si="15"/>
        <v>595007.0205781137</v>
      </c>
      <c r="I99" s="173">
        <f t="shared" si="15"/>
        <v>674183.7311288276</v>
      </c>
      <c r="J99" s="173">
        <f t="shared" si="15"/>
        <v>703480.9682881081</v>
      </c>
      <c r="K99" s="173">
        <f t="shared" si="15"/>
        <v>718129.5868677484</v>
      </c>
      <c r="L99" s="173">
        <f t="shared" si="15"/>
        <v>722778.2054473887</v>
      </c>
      <c r="M99" s="173">
        <f t="shared" si="15"/>
        <v>732778.2054473887</v>
      </c>
    </row>
    <row r="100" spans="2:13" ht="15">
      <c r="B100" s="700" t="s">
        <v>281</v>
      </c>
      <c r="C100" s="169">
        <v>0.2</v>
      </c>
      <c r="D100" s="173">
        <f>IF($F88-D88&gt;0,0,$F88-D88)</f>
        <v>-154992.1865339824</v>
      </c>
      <c r="E100" s="173">
        <f>IF($F88-E88&gt;0,0,$F88-E88)</f>
        <v>-154992.1865339824</v>
      </c>
      <c r="F100" s="173">
        <f aca="true" t="shared" si="16" ref="F100">$F88-F88</f>
        <v>0</v>
      </c>
      <c r="G100" s="173">
        <f>IF($F88-G88&lt;0,0,$F88-G88)</f>
        <v>284442.79621731874</v>
      </c>
      <c r="H100" s="173">
        <f aca="true" t="shared" si="17" ref="H100:M100">IF($F88-H88&lt;0,0,$F88-H88)</f>
        <v>440014.83404413133</v>
      </c>
      <c r="I100" s="173">
        <f t="shared" si="17"/>
        <v>519191.5445948452</v>
      </c>
      <c r="J100" s="173">
        <f t="shared" si="17"/>
        <v>548488.7817541257</v>
      </c>
      <c r="K100" s="173">
        <f t="shared" si="17"/>
        <v>563137.400333766</v>
      </c>
      <c r="L100" s="173">
        <f t="shared" si="17"/>
        <v>567786.0189134063</v>
      </c>
      <c r="M100" s="173">
        <f t="shared" si="17"/>
        <v>577786.0189134063</v>
      </c>
    </row>
    <row r="101" spans="2:13" ht="15">
      <c r="B101" s="701"/>
      <c r="C101" s="169">
        <v>0.1</v>
      </c>
      <c r="D101" s="173">
        <f>IF($G88-D88&gt;0,0,$G88-D88)</f>
        <v>-439434.98275130114</v>
      </c>
      <c r="E101" s="173">
        <f aca="true" t="shared" si="18" ref="E101:F101">IF($G88-E88&gt;0,0,$G88-E88)</f>
        <v>-439434.98275130114</v>
      </c>
      <c r="F101" s="173">
        <f t="shared" si="18"/>
        <v>-284442.79621731874</v>
      </c>
      <c r="G101" s="173">
        <f aca="true" t="shared" si="19" ref="G101">$G88-G88</f>
        <v>0</v>
      </c>
      <c r="H101" s="173">
        <f>IF($G88-H88&lt;0,0,$G88-H88)</f>
        <v>155572.0378268126</v>
      </c>
      <c r="I101" s="173">
        <f aca="true" t="shared" si="20" ref="I101:M101">IF($G88-I88&lt;0,0,$G88-I88)</f>
        <v>234748.74837752647</v>
      </c>
      <c r="J101" s="173">
        <f t="shared" si="20"/>
        <v>264045.985536807</v>
      </c>
      <c r="K101" s="173">
        <f t="shared" si="20"/>
        <v>278694.60411644727</v>
      </c>
      <c r="L101" s="173">
        <f t="shared" si="20"/>
        <v>283343.22269608756</v>
      </c>
      <c r="M101" s="173">
        <f t="shared" si="20"/>
        <v>293343.22269608756</v>
      </c>
    </row>
    <row r="102" spans="2:13" ht="15">
      <c r="B102" s="701"/>
      <c r="C102" s="169">
        <v>0.04</v>
      </c>
      <c r="D102" s="173">
        <f>IF($H88-D88&gt;0,0,$H88-D88)</f>
        <v>-595007.0205781137</v>
      </c>
      <c r="E102" s="173">
        <f aca="true" t="shared" si="21" ref="E102:G102">IF($H88-E88&gt;0,0,$H88-E88)</f>
        <v>-595007.0205781137</v>
      </c>
      <c r="F102" s="173">
        <f t="shared" si="21"/>
        <v>-440014.83404413133</v>
      </c>
      <c r="G102" s="173">
        <f t="shared" si="21"/>
        <v>-155572.0378268126</v>
      </c>
      <c r="H102" s="173">
        <f aca="true" t="shared" si="22" ref="H102">$H88-H88</f>
        <v>0</v>
      </c>
      <c r="I102" s="173">
        <f>IF($H88-I88&lt;0,0,$H88-I88)</f>
        <v>79176.71055071388</v>
      </c>
      <c r="J102" s="173">
        <f aca="true" t="shared" si="23" ref="J102:M102">IF($H88-J88&lt;0,0,$H88-J88)</f>
        <v>108473.94770999442</v>
      </c>
      <c r="K102" s="173">
        <f t="shared" si="23"/>
        <v>123122.56628963469</v>
      </c>
      <c r="L102" s="173">
        <f t="shared" si="23"/>
        <v>127771.18486927496</v>
      </c>
      <c r="M102" s="173">
        <f t="shared" si="23"/>
        <v>137771.18486927496</v>
      </c>
    </row>
    <row r="103" spans="2:13" ht="15">
      <c r="B103" s="701"/>
      <c r="C103" s="169">
        <v>0.02</v>
      </c>
      <c r="D103" s="173">
        <f>IF($I88-D88&gt;0,0,$I88-D88)</f>
        <v>-674183.7311288276</v>
      </c>
      <c r="E103" s="173">
        <f aca="true" t="shared" si="24" ref="E103:H103">IF($I88-E88&gt;0,0,$I88-E88)</f>
        <v>-674183.7311288276</v>
      </c>
      <c r="F103" s="173">
        <f t="shared" si="24"/>
        <v>-519191.5445948452</v>
      </c>
      <c r="G103" s="173">
        <f t="shared" si="24"/>
        <v>-234748.74837752647</v>
      </c>
      <c r="H103" s="173">
        <f t="shared" si="24"/>
        <v>-79176.71055071388</v>
      </c>
      <c r="I103" s="173">
        <f aca="true" t="shared" si="25" ref="I103">$I88-I88</f>
        <v>0</v>
      </c>
      <c r="J103" s="173">
        <f>IF($I88-J88&lt;0,0,$I88-J88)</f>
        <v>29297.237159280547</v>
      </c>
      <c r="K103" s="173">
        <f aca="true" t="shared" si="26" ref="K103:M103">IF($I88-K88&lt;0,0,$I88-K88)</f>
        <v>43945.85573892082</v>
      </c>
      <c r="L103" s="173">
        <f t="shared" si="26"/>
        <v>48594.47431856109</v>
      </c>
      <c r="M103" s="173">
        <f t="shared" si="26"/>
        <v>58594.47431856109</v>
      </c>
    </row>
    <row r="104" spans="2:13" ht="15">
      <c r="B104" s="701"/>
      <c r="C104" s="407">
        <v>0.0133</v>
      </c>
      <c r="D104" s="173">
        <f>IF($J88-D88&gt;0,0,$J88-D88)</f>
        <v>-703480.9682881081</v>
      </c>
      <c r="E104" s="173">
        <f aca="true" t="shared" si="27" ref="E104:I104">IF($J88-E88&gt;0,0,$J88-E88)</f>
        <v>-703480.9682881081</v>
      </c>
      <c r="F104" s="173">
        <f t="shared" si="27"/>
        <v>-548488.7817541257</v>
      </c>
      <c r="G104" s="173">
        <f t="shared" si="27"/>
        <v>-264045.985536807</v>
      </c>
      <c r="H104" s="173">
        <f t="shared" si="27"/>
        <v>-108473.94770999442</v>
      </c>
      <c r="I104" s="173">
        <f t="shared" si="27"/>
        <v>-29297.237159280547</v>
      </c>
      <c r="J104" s="173">
        <f aca="true" t="shared" si="28" ref="J104">$J88-J88</f>
        <v>0</v>
      </c>
      <c r="K104" s="173">
        <f>IF($J88-K88&lt;0,0,$J88-K88)</f>
        <v>14648.618579640273</v>
      </c>
      <c r="L104" s="173">
        <f aca="true" t="shared" si="29" ref="L104:M104">IF($J88-L88&lt;0,0,$J88-L88)</f>
        <v>19297.237159280547</v>
      </c>
      <c r="M104" s="173">
        <f t="shared" si="29"/>
        <v>29297.237159280547</v>
      </c>
    </row>
    <row r="105" spans="2:13" ht="15">
      <c r="B105" s="701"/>
      <c r="C105" s="169">
        <v>0.01</v>
      </c>
      <c r="D105" s="173">
        <f>IF($K88-D88&gt;0,0,$K88-D88)</f>
        <v>-718129.5868677484</v>
      </c>
      <c r="E105" s="173">
        <f aca="true" t="shared" si="30" ref="E105:J105">IF($K88-E88&gt;0,0,$K88-E88)</f>
        <v>-718129.5868677484</v>
      </c>
      <c r="F105" s="173">
        <f t="shared" si="30"/>
        <v>-563137.400333766</v>
      </c>
      <c r="G105" s="173">
        <f t="shared" si="30"/>
        <v>-278694.60411644727</v>
      </c>
      <c r="H105" s="173">
        <f t="shared" si="30"/>
        <v>-123122.56628963469</v>
      </c>
      <c r="I105" s="173">
        <f t="shared" si="30"/>
        <v>-43945.85573892082</v>
      </c>
      <c r="J105" s="173">
        <f t="shared" si="30"/>
        <v>-14648.618579640273</v>
      </c>
      <c r="K105" s="173">
        <f aca="true" t="shared" si="31" ref="K105">$K88-K88</f>
        <v>0</v>
      </c>
      <c r="L105" s="173">
        <f>IF($K88-L88&lt;0,0,$K88-L88)</f>
        <v>4648.618579640273</v>
      </c>
      <c r="M105" s="173">
        <f>IF($K88-M88&lt;0,0,$K88-M88)</f>
        <v>14648.618579640273</v>
      </c>
    </row>
    <row r="106" spans="2:13" ht="15">
      <c r="B106" s="701"/>
      <c r="C106" s="170">
        <v>0.005</v>
      </c>
      <c r="D106" s="173">
        <f>IF($L88-D88&gt;0,0,$L88-D88)</f>
        <v>-722778.2054473887</v>
      </c>
      <c r="E106" s="173">
        <f aca="true" t="shared" si="32" ref="E106:K106">IF($L88-E88&gt;0,0,$L88-E88)</f>
        <v>-722778.2054473887</v>
      </c>
      <c r="F106" s="173">
        <f t="shared" si="32"/>
        <v>-567786.0189134063</v>
      </c>
      <c r="G106" s="173">
        <f t="shared" si="32"/>
        <v>-283343.22269608756</v>
      </c>
      <c r="H106" s="173">
        <f t="shared" si="32"/>
        <v>-127771.18486927496</v>
      </c>
      <c r="I106" s="173">
        <f t="shared" si="32"/>
        <v>-48594.47431856109</v>
      </c>
      <c r="J106" s="173">
        <f t="shared" si="32"/>
        <v>-19297.237159280547</v>
      </c>
      <c r="K106" s="173">
        <f t="shared" si="32"/>
        <v>-4648.618579640273</v>
      </c>
      <c r="L106" s="173">
        <f aca="true" t="shared" si="33" ref="L106">$L88-L88</f>
        <v>0</v>
      </c>
      <c r="M106" s="173">
        <f>IF($L88-M88&lt;0,0,$L88-M88)</f>
        <v>10000</v>
      </c>
    </row>
    <row r="107" spans="2:13" ht="15">
      <c r="B107" s="701"/>
      <c r="C107" s="170">
        <v>0.001</v>
      </c>
      <c r="D107" s="173">
        <f>IF($M88-D88&gt;0,0,$M88-D88)</f>
        <v>-732778.2054473887</v>
      </c>
      <c r="E107" s="173">
        <f aca="true" t="shared" si="34" ref="E107:M107">IF($M88-E88&gt;0,0,$M88-E88)</f>
        <v>-732778.2054473887</v>
      </c>
      <c r="F107" s="173">
        <f t="shared" si="34"/>
        <v>-577786.0189134063</v>
      </c>
      <c r="G107" s="173">
        <f t="shared" si="34"/>
        <v>-293343.22269608756</v>
      </c>
      <c r="H107" s="173">
        <f t="shared" si="34"/>
        <v>-137771.18486927496</v>
      </c>
      <c r="I107" s="173">
        <f t="shared" si="34"/>
        <v>-58594.47431856109</v>
      </c>
      <c r="J107" s="173">
        <f t="shared" si="34"/>
        <v>-29297.237159280547</v>
      </c>
      <c r="K107" s="173">
        <f t="shared" si="34"/>
        <v>-14648.618579640273</v>
      </c>
      <c r="L107" s="173">
        <f t="shared" si="34"/>
        <v>-10000</v>
      </c>
      <c r="M107" s="173">
        <f t="shared" si="34"/>
        <v>0</v>
      </c>
    </row>
    <row r="109" spans="5:6" ht="15">
      <c r="E109" s="163" t="s">
        <v>262</v>
      </c>
      <c r="F109" s="163" t="s">
        <v>280</v>
      </c>
    </row>
    <row r="110" spans="1:13" ht="15">
      <c r="A110" s="711" t="str">
        <f>C17</f>
        <v>BRANCH LINE</v>
      </c>
      <c r="B110" s="590"/>
      <c r="C110" s="590"/>
      <c r="D110" s="169">
        <v>1</v>
      </c>
      <c r="E110" s="169">
        <v>0.5</v>
      </c>
      <c r="F110" s="169">
        <v>0.2</v>
      </c>
      <c r="G110" s="169">
        <v>0.1</v>
      </c>
      <c r="H110" s="169">
        <v>0.04</v>
      </c>
      <c r="I110" s="169">
        <v>0.02</v>
      </c>
      <c r="J110" s="407">
        <v>0.0133</v>
      </c>
      <c r="K110" s="169">
        <v>0.01</v>
      </c>
      <c r="L110" s="170">
        <v>0.005</v>
      </c>
      <c r="M110" s="170">
        <v>0.001</v>
      </c>
    </row>
    <row r="111" spans="3:14" ht="15">
      <c r="C111" s="169">
        <v>1</v>
      </c>
      <c r="D111" s="173">
        <f>IF($D89-D89&lt;0,0,$D89-D89)</f>
        <v>0</v>
      </c>
      <c r="E111" s="173">
        <f aca="true" t="shared" si="35" ref="E111:M111">IF($D89-E89&lt;0,0,$D89-E89)</f>
        <v>0</v>
      </c>
      <c r="F111" s="173">
        <f t="shared" si="35"/>
        <v>77496.0932669912</v>
      </c>
      <c r="G111" s="173">
        <f t="shared" si="35"/>
        <v>219717.49137565057</v>
      </c>
      <c r="H111" s="173">
        <f t="shared" si="35"/>
        <v>297503.51028905687</v>
      </c>
      <c r="I111" s="173">
        <f t="shared" si="35"/>
        <v>337091.8655644138</v>
      </c>
      <c r="J111" s="173">
        <f t="shared" si="35"/>
        <v>351740.48414405406</v>
      </c>
      <c r="K111" s="173">
        <f t="shared" si="35"/>
        <v>359064.7934338742</v>
      </c>
      <c r="L111" s="173">
        <f t="shared" si="35"/>
        <v>361389.10272369435</v>
      </c>
      <c r="M111" s="173">
        <f t="shared" si="35"/>
        <v>366389.10272369435</v>
      </c>
      <c r="N111" s="163" t="s">
        <v>366</v>
      </c>
    </row>
    <row r="112" spans="2:13" ht="15" customHeight="1">
      <c r="B112" s="163" t="s">
        <v>261</v>
      </c>
      <c r="C112" s="169">
        <v>0.5</v>
      </c>
      <c r="D112" s="173">
        <f>IF($E89-D89&gt;0,0,$E89-D89)</f>
        <v>0</v>
      </c>
      <c r="E112" s="173">
        <f aca="true" t="shared" si="36" ref="E112">$E89-E89</f>
        <v>0</v>
      </c>
      <c r="F112" s="173">
        <f>IF($E89-F89&lt;0,0,$E89-F89)</f>
        <v>77496.0932669912</v>
      </c>
      <c r="G112" s="173">
        <f aca="true" t="shared" si="37" ref="G112:M112">IF($E89-G89&lt;0,0,$E89-G89)</f>
        <v>219717.49137565057</v>
      </c>
      <c r="H112" s="173">
        <f t="shared" si="37"/>
        <v>297503.51028905687</v>
      </c>
      <c r="I112" s="173">
        <f t="shared" si="37"/>
        <v>337091.8655644138</v>
      </c>
      <c r="J112" s="173">
        <f t="shared" si="37"/>
        <v>351740.48414405406</v>
      </c>
      <c r="K112" s="173">
        <f t="shared" si="37"/>
        <v>359064.7934338742</v>
      </c>
      <c r="L112" s="173">
        <f t="shared" si="37"/>
        <v>361389.10272369435</v>
      </c>
      <c r="M112" s="173">
        <f t="shared" si="37"/>
        <v>366389.10272369435</v>
      </c>
    </row>
    <row r="113" spans="2:13" ht="15">
      <c r="B113" s="700" t="s">
        <v>281</v>
      </c>
      <c r="C113" s="169">
        <v>0.2</v>
      </c>
      <c r="D113" s="173">
        <f>IF($F89-D89&gt;0,0,$F89-D89)</f>
        <v>-77496.0932669912</v>
      </c>
      <c r="E113" s="173">
        <f>IF($F89-E89&gt;0,0,$F89-E89)</f>
        <v>-77496.0932669912</v>
      </c>
      <c r="F113" s="173">
        <f aca="true" t="shared" si="38" ref="F113">$F89-F89</f>
        <v>0</v>
      </c>
      <c r="G113" s="173">
        <f>IF($F89-G89&lt;0,0,$F89-G89)</f>
        <v>142221.39810865937</v>
      </c>
      <c r="H113" s="173">
        <f aca="true" t="shared" si="39" ref="H113:M113">IF($F89-H89&lt;0,0,$F89-H89)</f>
        <v>220007.41702206567</v>
      </c>
      <c r="I113" s="173">
        <f t="shared" si="39"/>
        <v>259595.7722974226</v>
      </c>
      <c r="J113" s="173">
        <f t="shared" si="39"/>
        <v>274244.39087706286</v>
      </c>
      <c r="K113" s="173">
        <f t="shared" si="39"/>
        <v>281568.700166883</v>
      </c>
      <c r="L113" s="173">
        <f t="shared" si="39"/>
        <v>283893.00945670315</v>
      </c>
      <c r="M113" s="173">
        <f t="shared" si="39"/>
        <v>288893.00945670315</v>
      </c>
    </row>
    <row r="114" spans="2:13" ht="15">
      <c r="B114" s="701"/>
      <c r="C114" s="169">
        <v>0.1</v>
      </c>
      <c r="D114" s="173">
        <f>IF($G89-D89&gt;0,0,$G89-D89)</f>
        <v>-219717.49137565057</v>
      </c>
      <c r="E114" s="173">
        <f aca="true" t="shared" si="40" ref="E114:F114">IF($G89-E89&gt;0,0,$G89-E89)</f>
        <v>-219717.49137565057</v>
      </c>
      <c r="F114" s="173">
        <f t="shared" si="40"/>
        <v>-142221.39810865937</v>
      </c>
      <c r="G114" s="173">
        <f aca="true" t="shared" si="41" ref="G114">$G89-G89</f>
        <v>0</v>
      </c>
      <c r="H114" s="173">
        <f>IF($G89-H89&lt;0,0,$G89-H89)</f>
        <v>77786.0189134063</v>
      </c>
      <c r="I114" s="173">
        <f aca="true" t="shared" si="42" ref="I114:M114">IF($G89-I89&lt;0,0,$G89-I89)</f>
        <v>117374.37418876323</v>
      </c>
      <c r="J114" s="173">
        <f t="shared" si="42"/>
        <v>132022.9927684035</v>
      </c>
      <c r="K114" s="173">
        <f t="shared" si="42"/>
        <v>139347.30205822363</v>
      </c>
      <c r="L114" s="173">
        <f t="shared" si="42"/>
        <v>141671.61134804378</v>
      </c>
      <c r="M114" s="173">
        <f t="shared" si="42"/>
        <v>146671.61134804378</v>
      </c>
    </row>
    <row r="115" spans="2:13" ht="15">
      <c r="B115" s="701"/>
      <c r="C115" s="169">
        <v>0.04</v>
      </c>
      <c r="D115" s="173">
        <f>IF($H89-D89&gt;0,0,$H89-D89)</f>
        <v>-297503.51028905687</v>
      </c>
      <c r="E115" s="173">
        <f aca="true" t="shared" si="43" ref="E115:G115">IF($H89-E89&gt;0,0,$H89-E89)</f>
        <v>-297503.51028905687</v>
      </c>
      <c r="F115" s="173">
        <f t="shared" si="43"/>
        <v>-220007.41702206567</v>
      </c>
      <c r="G115" s="173">
        <f t="shared" si="43"/>
        <v>-77786.0189134063</v>
      </c>
      <c r="H115" s="173">
        <f aca="true" t="shared" si="44" ref="H115">$H89-H89</f>
        <v>0</v>
      </c>
      <c r="I115" s="173">
        <f>IF($H89-I89&lt;0,0,$H89-I89)</f>
        <v>39588.35527535694</v>
      </c>
      <c r="J115" s="173">
        <f aca="true" t="shared" si="45" ref="J115:M115">IF($H89-J89&lt;0,0,$H89-J89)</f>
        <v>54236.97385499721</v>
      </c>
      <c r="K115" s="173">
        <f t="shared" si="45"/>
        <v>61561.283144817346</v>
      </c>
      <c r="L115" s="173">
        <f t="shared" si="45"/>
        <v>63885.59243463748</v>
      </c>
      <c r="M115" s="173">
        <f t="shared" si="45"/>
        <v>68885.59243463748</v>
      </c>
    </row>
    <row r="116" spans="2:13" ht="15">
      <c r="B116" s="701"/>
      <c r="C116" s="169">
        <v>0.02</v>
      </c>
      <c r="D116" s="173">
        <f>IF($I89-D89&gt;0,0,$I89-D89)</f>
        <v>-337091.8655644138</v>
      </c>
      <c r="E116" s="173">
        <f aca="true" t="shared" si="46" ref="E116:H116">IF($I89-E89&gt;0,0,$I89-E89)</f>
        <v>-337091.8655644138</v>
      </c>
      <c r="F116" s="173">
        <f t="shared" si="46"/>
        <v>-259595.7722974226</v>
      </c>
      <c r="G116" s="173">
        <f t="shared" si="46"/>
        <v>-117374.37418876323</v>
      </c>
      <c r="H116" s="173">
        <f t="shared" si="46"/>
        <v>-39588.35527535694</v>
      </c>
      <c r="I116" s="173">
        <f aca="true" t="shared" si="47" ref="I116">$I89-I89</f>
        <v>0</v>
      </c>
      <c r="J116" s="173">
        <f>IF($I89-J89&lt;0,0,$I89-J89)</f>
        <v>14648.618579640273</v>
      </c>
      <c r="K116" s="173">
        <f aca="true" t="shared" si="48" ref="K116:M116">IF($I89-K89&lt;0,0,$I89-K89)</f>
        <v>21972.92786946041</v>
      </c>
      <c r="L116" s="173">
        <f t="shared" si="48"/>
        <v>24297.237159280547</v>
      </c>
      <c r="M116" s="173">
        <f t="shared" si="48"/>
        <v>29297.237159280547</v>
      </c>
    </row>
    <row r="117" spans="2:13" ht="15">
      <c r="B117" s="701"/>
      <c r="C117" s="407">
        <v>0.0133</v>
      </c>
      <c r="D117" s="173">
        <f>IF($J89-D89&gt;0,0,$J89-D89)</f>
        <v>-351740.48414405406</v>
      </c>
      <c r="E117" s="173">
        <f aca="true" t="shared" si="49" ref="E117:I117">IF($J89-E89&gt;0,0,$J89-E89)</f>
        <v>-351740.48414405406</v>
      </c>
      <c r="F117" s="173">
        <f t="shared" si="49"/>
        <v>-274244.39087706286</v>
      </c>
      <c r="G117" s="173">
        <f t="shared" si="49"/>
        <v>-132022.9927684035</v>
      </c>
      <c r="H117" s="173">
        <f t="shared" si="49"/>
        <v>-54236.97385499721</v>
      </c>
      <c r="I117" s="173">
        <f t="shared" si="49"/>
        <v>-14648.618579640273</v>
      </c>
      <c r="J117" s="173">
        <f aca="true" t="shared" si="50" ref="J117">$J89-J89</f>
        <v>0</v>
      </c>
      <c r="K117" s="173">
        <f>IF($J89-K89&lt;0,0,$J89-K89)</f>
        <v>7324.309289820137</v>
      </c>
      <c r="L117" s="173">
        <f aca="true" t="shared" si="51" ref="L117:M117">IF($J89-L89&lt;0,0,$J89-L89)</f>
        <v>9648.618579640273</v>
      </c>
      <c r="M117" s="173">
        <f t="shared" si="51"/>
        <v>14648.618579640273</v>
      </c>
    </row>
    <row r="118" spans="2:13" ht="15">
      <c r="B118" s="701"/>
      <c r="C118" s="169">
        <v>0.01</v>
      </c>
      <c r="D118" s="173">
        <f>IF($K89-D89&gt;0,0,$K89-D89)</f>
        <v>-359064.7934338742</v>
      </c>
      <c r="E118" s="173">
        <f aca="true" t="shared" si="52" ref="E118:J118">IF($K89-E89&gt;0,0,$K89-E89)</f>
        <v>-359064.7934338742</v>
      </c>
      <c r="F118" s="173">
        <f t="shared" si="52"/>
        <v>-281568.700166883</v>
      </c>
      <c r="G118" s="173">
        <f t="shared" si="52"/>
        <v>-139347.30205822363</v>
      </c>
      <c r="H118" s="173">
        <f t="shared" si="52"/>
        <v>-61561.283144817346</v>
      </c>
      <c r="I118" s="173">
        <f t="shared" si="52"/>
        <v>-21972.92786946041</v>
      </c>
      <c r="J118" s="173">
        <f t="shared" si="52"/>
        <v>-7324.309289820137</v>
      </c>
      <c r="K118" s="173">
        <f aca="true" t="shared" si="53" ref="K118">$K89-K89</f>
        <v>0</v>
      </c>
      <c r="L118" s="173">
        <f>IF($K89-L89&lt;0,0,$K89-L89)</f>
        <v>2324.3092898201367</v>
      </c>
      <c r="M118" s="173">
        <f>IF($K89-M89&lt;0,0,$K89-M89)</f>
        <v>7324.309289820137</v>
      </c>
    </row>
    <row r="119" spans="2:13" ht="15">
      <c r="B119" s="701"/>
      <c r="C119" s="170">
        <v>0.005</v>
      </c>
      <c r="D119" s="173">
        <f>IF($L89-D89&gt;0,0,$L89-D89)</f>
        <v>-361389.10272369435</v>
      </c>
      <c r="E119" s="173">
        <f aca="true" t="shared" si="54" ref="E119:K119">IF($L89-E89&gt;0,0,$L89-E89)</f>
        <v>-361389.10272369435</v>
      </c>
      <c r="F119" s="173">
        <f t="shared" si="54"/>
        <v>-283893.00945670315</v>
      </c>
      <c r="G119" s="173">
        <f t="shared" si="54"/>
        <v>-141671.61134804378</v>
      </c>
      <c r="H119" s="173">
        <f t="shared" si="54"/>
        <v>-63885.59243463748</v>
      </c>
      <c r="I119" s="173">
        <f t="shared" si="54"/>
        <v>-24297.237159280547</v>
      </c>
      <c r="J119" s="173">
        <f t="shared" si="54"/>
        <v>-9648.618579640273</v>
      </c>
      <c r="K119" s="173">
        <f t="shared" si="54"/>
        <v>-2324.3092898201367</v>
      </c>
      <c r="L119" s="173">
        <f aca="true" t="shared" si="55" ref="L119">$L89-L89</f>
        <v>0</v>
      </c>
      <c r="M119" s="173">
        <f>IF($L89-M89&lt;0,0,$L89-M89)</f>
        <v>5000</v>
      </c>
    </row>
    <row r="120" spans="2:13" ht="15">
      <c r="B120" s="701"/>
      <c r="C120" s="170">
        <v>0.001</v>
      </c>
      <c r="D120" s="173">
        <f>IF($M89-D89&gt;0,0,$M89-D89)</f>
        <v>-366389.10272369435</v>
      </c>
      <c r="E120" s="173">
        <f aca="true" t="shared" si="56" ref="E120:L120">IF($M89-E89&gt;0,0,$M89-E89)</f>
        <v>-366389.10272369435</v>
      </c>
      <c r="F120" s="173">
        <f t="shared" si="56"/>
        <v>-288893.00945670315</v>
      </c>
      <c r="G120" s="173">
        <f t="shared" si="56"/>
        <v>-146671.61134804378</v>
      </c>
      <c r="H120" s="173">
        <f t="shared" si="56"/>
        <v>-68885.59243463748</v>
      </c>
      <c r="I120" s="173">
        <f t="shared" si="56"/>
        <v>-29297.237159280547</v>
      </c>
      <c r="J120" s="173">
        <f t="shared" si="56"/>
        <v>-14648.618579640273</v>
      </c>
      <c r="K120" s="173">
        <f t="shared" si="56"/>
        <v>-7324.309289820137</v>
      </c>
      <c r="L120" s="173">
        <f t="shared" si="56"/>
        <v>-5000</v>
      </c>
      <c r="M120" s="173">
        <f aca="true" t="shared" si="57" ref="M120">$M89-M89</f>
        <v>0</v>
      </c>
    </row>
    <row r="122" spans="5:6" ht="15">
      <c r="E122" s="163" t="s">
        <v>262</v>
      </c>
      <c r="F122" s="163" t="s">
        <v>280</v>
      </c>
    </row>
    <row r="123" spans="1:13" ht="15">
      <c r="A123" s="711" t="str">
        <f>A30</f>
        <v>STATIONS</v>
      </c>
      <c r="B123" s="590"/>
      <c r="C123" s="590"/>
      <c r="D123" s="169">
        <v>1</v>
      </c>
      <c r="E123" s="169">
        <v>0.5</v>
      </c>
      <c r="F123" s="169">
        <v>0.2</v>
      </c>
      <c r="G123" s="169">
        <v>0.1</v>
      </c>
      <c r="H123" s="169">
        <v>0.04</v>
      </c>
      <c r="I123" s="169">
        <v>0.02</v>
      </c>
      <c r="J123" s="407">
        <v>0.0133</v>
      </c>
      <c r="K123" s="169">
        <v>0.01</v>
      </c>
      <c r="L123" s="170">
        <v>0.005</v>
      </c>
      <c r="M123" s="170">
        <v>0.001</v>
      </c>
    </row>
    <row r="124" spans="3:14" ht="15">
      <c r="C124" s="169">
        <v>1</v>
      </c>
      <c r="D124" s="173">
        <f>IF($D90-D90&lt;0,0,$D90-D90)</f>
        <v>0</v>
      </c>
      <c r="E124" s="173">
        <f aca="true" t="shared" si="58" ref="E124:M124">IF($D90-E90&lt;0,0,$D90-E90)</f>
        <v>0</v>
      </c>
      <c r="F124" s="173">
        <f t="shared" si="58"/>
        <v>282940.09519834124</v>
      </c>
      <c r="G124" s="173">
        <f t="shared" si="58"/>
        <v>287947.34835246904</v>
      </c>
      <c r="H124" s="173">
        <f t="shared" si="58"/>
        <v>290685.99593807093</v>
      </c>
      <c r="I124" s="173">
        <f t="shared" si="58"/>
        <v>292079.8010859279</v>
      </c>
      <c r="J124" s="173">
        <f t="shared" si="58"/>
        <v>292595.5416324417</v>
      </c>
      <c r="K124" s="173">
        <f t="shared" si="58"/>
        <v>292853.4119056986</v>
      </c>
      <c r="L124" s="173">
        <f t="shared" si="58"/>
        <v>292935.24491519923</v>
      </c>
      <c r="M124" s="173">
        <f t="shared" si="58"/>
        <v>293111.2821789555</v>
      </c>
      <c r="N124" s="163" t="s">
        <v>366</v>
      </c>
    </row>
    <row r="125" spans="2:13" ht="15" customHeight="1">
      <c r="B125" s="163" t="s">
        <v>261</v>
      </c>
      <c r="C125" s="169">
        <v>0.5</v>
      </c>
      <c r="D125" s="173">
        <f>IF($E90-D90&gt;0,0,$E90-D90)</f>
        <v>0</v>
      </c>
      <c r="E125" s="173">
        <f aca="true" t="shared" si="59" ref="E125">$E90-E90</f>
        <v>0</v>
      </c>
      <c r="F125" s="173">
        <f>IF($E90-F90&lt;0,0,$E90-F90)</f>
        <v>282940.09519834124</v>
      </c>
      <c r="G125" s="173">
        <f aca="true" t="shared" si="60" ref="G125:M125">IF($E90-G90&lt;0,0,$E90-G90)</f>
        <v>287947.34835246904</v>
      </c>
      <c r="H125" s="173">
        <f t="shared" si="60"/>
        <v>290685.99593807093</v>
      </c>
      <c r="I125" s="173">
        <f t="shared" si="60"/>
        <v>292079.8010859279</v>
      </c>
      <c r="J125" s="173">
        <f t="shared" si="60"/>
        <v>292595.5416324417</v>
      </c>
      <c r="K125" s="173">
        <f t="shared" si="60"/>
        <v>292853.4119056986</v>
      </c>
      <c r="L125" s="173">
        <f t="shared" si="60"/>
        <v>292935.24491519923</v>
      </c>
      <c r="M125" s="173">
        <f t="shared" si="60"/>
        <v>293111.2821789555</v>
      </c>
    </row>
    <row r="126" spans="2:13" ht="15">
      <c r="B126" s="700" t="s">
        <v>281</v>
      </c>
      <c r="C126" s="169">
        <v>0.2</v>
      </c>
      <c r="D126" s="173">
        <f>IF($F90-D90&gt;0,0,$F90-D90)</f>
        <v>-282940.09519834124</v>
      </c>
      <c r="E126" s="173">
        <f>IF($F90-E90&gt;0,0,$F90-E90)</f>
        <v>-282940.09519834124</v>
      </c>
      <c r="F126" s="173">
        <f aca="true" t="shared" si="61" ref="F126">$F90-F90</f>
        <v>0</v>
      </c>
      <c r="G126" s="173">
        <f>IF($F90-G90&lt;0,0,$F90-G90)</f>
        <v>5007.253154127809</v>
      </c>
      <c r="H126" s="173">
        <f aca="true" t="shared" si="62" ref="H126:M126">IF($F90-H90&lt;0,0,$F90-H90)</f>
        <v>7745.900739729654</v>
      </c>
      <c r="I126" s="173">
        <f t="shared" si="62"/>
        <v>9139.705887586613</v>
      </c>
      <c r="J126" s="173">
        <f t="shared" si="62"/>
        <v>9655.446434100428</v>
      </c>
      <c r="K126" s="173">
        <f t="shared" si="62"/>
        <v>9913.316707357337</v>
      </c>
      <c r="L126" s="173">
        <f t="shared" si="62"/>
        <v>9995.149716857977</v>
      </c>
      <c r="M126" s="173">
        <f t="shared" si="62"/>
        <v>10171.186980614244</v>
      </c>
    </row>
    <row r="127" spans="2:13" ht="15">
      <c r="B127" s="701"/>
      <c r="C127" s="169">
        <v>0.1</v>
      </c>
      <c r="D127" s="173">
        <f>IF($G90-D90&gt;0,0,$G90-D90)</f>
        <v>-287947.34835246904</v>
      </c>
      <c r="E127" s="173">
        <f aca="true" t="shared" si="63" ref="E127:F127">IF($G90-E90&gt;0,0,$G90-E90)</f>
        <v>-287947.34835246904</v>
      </c>
      <c r="F127" s="173">
        <f t="shared" si="63"/>
        <v>-5007.253154127809</v>
      </c>
      <c r="G127" s="173">
        <f aca="true" t="shared" si="64" ref="G127">$G90-G90</f>
        <v>0</v>
      </c>
      <c r="H127" s="173">
        <f>IF($G90-H90&lt;0,0,$G90-H90)</f>
        <v>2738.6475856018455</v>
      </c>
      <c r="I127" s="173">
        <f aca="true" t="shared" si="65" ref="I127:M127">IF($G90-I90&lt;0,0,$G90-I90)</f>
        <v>4132.452733458804</v>
      </c>
      <c r="J127" s="173">
        <f t="shared" si="65"/>
        <v>4648.19327997262</v>
      </c>
      <c r="K127" s="173">
        <f t="shared" si="65"/>
        <v>4906.063553229527</v>
      </c>
      <c r="L127" s="173">
        <f t="shared" si="65"/>
        <v>4987.896562730169</v>
      </c>
      <c r="M127" s="173">
        <f t="shared" si="65"/>
        <v>5163.9338264864355</v>
      </c>
    </row>
    <row r="128" spans="2:13" ht="15">
      <c r="B128" s="701"/>
      <c r="C128" s="169">
        <v>0.04</v>
      </c>
      <c r="D128" s="173">
        <f>IF($H90-D90&gt;0,0,$H90-D90)</f>
        <v>-290685.99593807093</v>
      </c>
      <c r="E128" s="173">
        <f aca="true" t="shared" si="66" ref="E128:G128">IF($H90-E90&gt;0,0,$H90-E90)</f>
        <v>-290685.99593807093</v>
      </c>
      <c r="F128" s="173">
        <f t="shared" si="66"/>
        <v>-7745.900739729654</v>
      </c>
      <c r="G128" s="173">
        <f t="shared" si="66"/>
        <v>-2738.6475856018455</v>
      </c>
      <c r="H128" s="173">
        <f aca="true" t="shared" si="67" ref="H128">$H90-H90</f>
        <v>0</v>
      </c>
      <c r="I128" s="173">
        <f>IF($H90-I90&lt;0,0,$H90-I90)</f>
        <v>1393.8051478569582</v>
      </c>
      <c r="J128" s="173">
        <f aca="true" t="shared" si="68" ref="J128:M128">IF($H90-J90&lt;0,0,$H90-J90)</f>
        <v>1909.545694370774</v>
      </c>
      <c r="K128" s="173">
        <f t="shared" si="68"/>
        <v>2167.415967627682</v>
      </c>
      <c r="L128" s="173">
        <f t="shared" si="68"/>
        <v>2249.2489771283235</v>
      </c>
      <c r="M128" s="173">
        <f t="shared" si="68"/>
        <v>2425.28624088459</v>
      </c>
    </row>
    <row r="129" spans="2:13" ht="15">
      <c r="B129" s="701"/>
      <c r="C129" s="169">
        <v>0.02</v>
      </c>
      <c r="D129" s="173">
        <f>IF($I90-D90&gt;0,0,$I90-D90)</f>
        <v>-292079.8010859279</v>
      </c>
      <c r="E129" s="173">
        <f aca="true" t="shared" si="69" ref="E129:H129">IF($I90-E90&gt;0,0,$I90-E90)</f>
        <v>-292079.8010859279</v>
      </c>
      <c r="F129" s="173">
        <f t="shared" si="69"/>
        <v>-9139.705887586613</v>
      </c>
      <c r="G129" s="173">
        <f t="shared" si="69"/>
        <v>-4132.452733458804</v>
      </c>
      <c r="H129" s="173">
        <f t="shared" si="69"/>
        <v>-1393.8051478569582</v>
      </c>
      <c r="I129" s="173">
        <f aca="true" t="shared" si="70" ref="I129">$I90-I90</f>
        <v>0</v>
      </c>
      <c r="J129" s="173">
        <f>IF($I90-J90&lt;0,0,$I90-J90)</f>
        <v>515.7405465138158</v>
      </c>
      <c r="K129" s="173">
        <f aca="true" t="shared" si="71" ref="K129:M129">IF($I90-K90&lt;0,0,$I90-K90)</f>
        <v>773.6108197707238</v>
      </c>
      <c r="L129" s="173">
        <f t="shared" si="71"/>
        <v>855.4438292713653</v>
      </c>
      <c r="M129" s="173">
        <f t="shared" si="71"/>
        <v>1031.4810930276317</v>
      </c>
    </row>
    <row r="130" spans="2:13" ht="15">
      <c r="B130" s="701"/>
      <c r="C130" s="407">
        <v>0.0133</v>
      </c>
      <c r="D130" s="173">
        <f>IF($J90-D90&gt;0,0,$J90-D90)</f>
        <v>-292595.5416324417</v>
      </c>
      <c r="E130" s="173">
        <f aca="true" t="shared" si="72" ref="E130:I130">IF($J90-E90&gt;0,0,$J90-E90)</f>
        <v>-292595.5416324417</v>
      </c>
      <c r="F130" s="173">
        <f t="shared" si="72"/>
        <v>-9655.446434100428</v>
      </c>
      <c r="G130" s="173">
        <f t="shared" si="72"/>
        <v>-4648.19327997262</v>
      </c>
      <c r="H130" s="173">
        <f t="shared" si="72"/>
        <v>-1909.545694370774</v>
      </c>
      <c r="I130" s="173">
        <f t="shared" si="72"/>
        <v>-515.7405465138158</v>
      </c>
      <c r="J130" s="173">
        <f aca="true" t="shared" si="73" ref="J130">$J90-J90</f>
        <v>0</v>
      </c>
      <c r="K130" s="173">
        <f>IF($J90-K90&lt;0,0,$J90-K90)</f>
        <v>257.8702732569079</v>
      </c>
      <c r="L130" s="173">
        <f aca="true" t="shared" si="74" ref="L130:M130">IF($J90-L90&lt;0,0,$J90-L90)</f>
        <v>339.70328275754946</v>
      </c>
      <c r="M130" s="173">
        <f t="shared" si="74"/>
        <v>515.7405465138158</v>
      </c>
    </row>
    <row r="131" spans="2:13" ht="15">
      <c r="B131" s="701"/>
      <c r="C131" s="169">
        <v>0.01</v>
      </c>
      <c r="D131" s="173">
        <f>IF($K90-D90&gt;0,0,$K90-D90)</f>
        <v>-292853.4119056986</v>
      </c>
      <c r="E131" s="173">
        <f aca="true" t="shared" si="75" ref="E131:J131">IF($K90-E90&gt;0,0,$K90-E90)</f>
        <v>-292853.4119056986</v>
      </c>
      <c r="F131" s="173">
        <f t="shared" si="75"/>
        <v>-9913.316707357337</v>
      </c>
      <c r="G131" s="173">
        <f t="shared" si="75"/>
        <v>-4906.063553229527</v>
      </c>
      <c r="H131" s="173">
        <f t="shared" si="75"/>
        <v>-2167.415967627682</v>
      </c>
      <c r="I131" s="173">
        <f t="shared" si="75"/>
        <v>-773.6108197707238</v>
      </c>
      <c r="J131" s="173">
        <f t="shared" si="75"/>
        <v>-257.8702732569079</v>
      </c>
      <c r="K131" s="173">
        <f aca="true" t="shared" si="76" ref="K131">$K90-K90</f>
        <v>0</v>
      </c>
      <c r="L131" s="173">
        <f>IF($K90-L90&lt;0,0,$K90-L90)</f>
        <v>81.83300950064151</v>
      </c>
      <c r="M131" s="173">
        <f>IF($K90-M90&lt;0,0,$K90-M90)</f>
        <v>257.8702732569079</v>
      </c>
    </row>
    <row r="132" spans="2:13" ht="15">
      <c r="B132" s="701"/>
      <c r="C132" s="170">
        <v>0.005</v>
      </c>
      <c r="D132" s="173">
        <f>IF($L90-D90&gt;0,0,$L90-D90)</f>
        <v>-292935.24491519923</v>
      </c>
      <c r="E132" s="173">
        <f aca="true" t="shared" si="77" ref="E132:K132">IF($L90-E90&gt;0,0,$L90-E90)</f>
        <v>-292935.24491519923</v>
      </c>
      <c r="F132" s="173">
        <f t="shared" si="77"/>
        <v>-9995.149716857977</v>
      </c>
      <c r="G132" s="173">
        <f t="shared" si="77"/>
        <v>-4987.896562730169</v>
      </c>
      <c r="H132" s="173">
        <f t="shared" si="77"/>
        <v>-2249.2489771283235</v>
      </c>
      <c r="I132" s="173">
        <f t="shared" si="77"/>
        <v>-855.4438292713653</v>
      </c>
      <c r="J132" s="173">
        <f t="shared" si="77"/>
        <v>-339.70328275754946</v>
      </c>
      <c r="K132" s="173">
        <f t="shared" si="77"/>
        <v>-81.83300950064151</v>
      </c>
      <c r="L132" s="173">
        <f aca="true" t="shared" si="78" ref="L132">$L90-L90</f>
        <v>0</v>
      </c>
      <c r="M132" s="173">
        <f>IF($L90-M90&lt;0,0,$L90-M90)</f>
        <v>176.0372637562664</v>
      </c>
    </row>
    <row r="133" spans="2:13" ht="15">
      <c r="B133" s="701"/>
      <c r="C133" s="170">
        <v>0.001</v>
      </c>
      <c r="D133" s="173">
        <f>IF($M90-D90&gt;0,0,$M90-D90)</f>
        <v>-293111.2821789555</v>
      </c>
      <c r="E133" s="173">
        <f aca="true" t="shared" si="79" ref="E133:L133">IF($M90-E90&gt;0,0,$M90-E90)</f>
        <v>-293111.2821789555</v>
      </c>
      <c r="F133" s="173">
        <f t="shared" si="79"/>
        <v>-10171.186980614244</v>
      </c>
      <c r="G133" s="173">
        <f t="shared" si="79"/>
        <v>-5163.9338264864355</v>
      </c>
      <c r="H133" s="173">
        <f t="shared" si="79"/>
        <v>-2425.28624088459</v>
      </c>
      <c r="I133" s="173">
        <f t="shared" si="79"/>
        <v>-1031.4810930276317</v>
      </c>
      <c r="J133" s="173">
        <f t="shared" si="79"/>
        <v>-515.7405465138158</v>
      </c>
      <c r="K133" s="173">
        <f t="shared" si="79"/>
        <v>-257.8702732569079</v>
      </c>
      <c r="L133" s="173">
        <f t="shared" si="79"/>
        <v>-176.0372637562664</v>
      </c>
      <c r="M133" s="173">
        <f aca="true" t="shared" si="80" ref="M133">$M90-M90</f>
        <v>0</v>
      </c>
    </row>
    <row r="135" spans="5:6" ht="15">
      <c r="E135" s="163" t="s">
        <v>262</v>
      </c>
      <c r="F135" s="163" t="s">
        <v>280</v>
      </c>
    </row>
    <row r="136" spans="1:13" ht="15">
      <c r="A136" s="711" t="s">
        <v>905</v>
      </c>
      <c r="B136" s="590"/>
      <c r="C136" s="590"/>
      <c r="D136" s="169">
        <v>1</v>
      </c>
      <c r="E136" s="169">
        <v>0.5</v>
      </c>
      <c r="F136" s="169">
        <v>0.2</v>
      </c>
      <c r="G136" s="169">
        <v>0.1</v>
      </c>
      <c r="H136" s="169">
        <v>0.04</v>
      </c>
      <c r="I136" s="169">
        <v>0.02</v>
      </c>
      <c r="J136" s="407">
        <v>0.0133</v>
      </c>
      <c r="K136" s="169">
        <v>0.01</v>
      </c>
      <c r="L136" s="170">
        <v>0.005</v>
      </c>
      <c r="M136" s="170">
        <v>0.001</v>
      </c>
    </row>
    <row r="137" spans="3:13" ht="15">
      <c r="C137" s="169">
        <v>1</v>
      </c>
      <c r="D137" s="173">
        <f aca="true" t="shared" si="81" ref="D137:M137">D98*D5+D18*D111+D31*D124</f>
        <v>0</v>
      </c>
      <c r="E137" s="173">
        <f t="shared" si="81"/>
        <v>0</v>
      </c>
      <c r="F137" s="173">
        <f t="shared" si="81"/>
        <v>0</v>
      </c>
      <c r="G137" s="173">
        <f t="shared" si="81"/>
        <v>0</v>
      </c>
      <c r="H137" s="173">
        <f t="shared" si="81"/>
        <v>0</v>
      </c>
      <c r="I137" s="173">
        <f t="shared" si="81"/>
        <v>0</v>
      </c>
      <c r="J137" s="173">
        <f t="shared" si="81"/>
        <v>0</v>
      </c>
      <c r="K137" s="173">
        <f t="shared" si="81"/>
        <v>0</v>
      </c>
      <c r="L137" s="173">
        <f t="shared" si="81"/>
        <v>0</v>
      </c>
      <c r="M137" s="173">
        <f t="shared" si="81"/>
        <v>0</v>
      </c>
    </row>
    <row r="138" spans="2:13" ht="15">
      <c r="B138" s="163" t="s">
        <v>261</v>
      </c>
      <c r="C138" s="169">
        <v>0.5</v>
      </c>
      <c r="D138" s="173">
        <f aca="true" t="shared" si="82" ref="D138:M138">D99*D6+D19*D112+D32*D125</f>
        <v>0</v>
      </c>
      <c r="E138" s="173">
        <f t="shared" si="82"/>
        <v>0</v>
      </c>
      <c r="F138" s="173">
        <f t="shared" si="82"/>
        <v>0</v>
      </c>
      <c r="G138" s="173">
        <f t="shared" si="82"/>
        <v>0</v>
      </c>
      <c r="H138" s="173">
        <f t="shared" si="82"/>
        <v>0</v>
      </c>
      <c r="I138" s="173">
        <f t="shared" si="82"/>
        <v>0</v>
      </c>
      <c r="J138" s="173">
        <f t="shared" si="82"/>
        <v>0</v>
      </c>
      <c r="K138" s="173">
        <f t="shared" si="82"/>
        <v>0</v>
      </c>
      <c r="L138" s="173">
        <f t="shared" si="82"/>
        <v>0</v>
      </c>
      <c r="M138" s="173">
        <f t="shared" si="82"/>
        <v>0</v>
      </c>
    </row>
    <row r="139" spans="2:13" ht="15">
      <c r="B139" s="700" t="s">
        <v>281</v>
      </c>
      <c r="C139" s="169">
        <v>0.2</v>
      </c>
      <c r="D139" s="173">
        <f aca="true" t="shared" si="83" ref="D139:M139">D100*D7+D20*D113+D33*D126</f>
        <v>0</v>
      </c>
      <c r="E139" s="173">
        <f t="shared" si="83"/>
        <v>0</v>
      </c>
      <c r="F139" s="173">
        <f t="shared" si="83"/>
        <v>0</v>
      </c>
      <c r="G139" s="173">
        <f t="shared" si="83"/>
        <v>0</v>
      </c>
      <c r="H139" s="173">
        <f t="shared" si="83"/>
        <v>0</v>
      </c>
      <c r="I139" s="173">
        <f t="shared" si="83"/>
        <v>0</v>
      </c>
      <c r="J139" s="173">
        <f t="shared" si="83"/>
        <v>0</v>
      </c>
      <c r="K139" s="173">
        <f t="shared" si="83"/>
        <v>0</v>
      </c>
      <c r="L139" s="173">
        <f t="shared" si="83"/>
        <v>0</v>
      </c>
      <c r="M139" s="173">
        <f t="shared" si="83"/>
        <v>0</v>
      </c>
    </row>
    <row r="140" spans="2:13" ht="15">
      <c r="B140" s="701"/>
      <c r="C140" s="169">
        <v>0.1</v>
      </c>
      <c r="D140" s="173">
        <f aca="true" t="shared" si="84" ref="D140:M140">D101*D8+D21*D114+D34*D127</f>
        <v>0</v>
      </c>
      <c r="E140" s="173">
        <f t="shared" si="84"/>
        <v>0</v>
      </c>
      <c r="F140" s="173">
        <f t="shared" si="84"/>
        <v>0</v>
      </c>
      <c r="G140" s="173">
        <f t="shared" si="84"/>
        <v>0</v>
      </c>
      <c r="H140" s="173">
        <f t="shared" si="84"/>
        <v>0</v>
      </c>
      <c r="I140" s="173">
        <f t="shared" si="84"/>
        <v>0</v>
      </c>
      <c r="J140" s="173">
        <f t="shared" si="84"/>
        <v>0</v>
      </c>
      <c r="K140" s="173">
        <f t="shared" si="84"/>
        <v>0</v>
      </c>
      <c r="L140" s="173">
        <f t="shared" si="84"/>
        <v>0</v>
      </c>
      <c r="M140" s="173">
        <f t="shared" si="84"/>
        <v>0</v>
      </c>
    </row>
    <row r="141" spans="2:13" ht="15">
      <c r="B141" s="701"/>
      <c r="C141" s="169">
        <v>0.04</v>
      </c>
      <c r="D141" s="173">
        <f aca="true" t="shared" si="85" ref="D141:M141">D102*D9+D22*D115+D35*D128</f>
        <v>0</v>
      </c>
      <c r="E141" s="173">
        <f t="shared" si="85"/>
        <v>0</v>
      </c>
      <c r="F141" s="173">
        <f t="shared" si="85"/>
        <v>0</v>
      </c>
      <c r="G141" s="173">
        <f t="shared" si="85"/>
        <v>0</v>
      </c>
      <c r="H141" s="173">
        <f t="shared" si="85"/>
        <v>0</v>
      </c>
      <c r="I141" s="173">
        <f t="shared" si="85"/>
        <v>0</v>
      </c>
      <c r="J141" s="173">
        <f t="shared" si="85"/>
        <v>0</v>
      </c>
      <c r="K141" s="173">
        <f t="shared" si="85"/>
        <v>0</v>
      </c>
      <c r="L141" s="173">
        <f t="shared" si="85"/>
        <v>0</v>
      </c>
      <c r="M141" s="173">
        <f t="shared" si="85"/>
        <v>0</v>
      </c>
    </row>
    <row r="142" spans="2:13" ht="15">
      <c r="B142" s="701"/>
      <c r="C142" s="169">
        <v>0.02</v>
      </c>
      <c r="D142" s="173">
        <f aca="true" t="shared" si="86" ref="D142:M142">D103*D10+D23*D116+D36*D129</f>
        <v>0</v>
      </c>
      <c r="E142" s="173">
        <f t="shared" si="86"/>
        <v>0</v>
      </c>
      <c r="F142" s="173">
        <f t="shared" si="86"/>
        <v>0</v>
      </c>
      <c r="G142" s="173">
        <f t="shared" si="86"/>
        <v>0</v>
      </c>
      <c r="H142" s="173">
        <f t="shared" si="86"/>
        <v>0</v>
      </c>
      <c r="I142" s="173">
        <f t="shared" si="86"/>
        <v>0</v>
      </c>
      <c r="J142" s="173">
        <f t="shared" si="86"/>
        <v>0</v>
      </c>
      <c r="K142" s="173">
        <f t="shared" si="86"/>
        <v>0</v>
      </c>
      <c r="L142" s="173">
        <f t="shared" si="86"/>
        <v>0</v>
      </c>
      <c r="M142" s="173">
        <f t="shared" si="86"/>
        <v>0</v>
      </c>
    </row>
    <row r="143" spans="2:13" ht="15">
      <c r="B143" s="701"/>
      <c r="C143" s="407">
        <v>0.0133</v>
      </c>
      <c r="D143" s="173">
        <f aca="true" t="shared" si="87" ref="D143:M143">D104*D11+D24*D117+D37*D130</f>
        <v>0</v>
      </c>
      <c r="E143" s="173">
        <f t="shared" si="87"/>
        <v>0</v>
      </c>
      <c r="F143" s="173">
        <f t="shared" si="87"/>
        <v>0</v>
      </c>
      <c r="G143" s="173">
        <f t="shared" si="87"/>
        <v>0</v>
      </c>
      <c r="H143" s="173">
        <f t="shared" si="87"/>
        <v>0</v>
      </c>
      <c r="I143" s="173">
        <f t="shared" si="87"/>
        <v>0</v>
      </c>
      <c r="J143" s="173">
        <f t="shared" si="87"/>
        <v>0</v>
      </c>
      <c r="K143" s="173">
        <f t="shared" si="87"/>
        <v>0</v>
      </c>
      <c r="L143" s="173">
        <f t="shared" si="87"/>
        <v>0</v>
      </c>
      <c r="M143" s="173">
        <f t="shared" si="87"/>
        <v>0</v>
      </c>
    </row>
    <row r="144" spans="2:13" ht="15">
      <c r="B144" s="701"/>
      <c r="C144" s="169">
        <v>0.01</v>
      </c>
      <c r="D144" s="173">
        <f aca="true" t="shared" si="88" ref="D144:M144">D105*D12+D25*D118+D38*D131</f>
        <v>0</v>
      </c>
      <c r="E144" s="173">
        <f t="shared" si="88"/>
        <v>0</v>
      </c>
      <c r="F144" s="173">
        <f t="shared" si="88"/>
        <v>0</v>
      </c>
      <c r="G144" s="173">
        <f t="shared" si="88"/>
        <v>0</v>
      </c>
      <c r="H144" s="173">
        <f t="shared" si="88"/>
        <v>0</v>
      </c>
      <c r="I144" s="173">
        <f t="shared" si="88"/>
        <v>0</v>
      </c>
      <c r="J144" s="173">
        <f t="shared" si="88"/>
        <v>0</v>
      </c>
      <c r="K144" s="173">
        <f t="shared" si="88"/>
        <v>0</v>
      </c>
      <c r="L144" s="173">
        <f t="shared" si="88"/>
        <v>0</v>
      </c>
      <c r="M144" s="173">
        <f t="shared" si="88"/>
        <v>0</v>
      </c>
    </row>
    <row r="145" spans="2:13" ht="15">
      <c r="B145" s="701"/>
      <c r="C145" s="170">
        <v>0.005</v>
      </c>
      <c r="D145" s="173">
        <f aca="true" t="shared" si="89" ref="D145:M145">D106*D13+D26*D119+D39*D132</f>
        <v>0</v>
      </c>
      <c r="E145" s="173">
        <f t="shared" si="89"/>
        <v>0</v>
      </c>
      <c r="F145" s="173">
        <f t="shared" si="89"/>
        <v>0</v>
      </c>
      <c r="G145" s="173">
        <f t="shared" si="89"/>
        <v>0</v>
      </c>
      <c r="H145" s="173">
        <f t="shared" si="89"/>
        <v>0</v>
      </c>
      <c r="I145" s="173">
        <f t="shared" si="89"/>
        <v>0</v>
      </c>
      <c r="J145" s="173">
        <f t="shared" si="89"/>
        <v>0</v>
      </c>
      <c r="K145" s="173">
        <f t="shared" si="89"/>
        <v>0</v>
      </c>
      <c r="L145" s="173">
        <f t="shared" si="89"/>
        <v>0</v>
      </c>
      <c r="M145" s="173">
        <f t="shared" si="89"/>
        <v>0</v>
      </c>
    </row>
    <row r="146" spans="2:13" ht="15">
      <c r="B146" s="701"/>
      <c r="C146" s="170">
        <v>0.001</v>
      </c>
      <c r="D146" s="173">
        <f aca="true" t="shared" si="90" ref="D146:M146">D107*D14+D27*D120+D40*D133</f>
        <v>0</v>
      </c>
      <c r="E146" s="173">
        <f t="shared" si="90"/>
        <v>0</v>
      </c>
      <c r="F146" s="173">
        <f t="shared" si="90"/>
        <v>0</v>
      </c>
      <c r="G146" s="173">
        <f t="shared" si="90"/>
        <v>0</v>
      </c>
      <c r="H146" s="173">
        <f t="shared" si="90"/>
        <v>0</v>
      </c>
      <c r="I146" s="173">
        <f t="shared" si="90"/>
        <v>0</v>
      </c>
      <c r="J146" s="173">
        <f t="shared" si="90"/>
        <v>0</v>
      </c>
      <c r="K146" s="173">
        <f t="shared" si="90"/>
        <v>0</v>
      </c>
      <c r="L146" s="173">
        <f t="shared" si="90"/>
        <v>0</v>
      </c>
      <c r="M146" s="173">
        <f t="shared" si="90"/>
        <v>0</v>
      </c>
    </row>
    <row r="148" spans="3:6" ht="15">
      <c r="C148" s="176" t="s">
        <v>722</v>
      </c>
      <c r="E148" s="163" t="s">
        <v>262</v>
      </c>
      <c r="F148" s="163" t="s">
        <v>280</v>
      </c>
    </row>
    <row r="149" spans="1:13" ht="15">
      <c r="A149" s="711" t="str">
        <f>A97</f>
        <v>MAINLINE</v>
      </c>
      <c r="B149" s="590"/>
      <c r="C149" s="590"/>
      <c r="D149" s="169">
        <v>1</v>
      </c>
      <c r="E149" s="169">
        <v>0.5</v>
      </c>
      <c r="F149" s="169">
        <v>0.2</v>
      </c>
      <c r="G149" s="169">
        <v>0.1</v>
      </c>
      <c r="H149" s="169">
        <v>0.04</v>
      </c>
      <c r="I149" s="169">
        <v>0.02</v>
      </c>
      <c r="J149" s="407">
        <v>0.0133</v>
      </c>
      <c r="K149" s="169">
        <v>0.01</v>
      </c>
      <c r="L149" s="170">
        <v>0.005</v>
      </c>
      <c r="M149" s="170">
        <v>0.001</v>
      </c>
    </row>
    <row r="150" spans="3:14" ht="15">
      <c r="C150" s="169">
        <v>1</v>
      </c>
      <c r="D150" s="173">
        <f>IF($D93-D93&lt;0,0,$D93-D93)</f>
        <v>0</v>
      </c>
      <c r="E150" s="173">
        <f aca="true" t="shared" si="91" ref="E150:I150">IF($D93-E93&lt;0,0,$D93-E93)</f>
        <v>0</v>
      </c>
      <c r="F150" s="173">
        <f t="shared" si="91"/>
        <v>0</v>
      </c>
      <c r="G150" s="173">
        <f t="shared" si="91"/>
        <v>0</v>
      </c>
      <c r="H150" s="173">
        <f t="shared" si="91"/>
        <v>0</v>
      </c>
      <c r="I150" s="173">
        <f t="shared" si="91"/>
        <v>0</v>
      </c>
      <c r="J150" s="173">
        <f aca="true" t="shared" si="92" ref="J150:M150">IF($D93-J93&lt;0,0,$D93-J93)</f>
        <v>0</v>
      </c>
      <c r="K150" s="173">
        <f t="shared" si="92"/>
        <v>0</v>
      </c>
      <c r="L150" s="173">
        <f t="shared" si="92"/>
        <v>0</v>
      </c>
      <c r="M150" s="173">
        <f t="shared" si="92"/>
        <v>0</v>
      </c>
      <c r="N150" s="163" t="s">
        <v>366</v>
      </c>
    </row>
    <row r="151" spans="2:13" ht="15" customHeight="1">
      <c r="B151" s="163" t="s">
        <v>261</v>
      </c>
      <c r="C151" s="169">
        <v>0.5</v>
      </c>
      <c r="D151" s="173">
        <f>IF($E93-D93&gt;0,0,$E93-D93)</f>
        <v>0</v>
      </c>
      <c r="E151" s="173">
        <f>IF($E93-E93&lt;0,0,$E93-E93)</f>
        <v>0</v>
      </c>
      <c r="F151" s="173">
        <f>IF($E93-F93&lt;0,0,$E93-F93)</f>
        <v>0</v>
      </c>
      <c r="G151" s="173">
        <f aca="true" t="shared" si="93" ref="G151:I151">IF($E93-G93&lt;0,0,$E93-G93)</f>
        <v>0</v>
      </c>
      <c r="H151" s="173">
        <f t="shared" si="93"/>
        <v>0</v>
      </c>
      <c r="I151" s="173">
        <f t="shared" si="93"/>
        <v>0</v>
      </c>
      <c r="J151" s="173">
        <f aca="true" t="shared" si="94" ref="J151:M151">IF($E93-J93&lt;0,0,$E93-J93)</f>
        <v>0</v>
      </c>
      <c r="K151" s="173">
        <f t="shared" si="94"/>
        <v>0</v>
      </c>
      <c r="L151" s="173">
        <f t="shared" si="94"/>
        <v>0</v>
      </c>
      <c r="M151" s="173">
        <f t="shared" si="94"/>
        <v>0</v>
      </c>
    </row>
    <row r="152" spans="2:13" ht="15">
      <c r="B152" s="700" t="s">
        <v>281</v>
      </c>
      <c r="C152" s="169">
        <v>0.2</v>
      </c>
      <c r="D152" s="173">
        <f>IF($F93-D93&gt;0,0,$F93-D93)</f>
        <v>0</v>
      </c>
      <c r="E152" s="173">
        <f>IF($F93-E93&gt;0,0,$F93-E93)</f>
        <v>0</v>
      </c>
      <c r="F152" s="173">
        <f aca="true" t="shared" si="95" ref="F152">$F93-F93</f>
        <v>0</v>
      </c>
      <c r="G152" s="173">
        <f>IF($F93-G93&lt;0,0,$F93-G93)</f>
        <v>0</v>
      </c>
      <c r="H152" s="173">
        <f aca="true" t="shared" si="96" ref="H152:M152">IF($F93-H93&lt;0,0,$F93-H93)</f>
        <v>0</v>
      </c>
      <c r="I152" s="173">
        <f t="shared" si="96"/>
        <v>0</v>
      </c>
      <c r="J152" s="173">
        <f t="shared" si="96"/>
        <v>0</v>
      </c>
      <c r="K152" s="173">
        <f t="shared" si="96"/>
        <v>0</v>
      </c>
      <c r="L152" s="173">
        <f t="shared" si="96"/>
        <v>0</v>
      </c>
      <c r="M152" s="173">
        <f t="shared" si="96"/>
        <v>0</v>
      </c>
    </row>
    <row r="153" spans="2:13" ht="15">
      <c r="B153" s="701"/>
      <c r="C153" s="169">
        <v>0.1</v>
      </c>
      <c r="D153" s="173">
        <f>IF($G93-D93&gt;0,0,$G93-D93)</f>
        <v>0</v>
      </c>
      <c r="E153" s="173">
        <f aca="true" t="shared" si="97" ref="E153:F153">IF($G93-E93&gt;0,0,$G93-E93)</f>
        <v>0</v>
      </c>
      <c r="F153" s="173">
        <f t="shared" si="97"/>
        <v>0</v>
      </c>
      <c r="G153" s="173">
        <f aca="true" t="shared" si="98" ref="G153">$G93-G93</f>
        <v>0</v>
      </c>
      <c r="H153" s="173">
        <f>IF($G93-H93&lt;0,0,$G93-H93)</f>
        <v>0</v>
      </c>
      <c r="I153" s="173">
        <f aca="true" t="shared" si="99" ref="I153:M153">IF($G93-I93&lt;0,0,$G93-I93)</f>
        <v>0</v>
      </c>
      <c r="J153" s="173">
        <f t="shared" si="99"/>
        <v>0</v>
      </c>
      <c r="K153" s="173">
        <f t="shared" si="99"/>
        <v>0</v>
      </c>
      <c r="L153" s="173">
        <f t="shared" si="99"/>
        <v>0</v>
      </c>
      <c r="M153" s="173">
        <f t="shared" si="99"/>
        <v>0</v>
      </c>
    </row>
    <row r="154" spans="2:13" ht="15">
      <c r="B154" s="701"/>
      <c r="C154" s="169">
        <v>0.04</v>
      </c>
      <c r="D154" s="173">
        <f>IF($H93-D93&gt;0,0,$H93-D93)</f>
        <v>0</v>
      </c>
      <c r="E154" s="173">
        <f aca="true" t="shared" si="100" ref="E154:G154">IF($H93-E93&gt;0,0,$H93-E93)</f>
        <v>0</v>
      </c>
      <c r="F154" s="173">
        <f t="shared" si="100"/>
        <v>0</v>
      </c>
      <c r="G154" s="173">
        <f t="shared" si="100"/>
        <v>0</v>
      </c>
      <c r="H154" s="173">
        <f aca="true" t="shared" si="101" ref="H154">$H93-H93</f>
        <v>0</v>
      </c>
      <c r="I154" s="173">
        <f>IF($H93-I93&lt;0,0,$H93-I93)</f>
        <v>0</v>
      </c>
      <c r="J154" s="173">
        <f aca="true" t="shared" si="102" ref="J154:M154">IF($H93-J93&lt;0,0,$H93-J93)</f>
        <v>0</v>
      </c>
      <c r="K154" s="173">
        <f t="shared" si="102"/>
        <v>0</v>
      </c>
      <c r="L154" s="173">
        <f t="shared" si="102"/>
        <v>0</v>
      </c>
      <c r="M154" s="173">
        <f t="shared" si="102"/>
        <v>0</v>
      </c>
    </row>
    <row r="155" spans="2:13" ht="15">
      <c r="B155" s="701"/>
      <c r="C155" s="169">
        <v>0.02</v>
      </c>
      <c r="D155" s="173">
        <f>IF($I93-D93&gt;0,0,$I93-D93)</f>
        <v>0</v>
      </c>
      <c r="E155" s="173">
        <f aca="true" t="shared" si="103" ref="E155:H155">IF($I93-E93&gt;0,0,$I93-E93)</f>
        <v>0</v>
      </c>
      <c r="F155" s="173">
        <f t="shared" si="103"/>
        <v>0</v>
      </c>
      <c r="G155" s="173">
        <f t="shared" si="103"/>
        <v>0</v>
      </c>
      <c r="H155" s="173">
        <f t="shared" si="103"/>
        <v>0</v>
      </c>
      <c r="I155" s="173">
        <f aca="true" t="shared" si="104" ref="I155">$I93-I93</f>
        <v>0</v>
      </c>
      <c r="J155" s="173">
        <f>IF($I93-J93&lt;0,0,$I93-J93)</f>
        <v>0</v>
      </c>
      <c r="K155" s="173">
        <f aca="true" t="shared" si="105" ref="K155:M155">IF($I93-K93&lt;0,0,$I93-K93)</f>
        <v>0</v>
      </c>
      <c r="L155" s="173">
        <f t="shared" si="105"/>
        <v>0</v>
      </c>
      <c r="M155" s="173">
        <f t="shared" si="105"/>
        <v>0</v>
      </c>
    </row>
    <row r="156" spans="2:13" ht="15">
      <c r="B156" s="701"/>
      <c r="C156" s="407">
        <v>0.0133</v>
      </c>
      <c r="D156" s="173">
        <f>IF($J93-D93&gt;0,0,$J93-D93)</f>
        <v>0</v>
      </c>
      <c r="E156" s="173">
        <f aca="true" t="shared" si="106" ref="E156:I156">IF($J93-E93&gt;0,0,$J93-E93)</f>
        <v>0</v>
      </c>
      <c r="F156" s="173">
        <f t="shared" si="106"/>
        <v>0</v>
      </c>
      <c r="G156" s="173">
        <f t="shared" si="106"/>
        <v>0</v>
      </c>
      <c r="H156" s="173">
        <f t="shared" si="106"/>
        <v>0</v>
      </c>
      <c r="I156" s="173">
        <f t="shared" si="106"/>
        <v>0</v>
      </c>
      <c r="J156" s="173">
        <f aca="true" t="shared" si="107" ref="J156">$J93-J93</f>
        <v>0</v>
      </c>
      <c r="K156" s="173">
        <f>IF($J93-K93&lt;0,0,$J93-K93)</f>
        <v>0</v>
      </c>
      <c r="L156" s="173">
        <f aca="true" t="shared" si="108" ref="L156:M156">IF($J93-L93&lt;0,0,$J93-L93)</f>
        <v>0</v>
      </c>
      <c r="M156" s="173">
        <f t="shared" si="108"/>
        <v>0</v>
      </c>
    </row>
    <row r="157" spans="2:13" ht="15">
      <c r="B157" s="701"/>
      <c r="C157" s="169">
        <v>0.01</v>
      </c>
      <c r="D157" s="173">
        <f>IF($K93-D93&gt;0,0,$K93-D93)</f>
        <v>0</v>
      </c>
      <c r="E157" s="173">
        <f aca="true" t="shared" si="109" ref="E157:J157">IF($K93-E93&gt;0,0,$K93-E93)</f>
        <v>0</v>
      </c>
      <c r="F157" s="173">
        <f t="shared" si="109"/>
        <v>0</v>
      </c>
      <c r="G157" s="173">
        <f t="shared" si="109"/>
        <v>0</v>
      </c>
      <c r="H157" s="173">
        <f t="shared" si="109"/>
        <v>0</v>
      </c>
      <c r="I157" s="173">
        <f t="shared" si="109"/>
        <v>0</v>
      </c>
      <c r="J157" s="173">
        <f t="shared" si="109"/>
        <v>0</v>
      </c>
      <c r="K157" s="173">
        <f aca="true" t="shared" si="110" ref="K157">$K93-K93</f>
        <v>0</v>
      </c>
      <c r="L157" s="173">
        <f>IF($K93-L93&lt;0,0,K93-L93)</f>
        <v>0</v>
      </c>
      <c r="M157" s="173">
        <f>IF($K93-M93&lt;0,0,L93-M93)</f>
        <v>0</v>
      </c>
    </row>
    <row r="158" spans="2:13" ht="15">
      <c r="B158" s="701"/>
      <c r="C158" s="170">
        <v>0.005</v>
      </c>
      <c r="D158" s="173">
        <f>IF($L93-D93&gt;0,0,$L93-D93)</f>
        <v>0</v>
      </c>
      <c r="E158" s="173">
        <f aca="true" t="shared" si="111" ref="E158:K158">IF($L93-E93&gt;0,0,$L93-E93)</f>
        <v>0</v>
      </c>
      <c r="F158" s="173">
        <f t="shared" si="111"/>
        <v>0</v>
      </c>
      <c r="G158" s="173">
        <f t="shared" si="111"/>
        <v>0</v>
      </c>
      <c r="H158" s="173">
        <f t="shared" si="111"/>
        <v>0</v>
      </c>
      <c r="I158" s="173">
        <f t="shared" si="111"/>
        <v>0</v>
      </c>
      <c r="J158" s="173">
        <f t="shared" si="111"/>
        <v>0</v>
      </c>
      <c r="K158" s="173">
        <f t="shared" si="111"/>
        <v>0</v>
      </c>
      <c r="L158" s="173">
        <f aca="true" t="shared" si="112" ref="L158">$L93-L93</f>
        <v>0</v>
      </c>
      <c r="M158" s="173">
        <f>IF($L93-M93&lt;0,0,$L93-M93)</f>
        <v>0</v>
      </c>
    </row>
    <row r="159" spans="2:13" ht="15">
      <c r="B159" s="701"/>
      <c r="C159" s="170">
        <v>0.001</v>
      </c>
      <c r="D159" s="173">
        <f>IF($M93-D93&gt;0,0,$M93-D93)</f>
        <v>0</v>
      </c>
      <c r="E159" s="173">
        <f aca="true" t="shared" si="113" ref="E159:M159">IF($M93-E93&gt;0,0,$M93-E93)</f>
        <v>0</v>
      </c>
      <c r="F159" s="173">
        <f t="shared" si="113"/>
        <v>0</v>
      </c>
      <c r="G159" s="173">
        <f t="shared" si="113"/>
        <v>0</v>
      </c>
      <c r="H159" s="173">
        <f t="shared" si="113"/>
        <v>0</v>
      </c>
      <c r="I159" s="173">
        <f t="shared" si="113"/>
        <v>0</v>
      </c>
      <c r="J159" s="173">
        <f t="shared" si="113"/>
        <v>0</v>
      </c>
      <c r="K159" s="173">
        <f t="shared" si="113"/>
        <v>0</v>
      </c>
      <c r="L159" s="173">
        <f t="shared" si="113"/>
        <v>0</v>
      </c>
      <c r="M159" s="173">
        <f t="shared" si="113"/>
        <v>0</v>
      </c>
    </row>
    <row r="161" spans="5:6" ht="15">
      <c r="E161" s="163" t="s">
        <v>262</v>
      </c>
      <c r="F161" s="163" t="s">
        <v>280</v>
      </c>
    </row>
    <row r="162" spans="1:13" ht="15">
      <c r="A162" s="711" t="s">
        <v>728</v>
      </c>
      <c r="B162" s="590"/>
      <c r="C162" s="590"/>
      <c r="D162" s="169">
        <v>1</v>
      </c>
      <c r="E162" s="169">
        <v>0.5</v>
      </c>
      <c r="F162" s="169">
        <v>0.2</v>
      </c>
      <c r="G162" s="169">
        <v>0.1</v>
      </c>
      <c r="H162" s="169">
        <v>0.04</v>
      </c>
      <c r="I162" s="169">
        <v>0.02</v>
      </c>
      <c r="J162" s="407">
        <v>0.0133</v>
      </c>
      <c r="K162" s="169">
        <v>0.01</v>
      </c>
      <c r="L162" s="170">
        <v>0.005</v>
      </c>
      <c r="M162" s="170">
        <v>0.001</v>
      </c>
    </row>
    <row r="163" spans="3:13" ht="15">
      <c r="C163" s="169">
        <v>1</v>
      </c>
      <c r="D163" s="173">
        <f>IF(OR(D5&gt;0,D18&gt;0),(D5+D18)/SUM($D$5:$M$14,$D$18:$M$27)*D150,0)</f>
        <v>0</v>
      </c>
      <c r="E163" s="173">
        <f aca="true" t="shared" si="114" ref="E163:M163">IF(OR(E5&gt;0,E18&gt;0),(E5+E18)/SUM($D$5:$M$14,$D$18:$M$27)*E150,0)</f>
        <v>0</v>
      </c>
      <c r="F163" s="173">
        <f t="shared" si="114"/>
        <v>0</v>
      </c>
      <c r="G163" s="173">
        <f t="shared" si="114"/>
        <v>0</v>
      </c>
      <c r="H163" s="173">
        <f t="shared" si="114"/>
        <v>0</v>
      </c>
      <c r="I163" s="173">
        <f t="shared" si="114"/>
        <v>0</v>
      </c>
      <c r="J163" s="173">
        <f t="shared" si="114"/>
        <v>0</v>
      </c>
      <c r="K163" s="173">
        <f t="shared" si="114"/>
        <v>0</v>
      </c>
      <c r="L163" s="173">
        <f t="shared" si="114"/>
        <v>0</v>
      </c>
      <c r="M163" s="173">
        <f t="shared" si="114"/>
        <v>0</v>
      </c>
    </row>
    <row r="164" spans="2:13" ht="15">
      <c r="B164" s="163" t="s">
        <v>261</v>
      </c>
      <c r="C164" s="169">
        <v>0.5</v>
      </c>
      <c r="D164" s="173">
        <f aca="true" t="shared" si="115" ref="D164:M172">IF(OR(D6&gt;0,D19&gt;0),(D6+D19)/SUM($D$5:$M$14,$D$18:$M$27)*D151,0)</f>
        <v>0</v>
      </c>
      <c r="E164" s="173">
        <f t="shared" si="115"/>
        <v>0</v>
      </c>
      <c r="F164" s="173">
        <f t="shared" si="115"/>
        <v>0</v>
      </c>
      <c r="G164" s="173">
        <f t="shared" si="115"/>
        <v>0</v>
      </c>
      <c r="H164" s="173">
        <f t="shared" si="115"/>
        <v>0</v>
      </c>
      <c r="I164" s="173">
        <f t="shared" si="115"/>
        <v>0</v>
      </c>
      <c r="J164" s="173">
        <f t="shared" si="115"/>
        <v>0</v>
      </c>
      <c r="K164" s="173">
        <f t="shared" si="115"/>
        <v>0</v>
      </c>
      <c r="L164" s="173">
        <f t="shared" si="115"/>
        <v>0</v>
      </c>
      <c r="M164" s="173">
        <f t="shared" si="115"/>
        <v>0</v>
      </c>
    </row>
    <row r="165" spans="2:13" ht="15">
      <c r="B165" s="700" t="s">
        <v>281</v>
      </c>
      <c r="C165" s="169">
        <v>0.2</v>
      </c>
      <c r="D165" s="173">
        <f t="shared" si="115"/>
        <v>0</v>
      </c>
      <c r="E165" s="173">
        <f t="shared" si="115"/>
        <v>0</v>
      </c>
      <c r="F165" s="173">
        <f t="shared" si="115"/>
        <v>0</v>
      </c>
      <c r="G165" s="173">
        <f t="shared" si="115"/>
        <v>0</v>
      </c>
      <c r="H165" s="173">
        <f t="shared" si="115"/>
        <v>0</v>
      </c>
      <c r="I165" s="173">
        <f t="shared" si="115"/>
        <v>0</v>
      </c>
      <c r="J165" s="173">
        <f t="shared" si="115"/>
        <v>0</v>
      </c>
      <c r="K165" s="173">
        <f t="shared" si="115"/>
        <v>0</v>
      </c>
      <c r="L165" s="173">
        <f t="shared" si="115"/>
        <v>0</v>
      </c>
      <c r="M165" s="173">
        <f t="shared" si="115"/>
        <v>0</v>
      </c>
    </row>
    <row r="166" spans="2:13" ht="15">
      <c r="B166" s="701"/>
      <c r="C166" s="169">
        <v>0.1</v>
      </c>
      <c r="D166" s="173">
        <f t="shared" si="115"/>
        <v>0</v>
      </c>
      <c r="E166" s="173">
        <f t="shared" si="115"/>
        <v>0</v>
      </c>
      <c r="F166" s="173">
        <f t="shared" si="115"/>
        <v>0</v>
      </c>
      <c r="G166" s="173">
        <f t="shared" si="115"/>
        <v>0</v>
      </c>
      <c r="H166" s="173">
        <f t="shared" si="115"/>
        <v>0</v>
      </c>
      <c r="I166" s="173">
        <f t="shared" si="115"/>
        <v>0</v>
      </c>
      <c r="J166" s="173">
        <f t="shared" si="115"/>
        <v>0</v>
      </c>
      <c r="K166" s="173">
        <f t="shared" si="115"/>
        <v>0</v>
      </c>
      <c r="L166" s="173">
        <f t="shared" si="115"/>
        <v>0</v>
      </c>
      <c r="M166" s="173">
        <f t="shared" si="115"/>
        <v>0</v>
      </c>
    </row>
    <row r="167" spans="2:13" ht="15">
      <c r="B167" s="701"/>
      <c r="C167" s="169">
        <v>0.04</v>
      </c>
      <c r="D167" s="173">
        <f t="shared" si="115"/>
        <v>0</v>
      </c>
      <c r="E167" s="173">
        <f t="shared" si="115"/>
        <v>0</v>
      </c>
      <c r="F167" s="173">
        <f t="shared" si="115"/>
        <v>0</v>
      </c>
      <c r="G167" s="173">
        <f t="shared" si="115"/>
        <v>0</v>
      </c>
      <c r="H167" s="173">
        <f t="shared" si="115"/>
        <v>0</v>
      </c>
      <c r="I167" s="173">
        <f t="shared" si="115"/>
        <v>0</v>
      </c>
      <c r="J167" s="173">
        <f t="shared" si="115"/>
        <v>0</v>
      </c>
      <c r="K167" s="173">
        <f t="shared" si="115"/>
        <v>0</v>
      </c>
      <c r="L167" s="173">
        <f t="shared" si="115"/>
        <v>0</v>
      </c>
      <c r="M167" s="173">
        <f t="shared" si="115"/>
        <v>0</v>
      </c>
    </row>
    <row r="168" spans="2:13" ht="15">
      <c r="B168" s="701"/>
      <c r="C168" s="169">
        <v>0.02</v>
      </c>
      <c r="D168" s="173">
        <f t="shared" si="115"/>
        <v>0</v>
      </c>
      <c r="E168" s="173">
        <f t="shared" si="115"/>
        <v>0</v>
      </c>
      <c r="F168" s="173">
        <f t="shared" si="115"/>
        <v>0</v>
      </c>
      <c r="G168" s="173">
        <f t="shared" si="115"/>
        <v>0</v>
      </c>
      <c r="H168" s="173">
        <f t="shared" si="115"/>
        <v>0</v>
      </c>
      <c r="I168" s="173">
        <f t="shared" si="115"/>
        <v>0</v>
      </c>
      <c r="J168" s="173">
        <f t="shared" si="115"/>
        <v>0</v>
      </c>
      <c r="K168" s="173">
        <f t="shared" si="115"/>
        <v>0</v>
      </c>
      <c r="L168" s="173">
        <f t="shared" si="115"/>
        <v>0</v>
      </c>
      <c r="M168" s="173">
        <f t="shared" si="115"/>
        <v>0</v>
      </c>
    </row>
    <row r="169" spans="2:13" ht="15">
      <c r="B169" s="701"/>
      <c r="C169" s="407">
        <v>0.0133</v>
      </c>
      <c r="D169" s="173">
        <f t="shared" si="115"/>
        <v>0</v>
      </c>
      <c r="E169" s="173">
        <f t="shared" si="115"/>
        <v>0</v>
      </c>
      <c r="F169" s="173">
        <f t="shared" si="115"/>
        <v>0</v>
      </c>
      <c r="G169" s="173">
        <f t="shared" si="115"/>
        <v>0</v>
      </c>
      <c r="H169" s="173">
        <f t="shared" si="115"/>
        <v>0</v>
      </c>
      <c r="I169" s="173">
        <f t="shared" si="115"/>
        <v>0</v>
      </c>
      <c r="J169" s="173">
        <f t="shared" si="115"/>
        <v>0</v>
      </c>
      <c r="K169" s="173">
        <f t="shared" si="115"/>
        <v>0</v>
      </c>
      <c r="L169" s="173">
        <f t="shared" si="115"/>
        <v>0</v>
      </c>
      <c r="M169" s="173">
        <f t="shared" si="115"/>
        <v>0</v>
      </c>
    </row>
    <row r="170" spans="2:13" ht="15">
      <c r="B170" s="701"/>
      <c r="C170" s="169">
        <v>0.01</v>
      </c>
      <c r="D170" s="173">
        <f t="shared" si="115"/>
        <v>0</v>
      </c>
      <c r="E170" s="173">
        <f t="shared" si="115"/>
        <v>0</v>
      </c>
      <c r="F170" s="173">
        <f t="shared" si="115"/>
        <v>0</v>
      </c>
      <c r="G170" s="173">
        <f t="shared" si="115"/>
        <v>0</v>
      </c>
      <c r="H170" s="173">
        <f t="shared" si="115"/>
        <v>0</v>
      </c>
      <c r="I170" s="173">
        <f t="shared" si="115"/>
        <v>0</v>
      </c>
      <c r="J170" s="173">
        <f t="shared" si="115"/>
        <v>0</v>
      </c>
      <c r="K170" s="173">
        <f t="shared" si="115"/>
        <v>0</v>
      </c>
      <c r="L170" s="173">
        <f t="shared" si="115"/>
        <v>0</v>
      </c>
      <c r="M170" s="173">
        <f t="shared" si="115"/>
        <v>0</v>
      </c>
    </row>
    <row r="171" spans="2:13" ht="15">
      <c r="B171" s="701"/>
      <c r="C171" s="170">
        <v>0.005</v>
      </c>
      <c r="D171" s="173">
        <f t="shared" si="115"/>
        <v>0</v>
      </c>
      <c r="E171" s="173">
        <f t="shared" si="115"/>
        <v>0</v>
      </c>
      <c r="F171" s="173">
        <f t="shared" si="115"/>
        <v>0</v>
      </c>
      <c r="G171" s="173">
        <f t="shared" si="115"/>
        <v>0</v>
      </c>
      <c r="H171" s="173">
        <f t="shared" si="115"/>
        <v>0</v>
      </c>
      <c r="I171" s="173">
        <f t="shared" si="115"/>
        <v>0</v>
      </c>
      <c r="J171" s="173">
        <f t="shared" si="115"/>
        <v>0</v>
      </c>
      <c r="K171" s="173">
        <f t="shared" si="115"/>
        <v>0</v>
      </c>
      <c r="L171" s="173">
        <f t="shared" si="115"/>
        <v>0</v>
      </c>
      <c r="M171" s="173">
        <f t="shared" si="115"/>
        <v>0</v>
      </c>
    </row>
    <row r="172" spans="2:13" ht="15">
      <c r="B172" s="701"/>
      <c r="C172" s="170">
        <v>0.001</v>
      </c>
      <c r="D172" s="173">
        <f t="shared" si="115"/>
        <v>0</v>
      </c>
      <c r="E172" s="173">
        <f t="shared" si="115"/>
        <v>0</v>
      </c>
      <c r="F172" s="173">
        <f t="shared" si="115"/>
        <v>0</v>
      </c>
      <c r="G172" s="173">
        <f t="shared" si="115"/>
        <v>0</v>
      </c>
      <c r="H172" s="173">
        <f t="shared" si="115"/>
        <v>0</v>
      </c>
      <c r="I172" s="173">
        <f t="shared" si="115"/>
        <v>0</v>
      </c>
      <c r="J172" s="173">
        <f t="shared" si="115"/>
        <v>0</v>
      </c>
      <c r="K172" s="173">
        <f t="shared" si="115"/>
        <v>0</v>
      </c>
      <c r="L172" s="173">
        <f t="shared" si="115"/>
        <v>0</v>
      </c>
      <c r="M172" s="173">
        <f t="shared" si="115"/>
        <v>0</v>
      </c>
    </row>
    <row r="173" spans="2:13" ht="15.75" thickBot="1">
      <c r="B173" s="303"/>
      <c r="C173" s="170"/>
      <c r="D173" s="172"/>
      <c r="E173" s="172"/>
      <c r="F173" s="172"/>
      <c r="G173" s="172"/>
      <c r="H173" s="172"/>
      <c r="I173" s="172"/>
      <c r="J173" s="172"/>
      <c r="K173" s="172"/>
      <c r="L173" s="172"/>
      <c r="M173" s="172"/>
    </row>
    <row r="174" spans="4:15" ht="16.5" thickBot="1" thickTop="1">
      <c r="D174" s="195" t="str">
        <f>IF(AND(SUM(D5:M14)=0,SUM(D18:M27)=0),"Enter delay","Total annual direct impacts")</f>
        <v>Enter delay</v>
      </c>
      <c r="E174" s="201"/>
      <c r="F174" s="196"/>
      <c r="G174" s="196"/>
      <c r="H174" s="186">
        <f>SUM(D137:M146)</f>
        <v>0</v>
      </c>
      <c r="I174" s="366" t="s">
        <v>804</v>
      </c>
      <c r="J174" s="406"/>
      <c r="K174" s="593" t="s">
        <v>811</v>
      </c>
      <c r="L174" s="593"/>
      <c r="M174" s="594"/>
      <c r="N174" s="594"/>
      <c r="O174" s="595"/>
    </row>
    <row r="175" spans="4:15" ht="16.5" thickBot="1" thickTop="1">
      <c r="D175" s="195" t="str">
        <f>IF(AND(SUM(D5:M14)=0,SUM(D18:M27)=0),"Enter delay","Total annual indirect impacts")</f>
        <v>Enter delay</v>
      </c>
      <c r="E175" s="201"/>
      <c r="F175" s="196"/>
      <c r="G175" s="196"/>
      <c r="H175" s="186">
        <f>SUM(D163:M172)</f>
        <v>0</v>
      </c>
      <c r="I175" s="366" t="s">
        <v>804</v>
      </c>
      <c r="J175" s="406"/>
      <c r="K175" s="593" t="s">
        <v>811</v>
      </c>
      <c r="L175" s="593"/>
      <c r="M175" s="594"/>
      <c r="N175" s="594"/>
      <c r="O175" s="595"/>
    </row>
    <row r="176" ht="15.75" thickTop="1">
      <c r="E176" s="176"/>
    </row>
  </sheetData>
  <sheetProtection sheet="1" objects="1" scenarios="1"/>
  <mergeCells count="35">
    <mergeCell ref="P1:T1"/>
    <mergeCell ref="K174:O174"/>
    <mergeCell ref="K175:O175"/>
    <mergeCell ref="A162:C162"/>
    <mergeCell ref="B165:B172"/>
    <mergeCell ref="B152:B159"/>
    <mergeCell ref="I1:K1"/>
    <mergeCell ref="A45:C45"/>
    <mergeCell ref="O71:Y71"/>
    <mergeCell ref="A79:C79"/>
    <mergeCell ref="A149:C149"/>
    <mergeCell ref="B32:B33"/>
    <mergeCell ref="A46:C46"/>
    <mergeCell ref="B6:B7"/>
    <mergeCell ref="B19:B20"/>
    <mergeCell ref="A30:C30"/>
    <mergeCell ref="A136:C136"/>
    <mergeCell ref="B139:B146"/>
    <mergeCell ref="A97:C97"/>
    <mergeCell ref="B100:B107"/>
    <mergeCell ref="A110:C110"/>
    <mergeCell ref="B113:B120"/>
    <mergeCell ref="O49:Y49"/>
    <mergeCell ref="A66:C66"/>
    <mergeCell ref="A123:C123"/>
    <mergeCell ref="B126:B133"/>
    <mergeCell ref="D52:E52"/>
    <mergeCell ref="D53:E53"/>
    <mergeCell ref="D54:E54"/>
    <mergeCell ref="D55:E55"/>
    <mergeCell ref="D56:E56"/>
    <mergeCell ref="D57:E57"/>
    <mergeCell ref="D58:E58"/>
    <mergeCell ref="D59:E59"/>
    <mergeCell ref="D60:E60"/>
  </mergeCells>
  <conditionalFormatting sqref="F52:F60">
    <cfRule type="cellIs" priority="2" dxfId="2" operator="equal">
      <formula>"At risk"</formula>
    </cfRule>
  </conditionalFormatting>
  <conditionalFormatting sqref="H52:H60">
    <cfRule type="cellIs" priority="1" dxfId="2" operator="greaterThan">
      <formula>1</formula>
    </cfRule>
  </conditionalFormatting>
  <dataValidations count="3">
    <dataValidation type="list" allowBlank="1" showInputMessage="1" showErrorMessage="1" sqref="D49:M49 D71:M71">
      <formula1>"Permanent loss, One-off loss"</formula1>
    </dataValidation>
    <dataValidation type="list" allowBlank="1" showInputMessage="1" showErrorMessage="1" sqref="K174:O175">
      <formula1>"High:  default values used throughout, Moderate:  some specific data included, Low:  specific data used throughout"</formula1>
    </dataValidation>
    <dataValidation type="list" allowBlank="1" showInputMessage="1" showErrorMessage="1" sqref="F52:F60">
      <formula1>"At risk, Not at risk"</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99"/>
  <headerFooter>
    <oddHeader>&amp;C&amp;A</oddHead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267"/>
  <sheetViews>
    <sheetView zoomScale="85" zoomScaleNormal="85" workbookViewId="0" topLeftCell="A1"/>
  </sheetViews>
  <sheetFormatPr defaultColWidth="9.140625" defaultRowHeight="15"/>
  <cols>
    <col min="1" max="1" width="9.140625" style="163" customWidth="1"/>
    <col min="2" max="2" width="10.8515625" style="163" customWidth="1"/>
    <col min="3" max="3" width="9.140625" style="163" customWidth="1"/>
    <col min="4" max="13" width="11.00390625" style="163" customWidth="1"/>
    <col min="14" max="16384" width="9.140625" style="163" customWidth="1"/>
  </cols>
  <sheetData>
    <row r="1" spans="1:20" ht="15">
      <c r="A1" s="164" t="s">
        <v>370</v>
      </c>
      <c r="B1" s="165"/>
      <c r="C1" s="165"/>
      <c r="D1" s="162"/>
      <c r="E1" s="165"/>
      <c r="F1" s="166" t="s">
        <v>260</v>
      </c>
      <c r="I1" s="589"/>
      <c r="J1" s="589"/>
      <c r="K1" s="589"/>
      <c r="L1" s="396"/>
      <c r="M1" s="176" t="s">
        <v>992</v>
      </c>
      <c r="N1" s="176">
        <v>8</v>
      </c>
      <c r="O1" s="176" t="s">
        <v>991</v>
      </c>
      <c r="P1" s="707"/>
      <c r="Q1" s="590"/>
      <c r="R1" s="590"/>
      <c r="S1" s="590"/>
      <c r="T1" s="590"/>
    </row>
    <row r="3" spans="3:6" ht="15">
      <c r="C3" s="203"/>
      <c r="E3" s="163" t="s">
        <v>262</v>
      </c>
      <c r="F3" s="163" t="str">
        <f>"Area of "&amp;C4&amp;" whose risk changes due to changes in water levels"</f>
        <v>Area of ARABLE - COMBINABLE CROPS whose risk changes due to changes in water levels</v>
      </c>
    </row>
    <row r="4" spans="3:13" ht="15">
      <c r="C4" s="203" t="s">
        <v>984</v>
      </c>
      <c r="D4" s="169">
        <v>1</v>
      </c>
      <c r="E4" s="169">
        <v>0.5</v>
      </c>
      <c r="F4" s="169">
        <v>0.2</v>
      </c>
      <c r="G4" s="169">
        <v>0.1</v>
      </c>
      <c r="H4" s="169">
        <v>0.04</v>
      </c>
      <c r="I4" s="169">
        <v>0.02</v>
      </c>
      <c r="J4" s="407">
        <v>0.0133</v>
      </c>
      <c r="K4" s="169">
        <v>0.01</v>
      </c>
      <c r="L4" s="170">
        <v>0.005</v>
      </c>
      <c r="M4" s="170">
        <v>0.001</v>
      </c>
    </row>
    <row r="5" spans="3:15" ht="15">
      <c r="C5" s="169">
        <v>1</v>
      </c>
      <c r="D5" s="550"/>
      <c r="E5" s="550"/>
      <c r="F5" s="550"/>
      <c r="G5" s="550"/>
      <c r="H5" s="550"/>
      <c r="I5" s="550"/>
      <c r="J5" s="550"/>
      <c r="K5" s="550"/>
      <c r="L5" s="550"/>
      <c r="M5" s="550"/>
      <c r="O5" s="163" t="s">
        <v>496</v>
      </c>
    </row>
    <row r="6" spans="2:15" ht="15">
      <c r="B6" s="591" t="s">
        <v>294</v>
      </c>
      <c r="C6" s="169">
        <v>0.5</v>
      </c>
      <c r="D6" s="550"/>
      <c r="E6" s="550"/>
      <c r="F6" s="550"/>
      <c r="G6" s="550"/>
      <c r="H6" s="550"/>
      <c r="I6" s="550"/>
      <c r="J6" s="550"/>
      <c r="K6" s="550"/>
      <c r="L6" s="550"/>
      <c r="M6" s="550"/>
      <c r="O6" s="163" t="s">
        <v>376</v>
      </c>
    </row>
    <row r="7" spans="2:15" ht="15">
      <c r="B7" s="592"/>
      <c r="C7" s="169">
        <v>0.2</v>
      </c>
      <c r="D7" s="550"/>
      <c r="E7" s="550"/>
      <c r="F7" s="550"/>
      <c r="G7" s="550"/>
      <c r="H7" s="550"/>
      <c r="I7" s="550"/>
      <c r="J7" s="550"/>
      <c r="K7" s="550"/>
      <c r="L7" s="550"/>
      <c r="M7" s="550"/>
      <c r="O7" s="163" t="s">
        <v>621</v>
      </c>
    </row>
    <row r="8" spans="3:15" ht="15">
      <c r="C8" s="169">
        <v>0.1</v>
      </c>
      <c r="D8" s="550"/>
      <c r="E8" s="550"/>
      <c r="F8" s="550"/>
      <c r="G8" s="550"/>
      <c r="H8" s="550"/>
      <c r="I8" s="550"/>
      <c r="J8" s="550"/>
      <c r="K8" s="550"/>
      <c r="L8" s="550"/>
      <c r="M8" s="550"/>
      <c r="O8" s="163" t="s">
        <v>374</v>
      </c>
    </row>
    <row r="9" spans="3:15" ht="15">
      <c r="C9" s="169">
        <v>0.04</v>
      </c>
      <c r="D9" s="550"/>
      <c r="E9" s="550"/>
      <c r="F9" s="550"/>
      <c r="G9" s="550"/>
      <c r="H9" s="550"/>
      <c r="I9" s="550"/>
      <c r="J9" s="550"/>
      <c r="K9" s="550"/>
      <c r="L9" s="550"/>
      <c r="M9" s="550"/>
      <c r="O9" s="163" t="s">
        <v>618</v>
      </c>
    </row>
    <row r="10" spans="3:13" ht="15">
      <c r="C10" s="169">
        <v>0.02</v>
      </c>
      <c r="D10" s="550"/>
      <c r="E10" s="550"/>
      <c r="F10" s="550"/>
      <c r="G10" s="550"/>
      <c r="H10" s="550"/>
      <c r="I10" s="550"/>
      <c r="J10" s="550"/>
      <c r="K10" s="550"/>
      <c r="L10" s="550"/>
      <c r="M10" s="550"/>
    </row>
    <row r="11" spans="3:13" ht="15">
      <c r="C11" s="407">
        <v>0.0133</v>
      </c>
      <c r="D11" s="550"/>
      <c r="E11" s="550"/>
      <c r="F11" s="550"/>
      <c r="G11" s="550"/>
      <c r="H11" s="550"/>
      <c r="I11" s="550"/>
      <c r="J11" s="550"/>
      <c r="K11" s="550"/>
      <c r="L11" s="550"/>
      <c r="M11" s="550"/>
    </row>
    <row r="12" spans="3:13" ht="15">
      <c r="C12" s="169">
        <v>0.01</v>
      </c>
      <c r="D12" s="550"/>
      <c r="E12" s="550"/>
      <c r="F12" s="550"/>
      <c r="G12" s="550"/>
      <c r="H12" s="550"/>
      <c r="I12" s="550"/>
      <c r="J12" s="550"/>
      <c r="K12" s="550"/>
      <c r="L12" s="550"/>
      <c r="M12" s="550"/>
    </row>
    <row r="13" spans="3:13" ht="15">
      <c r="C13" s="170">
        <v>0.005</v>
      </c>
      <c r="D13" s="550"/>
      <c r="E13" s="550"/>
      <c r="F13" s="550"/>
      <c r="G13" s="550"/>
      <c r="H13" s="550"/>
      <c r="I13" s="550"/>
      <c r="J13" s="550"/>
      <c r="K13" s="550"/>
      <c r="L13" s="550"/>
      <c r="M13" s="550"/>
    </row>
    <row r="14" spans="3:13" ht="15">
      <c r="C14" s="170">
        <v>0.001</v>
      </c>
      <c r="D14" s="550"/>
      <c r="E14" s="550"/>
      <c r="F14" s="550"/>
      <c r="G14" s="550"/>
      <c r="H14" s="550"/>
      <c r="I14" s="550"/>
      <c r="J14" s="550"/>
      <c r="K14" s="550"/>
      <c r="L14" s="550"/>
      <c r="M14" s="550"/>
    </row>
    <row r="16" spans="3:6" ht="15">
      <c r="C16" s="491"/>
      <c r="E16" s="163" t="s">
        <v>262</v>
      </c>
      <c r="F16" s="163" t="str">
        <f>"Area of "&amp;C17&amp;" whose risk changes due to changes in water levels"</f>
        <v>Area of ARABLE - NON-COMBINABLE CROPS whose risk changes due to changes in water levels</v>
      </c>
    </row>
    <row r="17" spans="3:13" ht="15">
      <c r="C17" s="491" t="s">
        <v>985</v>
      </c>
      <c r="D17" s="169">
        <v>1</v>
      </c>
      <c r="E17" s="169">
        <v>0.5</v>
      </c>
      <c r="F17" s="169">
        <v>0.2</v>
      </c>
      <c r="G17" s="169">
        <v>0.1</v>
      </c>
      <c r="H17" s="169">
        <v>0.04</v>
      </c>
      <c r="I17" s="169">
        <v>0.02</v>
      </c>
      <c r="J17" s="407">
        <v>0.0133</v>
      </c>
      <c r="K17" s="169">
        <v>0.01</v>
      </c>
      <c r="L17" s="170">
        <v>0.005</v>
      </c>
      <c r="M17" s="170">
        <v>0.001</v>
      </c>
    </row>
    <row r="18" spans="3:15" ht="15">
      <c r="C18" s="169">
        <v>1</v>
      </c>
      <c r="D18" s="550"/>
      <c r="E18" s="550"/>
      <c r="F18" s="550"/>
      <c r="G18" s="550"/>
      <c r="H18" s="550"/>
      <c r="I18" s="550"/>
      <c r="J18" s="550"/>
      <c r="K18" s="550"/>
      <c r="L18" s="550"/>
      <c r="M18" s="550"/>
      <c r="O18" s="163" t="s">
        <v>496</v>
      </c>
    </row>
    <row r="19" spans="2:15" ht="15">
      <c r="B19" s="591" t="s">
        <v>294</v>
      </c>
      <c r="C19" s="169">
        <v>0.5</v>
      </c>
      <c r="D19" s="550"/>
      <c r="E19" s="550"/>
      <c r="F19" s="550"/>
      <c r="G19" s="550"/>
      <c r="H19" s="550"/>
      <c r="I19" s="550"/>
      <c r="J19" s="550"/>
      <c r="K19" s="550"/>
      <c r="L19" s="550"/>
      <c r="M19" s="550"/>
      <c r="O19" s="163" t="s">
        <v>376</v>
      </c>
    </row>
    <row r="20" spans="2:15" ht="15">
      <c r="B20" s="592"/>
      <c r="C20" s="169">
        <v>0.2</v>
      </c>
      <c r="D20" s="550"/>
      <c r="E20" s="550"/>
      <c r="F20" s="550"/>
      <c r="G20" s="550"/>
      <c r="H20" s="550"/>
      <c r="I20" s="550"/>
      <c r="J20" s="550"/>
      <c r="K20" s="550"/>
      <c r="L20" s="550"/>
      <c r="M20" s="550"/>
      <c r="O20" s="163" t="s">
        <v>621</v>
      </c>
    </row>
    <row r="21" spans="3:15" ht="15">
      <c r="C21" s="169">
        <v>0.1</v>
      </c>
      <c r="D21" s="550"/>
      <c r="E21" s="550"/>
      <c r="F21" s="550"/>
      <c r="G21" s="550"/>
      <c r="H21" s="550"/>
      <c r="I21" s="550"/>
      <c r="J21" s="550"/>
      <c r="K21" s="550"/>
      <c r="L21" s="550"/>
      <c r="M21" s="550"/>
      <c r="O21" s="163" t="s">
        <v>374</v>
      </c>
    </row>
    <row r="22" spans="3:15" ht="15">
      <c r="C22" s="169">
        <v>0.04</v>
      </c>
      <c r="D22" s="550"/>
      <c r="E22" s="550"/>
      <c r="F22" s="550"/>
      <c r="G22" s="550"/>
      <c r="H22" s="550"/>
      <c r="I22" s="550"/>
      <c r="J22" s="550"/>
      <c r="K22" s="550"/>
      <c r="L22" s="550"/>
      <c r="M22" s="550"/>
      <c r="O22" s="163" t="s">
        <v>618</v>
      </c>
    </row>
    <row r="23" spans="3:13" ht="15">
      <c r="C23" s="169">
        <v>0.02</v>
      </c>
      <c r="D23" s="550"/>
      <c r="E23" s="550"/>
      <c r="F23" s="550"/>
      <c r="G23" s="550"/>
      <c r="H23" s="550"/>
      <c r="I23" s="550"/>
      <c r="J23" s="550"/>
      <c r="K23" s="550"/>
      <c r="L23" s="550"/>
      <c r="M23" s="550"/>
    </row>
    <row r="24" spans="3:13" ht="15">
      <c r="C24" s="407">
        <v>0.0133</v>
      </c>
      <c r="D24" s="550"/>
      <c r="E24" s="550"/>
      <c r="F24" s="550"/>
      <c r="G24" s="550"/>
      <c r="H24" s="550"/>
      <c r="I24" s="550"/>
      <c r="J24" s="550"/>
      <c r="K24" s="550"/>
      <c r="L24" s="550"/>
      <c r="M24" s="550"/>
    </row>
    <row r="25" spans="3:13" ht="15">
      <c r="C25" s="169">
        <v>0.01</v>
      </c>
      <c r="D25" s="550"/>
      <c r="E25" s="550"/>
      <c r="F25" s="550"/>
      <c r="G25" s="550"/>
      <c r="H25" s="550"/>
      <c r="I25" s="550"/>
      <c r="J25" s="550"/>
      <c r="K25" s="550"/>
      <c r="L25" s="550"/>
      <c r="M25" s="550"/>
    </row>
    <row r="26" spans="3:13" ht="15">
      <c r="C26" s="170">
        <v>0.005</v>
      </c>
      <c r="D26" s="550"/>
      <c r="E26" s="550"/>
      <c r="F26" s="550"/>
      <c r="G26" s="550"/>
      <c r="H26" s="550"/>
      <c r="I26" s="550"/>
      <c r="J26" s="550"/>
      <c r="K26" s="550"/>
      <c r="L26" s="550"/>
      <c r="M26" s="550"/>
    </row>
    <row r="27" spans="3:13" ht="15">
      <c r="C27" s="170">
        <v>0.001</v>
      </c>
      <c r="D27" s="550"/>
      <c r="E27" s="550"/>
      <c r="F27" s="550"/>
      <c r="G27" s="550"/>
      <c r="H27" s="550"/>
      <c r="I27" s="550"/>
      <c r="J27" s="550"/>
      <c r="K27" s="550"/>
      <c r="L27" s="550"/>
      <c r="M27" s="550"/>
    </row>
    <row r="29" spans="3:6" ht="15">
      <c r="C29" s="203"/>
      <c r="E29" s="163" t="s">
        <v>262</v>
      </c>
      <c r="F29" s="163" t="str">
        <f>"Area of "&amp;C30&amp;" whose risk changes due to changes in water levels"</f>
        <v>Area of LIVESTOCK LAND whose risk changes due to changes in water levels</v>
      </c>
    </row>
    <row r="30" spans="3:13" ht="15">
      <c r="C30" s="203" t="s">
        <v>375</v>
      </c>
      <c r="D30" s="169">
        <v>1</v>
      </c>
      <c r="E30" s="169">
        <v>0.5</v>
      </c>
      <c r="F30" s="169">
        <v>0.2</v>
      </c>
      <c r="G30" s="169">
        <v>0.1</v>
      </c>
      <c r="H30" s="169">
        <v>0.04</v>
      </c>
      <c r="I30" s="169">
        <v>0.02</v>
      </c>
      <c r="J30" s="407">
        <v>0.0133</v>
      </c>
      <c r="K30" s="169">
        <v>0.01</v>
      </c>
      <c r="L30" s="170">
        <v>0.005</v>
      </c>
      <c r="M30" s="170">
        <v>0.001</v>
      </c>
    </row>
    <row r="31" spans="3:15" ht="15">
      <c r="C31" s="169">
        <v>1</v>
      </c>
      <c r="D31" s="550"/>
      <c r="E31" s="550"/>
      <c r="F31" s="550"/>
      <c r="G31" s="550"/>
      <c r="H31" s="550"/>
      <c r="I31" s="550"/>
      <c r="J31" s="550"/>
      <c r="K31" s="550"/>
      <c r="L31" s="550"/>
      <c r="M31" s="550"/>
      <c r="O31" s="163" t="s">
        <v>497</v>
      </c>
    </row>
    <row r="32" spans="2:13" ht="15">
      <c r="B32" s="591" t="s">
        <v>294</v>
      </c>
      <c r="C32" s="169">
        <v>0.5</v>
      </c>
      <c r="D32" s="550"/>
      <c r="E32" s="550"/>
      <c r="F32" s="550"/>
      <c r="G32" s="550"/>
      <c r="H32" s="550"/>
      <c r="I32" s="550"/>
      <c r="J32" s="550"/>
      <c r="K32" s="550"/>
      <c r="L32" s="550"/>
      <c r="M32" s="550"/>
    </row>
    <row r="33" spans="2:15" ht="15">
      <c r="B33" s="592"/>
      <c r="C33" s="169">
        <v>0.2</v>
      </c>
      <c r="D33" s="550"/>
      <c r="E33" s="550"/>
      <c r="F33" s="550"/>
      <c r="G33" s="550"/>
      <c r="H33" s="550"/>
      <c r="I33" s="550"/>
      <c r="J33" s="550"/>
      <c r="K33" s="550"/>
      <c r="L33" s="550"/>
      <c r="M33" s="550"/>
      <c r="O33" s="163" t="s">
        <v>946</v>
      </c>
    </row>
    <row r="34" spans="3:15" ht="15">
      <c r="C34" s="169">
        <v>0.1</v>
      </c>
      <c r="D34" s="550"/>
      <c r="E34" s="550"/>
      <c r="F34" s="550"/>
      <c r="G34" s="550"/>
      <c r="H34" s="550"/>
      <c r="I34" s="550"/>
      <c r="J34" s="550"/>
      <c r="K34" s="550"/>
      <c r="L34" s="550"/>
      <c r="M34" s="550"/>
      <c r="O34" s="163" t="s">
        <v>374</v>
      </c>
    </row>
    <row r="35" spans="3:15" ht="15">
      <c r="C35" s="169">
        <v>0.04</v>
      </c>
      <c r="D35" s="550"/>
      <c r="E35" s="550"/>
      <c r="F35" s="550"/>
      <c r="G35" s="550"/>
      <c r="H35" s="550"/>
      <c r="I35" s="550"/>
      <c r="J35" s="550"/>
      <c r="K35" s="550"/>
      <c r="L35" s="550"/>
      <c r="M35" s="550"/>
      <c r="O35" s="163" t="s">
        <v>947</v>
      </c>
    </row>
    <row r="36" spans="3:13" ht="15">
      <c r="C36" s="169">
        <v>0.02</v>
      </c>
      <c r="D36" s="550"/>
      <c r="E36" s="550"/>
      <c r="F36" s="550"/>
      <c r="G36" s="550"/>
      <c r="H36" s="550"/>
      <c r="I36" s="550"/>
      <c r="J36" s="550"/>
      <c r="K36" s="550"/>
      <c r="L36" s="550"/>
      <c r="M36" s="550"/>
    </row>
    <row r="37" spans="3:13" ht="15">
      <c r="C37" s="407">
        <v>0.0133</v>
      </c>
      <c r="D37" s="550"/>
      <c r="E37" s="550"/>
      <c r="F37" s="550"/>
      <c r="G37" s="550"/>
      <c r="H37" s="550"/>
      <c r="I37" s="550"/>
      <c r="J37" s="550"/>
      <c r="K37" s="550"/>
      <c r="L37" s="550"/>
      <c r="M37" s="550"/>
    </row>
    <row r="38" spans="3:13" ht="15">
      <c r="C38" s="169">
        <v>0.01</v>
      </c>
      <c r="D38" s="550"/>
      <c r="E38" s="550"/>
      <c r="F38" s="550"/>
      <c r="G38" s="550"/>
      <c r="H38" s="550"/>
      <c r="I38" s="550"/>
      <c r="J38" s="550"/>
      <c r="K38" s="550"/>
      <c r="L38" s="550"/>
      <c r="M38" s="550"/>
    </row>
    <row r="39" spans="3:13" ht="15">
      <c r="C39" s="170">
        <v>0.005</v>
      </c>
      <c r="D39" s="550"/>
      <c r="E39" s="550"/>
      <c r="F39" s="550"/>
      <c r="G39" s="550"/>
      <c r="H39" s="550"/>
      <c r="I39" s="550"/>
      <c r="J39" s="550"/>
      <c r="K39" s="550"/>
      <c r="L39" s="550"/>
      <c r="M39" s="550"/>
    </row>
    <row r="40" spans="3:13" ht="15">
      <c r="C40" s="170">
        <v>0.001</v>
      </c>
      <c r="D40" s="550"/>
      <c r="E40" s="550"/>
      <c r="F40" s="550"/>
      <c r="G40" s="550"/>
      <c r="H40" s="550"/>
      <c r="I40" s="550"/>
      <c r="J40" s="550"/>
      <c r="K40" s="550"/>
      <c r="L40" s="550"/>
      <c r="M40" s="550"/>
    </row>
    <row r="42" spans="3:6" ht="15">
      <c r="C42" s="298"/>
      <c r="E42" s="163" t="s">
        <v>262</v>
      </c>
      <c r="F42" s="163" t="str">
        <f>"Area of "&amp;C43&amp;" whose risk changes due to changes in water levels"</f>
        <v>Area of PIGS/POULTRY whose risk changes due to changes in water levels</v>
      </c>
    </row>
    <row r="43" spans="3:13" ht="15">
      <c r="C43" s="298" t="s">
        <v>912</v>
      </c>
      <c r="D43" s="169">
        <v>1</v>
      </c>
      <c r="E43" s="169">
        <v>0.5</v>
      </c>
      <c r="F43" s="169">
        <v>0.2</v>
      </c>
      <c r="G43" s="169">
        <v>0.1</v>
      </c>
      <c r="H43" s="169">
        <v>0.04</v>
      </c>
      <c r="I43" s="169">
        <v>0.02</v>
      </c>
      <c r="J43" s="407">
        <v>0.0133</v>
      </c>
      <c r="K43" s="169">
        <v>0.01</v>
      </c>
      <c r="L43" s="170">
        <v>0.005</v>
      </c>
      <c r="M43" s="170">
        <v>0.001</v>
      </c>
    </row>
    <row r="44" spans="3:15" ht="15">
      <c r="C44" s="169">
        <v>1</v>
      </c>
      <c r="D44" s="550"/>
      <c r="E44" s="550"/>
      <c r="F44" s="550"/>
      <c r="G44" s="550"/>
      <c r="H44" s="550"/>
      <c r="I44" s="550"/>
      <c r="J44" s="550"/>
      <c r="K44" s="550"/>
      <c r="L44" s="550"/>
      <c r="M44" s="550"/>
      <c r="O44" s="163" t="s">
        <v>914</v>
      </c>
    </row>
    <row r="45" spans="2:13" ht="15">
      <c r="B45" s="591" t="s">
        <v>294</v>
      </c>
      <c r="C45" s="169">
        <v>0.5</v>
      </c>
      <c r="D45" s="550"/>
      <c r="E45" s="550"/>
      <c r="F45" s="550"/>
      <c r="G45" s="550"/>
      <c r="H45" s="550"/>
      <c r="I45" s="550"/>
      <c r="J45" s="550"/>
      <c r="K45" s="550"/>
      <c r="L45" s="550"/>
      <c r="M45" s="550"/>
    </row>
    <row r="46" spans="2:15" ht="15">
      <c r="B46" s="592"/>
      <c r="C46" s="169">
        <v>0.2</v>
      </c>
      <c r="D46" s="550"/>
      <c r="E46" s="550"/>
      <c r="F46" s="550"/>
      <c r="G46" s="550"/>
      <c r="H46" s="550"/>
      <c r="I46" s="550"/>
      <c r="J46" s="550"/>
      <c r="K46" s="550"/>
      <c r="L46" s="550"/>
      <c r="M46" s="550"/>
      <c r="O46" s="163" t="s">
        <v>948</v>
      </c>
    </row>
    <row r="47" spans="3:15" ht="15">
      <c r="C47" s="169">
        <v>0.1</v>
      </c>
      <c r="D47" s="550"/>
      <c r="E47" s="550"/>
      <c r="F47" s="550"/>
      <c r="G47" s="550"/>
      <c r="H47" s="550"/>
      <c r="I47" s="550"/>
      <c r="J47" s="550"/>
      <c r="K47" s="550"/>
      <c r="L47" s="550"/>
      <c r="M47" s="550"/>
      <c r="O47" s="163" t="s">
        <v>374</v>
      </c>
    </row>
    <row r="48" spans="3:15" ht="15">
      <c r="C48" s="169">
        <v>0.04</v>
      </c>
      <c r="D48" s="550"/>
      <c r="E48" s="550"/>
      <c r="F48" s="550"/>
      <c r="G48" s="550"/>
      <c r="H48" s="550"/>
      <c r="I48" s="550"/>
      <c r="J48" s="550"/>
      <c r="K48" s="550"/>
      <c r="L48" s="550"/>
      <c r="M48" s="550"/>
      <c r="O48" s="163" t="s">
        <v>949</v>
      </c>
    </row>
    <row r="49" spans="3:13" ht="15">
      <c r="C49" s="169">
        <v>0.02</v>
      </c>
      <c r="D49" s="550"/>
      <c r="E49" s="550"/>
      <c r="F49" s="550"/>
      <c r="G49" s="550"/>
      <c r="H49" s="550"/>
      <c r="I49" s="550"/>
      <c r="J49" s="550"/>
      <c r="K49" s="550"/>
      <c r="L49" s="550"/>
      <c r="M49" s="550"/>
    </row>
    <row r="50" spans="3:13" ht="15">
      <c r="C50" s="407">
        <v>0.0133</v>
      </c>
      <c r="D50" s="550"/>
      <c r="E50" s="550"/>
      <c r="F50" s="550"/>
      <c r="G50" s="550"/>
      <c r="H50" s="550"/>
      <c r="I50" s="550"/>
      <c r="J50" s="550"/>
      <c r="K50" s="550"/>
      <c r="L50" s="550"/>
      <c r="M50" s="550"/>
    </row>
    <row r="51" spans="3:13" ht="15">
      <c r="C51" s="169">
        <v>0.01</v>
      </c>
      <c r="D51" s="550"/>
      <c r="E51" s="550"/>
      <c r="F51" s="550"/>
      <c r="G51" s="550"/>
      <c r="H51" s="550"/>
      <c r="I51" s="550"/>
      <c r="J51" s="550"/>
      <c r="K51" s="550"/>
      <c r="L51" s="550"/>
      <c r="M51" s="550"/>
    </row>
    <row r="52" spans="3:13" ht="15">
      <c r="C52" s="170">
        <v>0.005</v>
      </c>
      <c r="D52" s="550"/>
      <c r="E52" s="550"/>
      <c r="F52" s="550"/>
      <c r="G52" s="550"/>
      <c r="H52" s="550"/>
      <c r="I52" s="550"/>
      <c r="J52" s="550"/>
      <c r="K52" s="550"/>
      <c r="L52" s="550"/>
      <c r="M52" s="550"/>
    </row>
    <row r="53" spans="3:13" ht="15">
      <c r="C53" s="170">
        <v>0.001</v>
      </c>
      <c r="D53" s="550"/>
      <c r="E53" s="550"/>
      <c r="F53" s="550"/>
      <c r="G53" s="550"/>
      <c r="H53" s="550"/>
      <c r="I53" s="550"/>
      <c r="J53" s="550"/>
      <c r="K53" s="550"/>
      <c r="L53" s="550"/>
      <c r="M53" s="550"/>
    </row>
    <row r="55" spans="3:6" ht="15">
      <c r="C55" s="330"/>
      <c r="E55" s="163" t="s">
        <v>262</v>
      </c>
      <c r="F55" s="163" t="str">
        <f>"Area of "&amp;C56&amp;" whose risk changes due to changes in water levels"</f>
        <v>Area of HORTICULTURE whose risk changes due to changes in water levels</v>
      </c>
    </row>
    <row r="56" spans="3:13" ht="15">
      <c r="C56" s="330" t="s">
        <v>753</v>
      </c>
      <c r="D56" s="169">
        <v>1</v>
      </c>
      <c r="E56" s="169">
        <v>0.5</v>
      </c>
      <c r="F56" s="169">
        <v>0.2</v>
      </c>
      <c r="G56" s="169">
        <v>0.1</v>
      </c>
      <c r="H56" s="169">
        <v>0.04</v>
      </c>
      <c r="I56" s="169">
        <v>0.02</v>
      </c>
      <c r="J56" s="407">
        <v>0.0133</v>
      </c>
      <c r="K56" s="169">
        <v>0.01</v>
      </c>
      <c r="L56" s="170">
        <v>0.005</v>
      </c>
      <c r="M56" s="170">
        <v>0.001</v>
      </c>
    </row>
    <row r="57" spans="3:15" ht="15">
      <c r="C57" s="169">
        <v>1</v>
      </c>
      <c r="D57" s="550"/>
      <c r="E57" s="550"/>
      <c r="F57" s="550"/>
      <c r="G57" s="550"/>
      <c r="H57" s="550"/>
      <c r="I57" s="550"/>
      <c r="J57" s="550"/>
      <c r="K57" s="550"/>
      <c r="L57" s="550"/>
      <c r="M57" s="550"/>
      <c r="O57" s="163" t="s">
        <v>754</v>
      </c>
    </row>
    <row r="58" spans="2:13" ht="15">
      <c r="B58" s="591" t="s">
        <v>294</v>
      </c>
      <c r="C58" s="169">
        <v>0.5</v>
      </c>
      <c r="D58" s="550"/>
      <c r="E58" s="550"/>
      <c r="F58" s="550"/>
      <c r="G58" s="550"/>
      <c r="H58" s="550"/>
      <c r="I58" s="550"/>
      <c r="J58" s="550"/>
      <c r="K58" s="550"/>
      <c r="L58" s="550"/>
      <c r="M58" s="550"/>
    </row>
    <row r="59" spans="2:15" ht="15">
      <c r="B59" s="592"/>
      <c r="C59" s="169">
        <v>0.2</v>
      </c>
      <c r="D59" s="550"/>
      <c r="E59" s="550"/>
      <c r="F59" s="550"/>
      <c r="G59" s="550"/>
      <c r="H59" s="550"/>
      <c r="I59" s="550"/>
      <c r="J59" s="550"/>
      <c r="K59" s="550"/>
      <c r="L59" s="550"/>
      <c r="M59" s="550"/>
      <c r="O59" s="163" t="s">
        <v>950</v>
      </c>
    </row>
    <row r="60" spans="3:15" ht="15">
      <c r="C60" s="169">
        <v>0.1</v>
      </c>
      <c r="D60" s="550"/>
      <c r="E60" s="550"/>
      <c r="F60" s="550"/>
      <c r="G60" s="550"/>
      <c r="H60" s="550"/>
      <c r="I60" s="550"/>
      <c r="J60" s="550"/>
      <c r="K60" s="550"/>
      <c r="L60" s="550"/>
      <c r="M60" s="550"/>
      <c r="O60" s="163" t="s">
        <v>374</v>
      </c>
    </row>
    <row r="61" spans="3:15" ht="15">
      <c r="C61" s="169">
        <v>0.04</v>
      </c>
      <c r="D61" s="550"/>
      <c r="E61" s="550"/>
      <c r="F61" s="550"/>
      <c r="G61" s="550"/>
      <c r="H61" s="550"/>
      <c r="I61" s="550"/>
      <c r="J61" s="550"/>
      <c r="K61" s="550"/>
      <c r="L61" s="550"/>
      <c r="M61" s="550"/>
      <c r="O61" s="163" t="s">
        <v>951</v>
      </c>
    </row>
    <row r="62" spans="3:13" ht="15">
      <c r="C62" s="169">
        <v>0.02</v>
      </c>
      <c r="D62" s="550"/>
      <c r="E62" s="550"/>
      <c r="F62" s="550"/>
      <c r="G62" s="550"/>
      <c r="H62" s="550"/>
      <c r="I62" s="550"/>
      <c r="J62" s="550"/>
      <c r="K62" s="550"/>
      <c r="L62" s="550"/>
      <c r="M62" s="550"/>
    </row>
    <row r="63" spans="3:13" ht="15">
      <c r="C63" s="407">
        <v>0.0133</v>
      </c>
      <c r="D63" s="550"/>
      <c r="E63" s="550"/>
      <c r="F63" s="550"/>
      <c r="G63" s="550"/>
      <c r="H63" s="550"/>
      <c r="I63" s="550"/>
      <c r="J63" s="550"/>
      <c r="K63" s="550"/>
      <c r="L63" s="550"/>
      <c r="M63" s="550"/>
    </row>
    <row r="64" spans="3:13" ht="15">
      <c r="C64" s="169">
        <v>0.01</v>
      </c>
      <c r="D64" s="550"/>
      <c r="E64" s="550"/>
      <c r="F64" s="550"/>
      <c r="G64" s="550"/>
      <c r="H64" s="550"/>
      <c r="I64" s="550"/>
      <c r="J64" s="550"/>
      <c r="K64" s="550"/>
      <c r="L64" s="550"/>
      <c r="M64" s="550"/>
    </row>
    <row r="65" spans="3:13" ht="15">
      <c r="C65" s="170">
        <v>0.005</v>
      </c>
      <c r="D65" s="550"/>
      <c r="E65" s="550"/>
      <c r="F65" s="550"/>
      <c r="G65" s="550"/>
      <c r="H65" s="550"/>
      <c r="I65" s="550"/>
      <c r="J65" s="550"/>
      <c r="K65" s="550"/>
      <c r="L65" s="550"/>
      <c r="M65" s="550"/>
    </row>
    <row r="66" spans="3:13" ht="15">
      <c r="C66" s="170">
        <v>0.001</v>
      </c>
      <c r="D66" s="550"/>
      <c r="E66" s="550"/>
      <c r="F66" s="550"/>
      <c r="G66" s="550"/>
      <c r="H66" s="550"/>
      <c r="I66" s="550"/>
      <c r="J66" s="550"/>
      <c r="K66" s="550"/>
      <c r="L66" s="550"/>
      <c r="M66" s="550"/>
    </row>
    <row r="68" spans="3:6" ht="15">
      <c r="C68" s="491"/>
      <c r="E68" s="163" t="s">
        <v>262</v>
      </c>
      <c r="F68" s="163" t="str">
        <f>"Area of "&amp;C69&amp;" whose risk changes due to changes in water levels"</f>
        <v>Area of OTHER whose risk changes due to changes in water levels</v>
      </c>
    </row>
    <row r="69" spans="3:13" ht="15">
      <c r="C69" s="491" t="s">
        <v>331</v>
      </c>
      <c r="D69" s="169">
        <v>1</v>
      </c>
      <c r="E69" s="169">
        <v>0.5</v>
      </c>
      <c r="F69" s="169">
        <v>0.2</v>
      </c>
      <c r="G69" s="169">
        <v>0.1</v>
      </c>
      <c r="H69" s="169">
        <v>0.04</v>
      </c>
      <c r="I69" s="169">
        <v>0.02</v>
      </c>
      <c r="J69" s="407">
        <v>0.0133</v>
      </c>
      <c r="K69" s="169">
        <v>0.01</v>
      </c>
      <c r="L69" s="170">
        <v>0.005</v>
      </c>
      <c r="M69" s="170">
        <v>0.001</v>
      </c>
    </row>
    <row r="70" spans="3:15" ht="15">
      <c r="C70" s="169">
        <v>1</v>
      </c>
      <c r="D70" s="550"/>
      <c r="E70" s="550"/>
      <c r="F70" s="550"/>
      <c r="G70" s="550"/>
      <c r="H70" s="550"/>
      <c r="I70" s="550"/>
      <c r="J70" s="550"/>
      <c r="K70" s="550"/>
      <c r="L70" s="550"/>
      <c r="M70" s="550"/>
      <c r="O70" s="163" t="s">
        <v>754</v>
      </c>
    </row>
    <row r="71" spans="2:13" ht="15">
      <c r="B71" s="591" t="s">
        <v>294</v>
      </c>
      <c r="C71" s="169">
        <v>0.5</v>
      </c>
      <c r="D71" s="550"/>
      <c r="E71" s="550"/>
      <c r="F71" s="550"/>
      <c r="G71" s="550"/>
      <c r="H71" s="550"/>
      <c r="I71" s="550"/>
      <c r="J71" s="550"/>
      <c r="K71" s="550"/>
      <c r="L71" s="550"/>
      <c r="M71" s="550"/>
    </row>
    <row r="72" spans="2:15" ht="15">
      <c r="B72" s="592"/>
      <c r="C72" s="169">
        <v>0.2</v>
      </c>
      <c r="D72" s="550"/>
      <c r="E72" s="550"/>
      <c r="F72" s="550"/>
      <c r="G72" s="550"/>
      <c r="H72" s="550"/>
      <c r="I72" s="550"/>
      <c r="J72" s="550"/>
      <c r="K72" s="550"/>
      <c r="L72" s="550"/>
      <c r="M72" s="550"/>
      <c r="O72" s="163" t="s">
        <v>950</v>
      </c>
    </row>
    <row r="73" spans="3:15" ht="15">
      <c r="C73" s="169">
        <v>0.1</v>
      </c>
      <c r="D73" s="550"/>
      <c r="E73" s="550"/>
      <c r="F73" s="550"/>
      <c r="G73" s="550"/>
      <c r="H73" s="550"/>
      <c r="I73" s="550"/>
      <c r="J73" s="550"/>
      <c r="K73" s="550"/>
      <c r="L73" s="550"/>
      <c r="M73" s="550"/>
      <c r="O73" s="163" t="s">
        <v>374</v>
      </c>
    </row>
    <row r="74" spans="3:15" ht="15">
      <c r="C74" s="169">
        <v>0.04</v>
      </c>
      <c r="D74" s="550"/>
      <c r="E74" s="550"/>
      <c r="F74" s="550"/>
      <c r="G74" s="550"/>
      <c r="H74" s="550"/>
      <c r="I74" s="550"/>
      <c r="J74" s="550"/>
      <c r="K74" s="550"/>
      <c r="L74" s="550"/>
      <c r="M74" s="550"/>
      <c r="O74" s="163" t="s">
        <v>951</v>
      </c>
    </row>
    <row r="75" spans="3:13" ht="15">
      <c r="C75" s="169">
        <v>0.02</v>
      </c>
      <c r="D75" s="550"/>
      <c r="E75" s="550"/>
      <c r="F75" s="550"/>
      <c r="G75" s="550"/>
      <c r="H75" s="550"/>
      <c r="I75" s="550"/>
      <c r="J75" s="550"/>
      <c r="K75" s="550"/>
      <c r="L75" s="550"/>
      <c r="M75" s="550"/>
    </row>
    <row r="76" spans="3:13" ht="15">
      <c r="C76" s="407">
        <v>0.0133</v>
      </c>
      <c r="D76" s="550"/>
      <c r="E76" s="550"/>
      <c r="F76" s="550"/>
      <c r="G76" s="550"/>
      <c r="H76" s="550"/>
      <c r="I76" s="550"/>
      <c r="J76" s="550"/>
      <c r="K76" s="550"/>
      <c r="L76" s="550"/>
      <c r="M76" s="550"/>
    </row>
    <row r="77" spans="3:13" ht="15">
      <c r="C77" s="169">
        <v>0.01</v>
      </c>
      <c r="D77" s="550"/>
      <c r="E77" s="550"/>
      <c r="F77" s="550"/>
      <c r="G77" s="550"/>
      <c r="H77" s="550"/>
      <c r="I77" s="550"/>
      <c r="J77" s="550"/>
      <c r="K77" s="550"/>
      <c r="L77" s="550"/>
      <c r="M77" s="550"/>
    </row>
    <row r="78" spans="3:13" ht="15">
      <c r="C78" s="170">
        <v>0.005</v>
      </c>
      <c r="D78" s="550"/>
      <c r="E78" s="550"/>
      <c r="F78" s="550"/>
      <c r="G78" s="550"/>
      <c r="H78" s="550"/>
      <c r="I78" s="550"/>
      <c r="J78" s="550"/>
      <c r="K78" s="550"/>
      <c r="L78" s="550"/>
      <c r="M78" s="550"/>
    </row>
    <row r="79" spans="3:13" ht="15">
      <c r="C79" s="170">
        <v>0.001</v>
      </c>
      <c r="D79" s="550"/>
      <c r="E79" s="550"/>
      <c r="F79" s="550"/>
      <c r="G79" s="550"/>
      <c r="H79" s="550"/>
      <c r="I79" s="550"/>
      <c r="J79" s="550"/>
      <c r="K79" s="550"/>
      <c r="L79" s="550"/>
      <c r="M79" s="550"/>
    </row>
    <row r="81" spans="3:13" ht="15">
      <c r="C81" s="203" t="str">
        <f>C4</f>
        <v>ARABLE - COMBINABLE CROPS</v>
      </c>
      <c r="D81" s="169">
        <v>1</v>
      </c>
      <c r="E81" s="169">
        <v>0.5</v>
      </c>
      <c r="F81" s="169">
        <v>0.2</v>
      </c>
      <c r="G81" s="169">
        <v>0.1</v>
      </c>
      <c r="H81" s="169">
        <v>0.04</v>
      </c>
      <c r="I81" s="169">
        <v>0.02</v>
      </c>
      <c r="J81" s="407">
        <v>0.0133</v>
      </c>
      <c r="K81" s="169">
        <v>0.01</v>
      </c>
      <c r="L81" s="170">
        <v>0.005</v>
      </c>
      <c r="M81" s="170">
        <v>0.001</v>
      </c>
    </row>
    <row r="82" spans="3:25" ht="30">
      <c r="C82" s="163" t="s">
        <v>377</v>
      </c>
      <c r="D82" s="554" t="s">
        <v>195</v>
      </c>
      <c r="E82" s="554" t="s">
        <v>195</v>
      </c>
      <c r="F82" s="554" t="s">
        <v>195</v>
      </c>
      <c r="G82" s="554" t="s">
        <v>378</v>
      </c>
      <c r="H82" s="554" t="s">
        <v>378</v>
      </c>
      <c r="I82" s="554" t="s">
        <v>378</v>
      </c>
      <c r="J82" s="554" t="s">
        <v>378</v>
      </c>
      <c r="K82" s="554" t="s">
        <v>378</v>
      </c>
      <c r="L82" s="554" t="s">
        <v>378</v>
      </c>
      <c r="M82" s="554" t="s">
        <v>378</v>
      </c>
      <c r="O82" s="591" t="s">
        <v>380</v>
      </c>
      <c r="P82" s="590"/>
      <c r="Q82" s="590"/>
      <c r="R82" s="590"/>
      <c r="S82" s="590"/>
      <c r="T82" s="590"/>
      <c r="U82" s="590"/>
      <c r="V82" s="590"/>
      <c r="W82" s="590"/>
      <c r="X82" s="590"/>
      <c r="Y82" s="590"/>
    </row>
    <row r="83" spans="4:13" ht="15">
      <c r="D83" s="202"/>
      <c r="E83" s="202"/>
      <c r="F83" s="202"/>
      <c r="G83" s="202"/>
      <c r="H83" s="202"/>
      <c r="I83" s="202"/>
      <c r="J83" s="397"/>
      <c r="K83" s="202"/>
      <c r="L83" s="397"/>
      <c r="M83" s="202"/>
    </row>
    <row r="84" spans="3:13" ht="15">
      <c r="C84" s="491" t="str">
        <f>C17</f>
        <v>ARABLE - NON-COMBINABLE CROPS</v>
      </c>
      <c r="D84" s="169">
        <v>1</v>
      </c>
      <c r="E84" s="169">
        <v>0.5</v>
      </c>
      <c r="F84" s="169">
        <v>0.2</v>
      </c>
      <c r="G84" s="169">
        <v>0.1</v>
      </c>
      <c r="H84" s="169">
        <v>0.04</v>
      </c>
      <c r="I84" s="169">
        <v>0.02</v>
      </c>
      <c r="J84" s="407">
        <v>0.0133</v>
      </c>
      <c r="K84" s="169">
        <v>0.01</v>
      </c>
      <c r="L84" s="170">
        <v>0.005</v>
      </c>
      <c r="M84" s="170">
        <v>0.001</v>
      </c>
    </row>
    <row r="85" spans="3:25" ht="30">
      <c r="C85" s="163" t="s">
        <v>377</v>
      </c>
      <c r="D85" s="554" t="s">
        <v>195</v>
      </c>
      <c r="E85" s="554" t="s">
        <v>195</v>
      </c>
      <c r="F85" s="554" t="s">
        <v>195</v>
      </c>
      <c r="G85" s="554" t="s">
        <v>378</v>
      </c>
      <c r="H85" s="554" t="s">
        <v>378</v>
      </c>
      <c r="I85" s="554" t="s">
        <v>378</v>
      </c>
      <c r="J85" s="554" t="s">
        <v>378</v>
      </c>
      <c r="K85" s="554" t="s">
        <v>378</v>
      </c>
      <c r="L85" s="554" t="s">
        <v>378</v>
      </c>
      <c r="M85" s="554" t="s">
        <v>378</v>
      </c>
      <c r="O85" s="591" t="s">
        <v>380</v>
      </c>
      <c r="P85" s="590"/>
      <c r="Q85" s="590"/>
      <c r="R85" s="590"/>
      <c r="S85" s="590"/>
      <c r="T85" s="590"/>
      <c r="U85" s="590"/>
      <c r="V85" s="590"/>
      <c r="W85" s="590"/>
      <c r="X85" s="590"/>
      <c r="Y85" s="590"/>
    </row>
    <row r="86" spans="4:13" ht="15">
      <c r="D86" s="490"/>
      <c r="E86" s="490"/>
      <c r="F86" s="490"/>
      <c r="G86" s="490"/>
      <c r="H86" s="490"/>
      <c r="I86" s="490"/>
      <c r="J86" s="490"/>
      <c r="K86" s="490"/>
      <c r="L86" s="490"/>
      <c r="M86" s="490"/>
    </row>
    <row r="87" spans="3:13" ht="15">
      <c r="C87" s="203" t="s">
        <v>379</v>
      </c>
      <c r="D87" s="206">
        <v>1</v>
      </c>
      <c r="E87" s="206">
        <v>0.5</v>
      </c>
      <c r="F87" s="206">
        <v>0.2</v>
      </c>
      <c r="G87" s="206">
        <v>0.1</v>
      </c>
      <c r="H87" s="206">
        <v>0.04</v>
      </c>
      <c r="I87" s="206">
        <v>0.02</v>
      </c>
      <c r="J87" s="407">
        <v>0.0133</v>
      </c>
      <c r="K87" s="169">
        <v>0.01</v>
      </c>
      <c r="L87" s="170">
        <v>0.005</v>
      </c>
      <c r="M87" s="170">
        <v>0.001</v>
      </c>
    </row>
    <row r="88" spans="3:25" ht="30">
      <c r="C88" s="163" t="s">
        <v>377</v>
      </c>
      <c r="D88" s="554" t="s">
        <v>195</v>
      </c>
      <c r="E88" s="554" t="s">
        <v>195</v>
      </c>
      <c r="F88" s="554" t="s">
        <v>378</v>
      </c>
      <c r="G88" s="554" t="s">
        <v>378</v>
      </c>
      <c r="H88" s="554" t="s">
        <v>378</v>
      </c>
      <c r="I88" s="554" t="s">
        <v>378</v>
      </c>
      <c r="J88" s="554" t="s">
        <v>378</v>
      </c>
      <c r="K88" s="554" t="s">
        <v>378</v>
      </c>
      <c r="L88" s="554" t="s">
        <v>378</v>
      </c>
      <c r="M88" s="554" t="s">
        <v>378</v>
      </c>
      <c r="O88" s="591" t="s">
        <v>381</v>
      </c>
      <c r="P88" s="590"/>
      <c r="Q88" s="590"/>
      <c r="R88" s="590"/>
      <c r="S88" s="590"/>
      <c r="T88" s="590"/>
      <c r="U88" s="590"/>
      <c r="V88" s="590"/>
      <c r="W88" s="590"/>
      <c r="X88" s="590"/>
      <c r="Y88" s="590"/>
    </row>
    <row r="90" spans="3:13" ht="15">
      <c r="C90" s="298" t="s">
        <v>912</v>
      </c>
      <c r="D90" s="206">
        <v>1</v>
      </c>
      <c r="E90" s="206">
        <v>0.5</v>
      </c>
      <c r="F90" s="206">
        <v>0.2</v>
      </c>
      <c r="G90" s="206">
        <v>0.1</v>
      </c>
      <c r="H90" s="206">
        <v>0.04</v>
      </c>
      <c r="I90" s="206">
        <v>0.02</v>
      </c>
      <c r="J90" s="407">
        <v>0.0133</v>
      </c>
      <c r="K90" s="169">
        <v>0.01</v>
      </c>
      <c r="L90" s="170">
        <v>0.005</v>
      </c>
      <c r="M90" s="170">
        <v>0.001</v>
      </c>
    </row>
    <row r="91" spans="3:25" ht="30">
      <c r="C91" s="163" t="s">
        <v>377</v>
      </c>
      <c r="D91" s="554" t="s">
        <v>195</v>
      </c>
      <c r="E91" s="554" t="s">
        <v>195</v>
      </c>
      <c r="F91" s="554" t="s">
        <v>378</v>
      </c>
      <c r="G91" s="554" t="s">
        <v>378</v>
      </c>
      <c r="H91" s="554" t="s">
        <v>378</v>
      </c>
      <c r="I91" s="554" t="s">
        <v>378</v>
      </c>
      <c r="J91" s="554" t="s">
        <v>378</v>
      </c>
      <c r="K91" s="554" t="s">
        <v>378</v>
      </c>
      <c r="L91" s="554" t="s">
        <v>378</v>
      </c>
      <c r="M91" s="554" t="s">
        <v>378</v>
      </c>
      <c r="O91" s="591" t="s">
        <v>381</v>
      </c>
      <c r="P91" s="590"/>
      <c r="Q91" s="590"/>
      <c r="R91" s="590"/>
      <c r="S91" s="590"/>
      <c r="T91" s="590"/>
      <c r="U91" s="590"/>
      <c r="V91" s="590"/>
      <c r="W91" s="590"/>
      <c r="X91" s="590"/>
      <c r="Y91" s="590"/>
    </row>
    <row r="93" spans="3:13" ht="15">
      <c r="C93" s="330" t="str">
        <f>C56</f>
        <v>HORTICULTURE</v>
      </c>
      <c r="D93" s="206">
        <v>1</v>
      </c>
      <c r="E93" s="206">
        <v>0.5</v>
      </c>
      <c r="F93" s="206">
        <v>0.2</v>
      </c>
      <c r="G93" s="206">
        <v>0.1</v>
      </c>
      <c r="H93" s="206">
        <v>0.04</v>
      </c>
      <c r="I93" s="206">
        <v>0.02</v>
      </c>
      <c r="J93" s="407">
        <v>0.0133</v>
      </c>
      <c r="K93" s="169">
        <v>0.01</v>
      </c>
      <c r="L93" s="170">
        <v>0.005</v>
      </c>
      <c r="M93" s="170">
        <v>0.001</v>
      </c>
    </row>
    <row r="94" spans="3:25" ht="30">
      <c r="C94" s="163" t="s">
        <v>377</v>
      </c>
      <c r="D94" s="554" t="s">
        <v>195</v>
      </c>
      <c r="E94" s="554" t="s">
        <v>195</v>
      </c>
      <c r="F94" s="554" t="s">
        <v>195</v>
      </c>
      <c r="G94" s="554" t="s">
        <v>378</v>
      </c>
      <c r="H94" s="554" t="s">
        <v>378</v>
      </c>
      <c r="I94" s="554" t="s">
        <v>378</v>
      </c>
      <c r="J94" s="554" t="s">
        <v>378</v>
      </c>
      <c r="K94" s="554" t="s">
        <v>378</v>
      </c>
      <c r="L94" s="554" t="s">
        <v>378</v>
      </c>
      <c r="M94" s="554" t="s">
        <v>378</v>
      </c>
      <c r="O94" s="591" t="s">
        <v>381</v>
      </c>
      <c r="P94" s="590"/>
      <c r="Q94" s="590"/>
      <c r="R94" s="590"/>
      <c r="S94" s="590"/>
      <c r="T94" s="590"/>
      <c r="U94" s="590"/>
      <c r="V94" s="590"/>
      <c r="W94" s="590"/>
      <c r="X94" s="590"/>
      <c r="Y94" s="590"/>
    </row>
    <row r="96" spans="3:13" ht="15">
      <c r="C96" s="491" t="str">
        <f>C69</f>
        <v>OTHER</v>
      </c>
      <c r="D96" s="206">
        <v>1</v>
      </c>
      <c r="E96" s="206">
        <v>0.5</v>
      </c>
      <c r="F96" s="206">
        <v>0.2</v>
      </c>
      <c r="G96" s="206">
        <v>0.1</v>
      </c>
      <c r="H96" s="206">
        <v>0.04</v>
      </c>
      <c r="I96" s="206">
        <v>0.02</v>
      </c>
      <c r="J96" s="407">
        <v>0.0133</v>
      </c>
      <c r="K96" s="169">
        <v>0.01</v>
      </c>
      <c r="L96" s="170">
        <v>0.005</v>
      </c>
      <c r="M96" s="170">
        <v>0.001</v>
      </c>
    </row>
    <row r="97" spans="3:25" ht="30">
      <c r="C97" s="163" t="s">
        <v>377</v>
      </c>
      <c r="D97" s="554" t="s">
        <v>195</v>
      </c>
      <c r="E97" s="554" t="s">
        <v>195</v>
      </c>
      <c r="F97" s="554" t="s">
        <v>195</v>
      </c>
      <c r="G97" s="554" t="s">
        <v>378</v>
      </c>
      <c r="H97" s="554" t="s">
        <v>378</v>
      </c>
      <c r="I97" s="554" t="s">
        <v>378</v>
      </c>
      <c r="J97" s="554" t="s">
        <v>378</v>
      </c>
      <c r="K97" s="554" t="s">
        <v>378</v>
      </c>
      <c r="L97" s="554" t="s">
        <v>378</v>
      </c>
      <c r="M97" s="554" t="s">
        <v>378</v>
      </c>
      <c r="O97" s="591" t="s">
        <v>381</v>
      </c>
      <c r="P97" s="590"/>
      <c r="Q97" s="590"/>
      <c r="R97" s="590"/>
      <c r="S97" s="590"/>
      <c r="T97" s="590"/>
      <c r="U97" s="590"/>
      <c r="V97" s="590"/>
      <c r="W97" s="590"/>
      <c r="X97" s="590"/>
      <c r="Y97" s="590"/>
    </row>
    <row r="99" spans="3:7" ht="30">
      <c r="C99" s="203" t="str">
        <f>C81</f>
        <v>ARABLE - COMBINABLE CROPS</v>
      </c>
      <c r="D99" s="202" t="s">
        <v>195</v>
      </c>
      <c r="G99" s="202" t="s">
        <v>378</v>
      </c>
    </row>
    <row r="100" spans="3:13" ht="74.25" customHeight="1">
      <c r="C100" s="203" t="s">
        <v>382</v>
      </c>
      <c r="D100" s="555">
        <v>19676</v>
      </c>
      <c r="E100" s="591" t="s">
        <v>800</v>
      </c>
      <c r="F100" s="591"/>
      <c r="G100" s="202" t="s">
        <v>194</v>
      </c>
      <c r="H100" s="555">
        <v>776</v>
      </c>
      <c r="I100" s="202" t="s">
        <v>392</v>
      </c>
      <c r="J100" s="397"/>
      <c r="K100" s="163" t="s">
        <v>385</v>
      </c>
      <c r="M100" s="163" t="s">
        <v>393</v>
      </c>
    </row>
    <row r="101" ht="15">
      <c r="D101" s="163" t="s">
        <v>386</v>
      </c>
    </row>
    <row r="102" ht="15">
      <c r="D102" s="163" t="s">
        <v>387</v>
      </c>
    </row>
    <row r="103" spans="1:5" ht="29.25" customHeight="1">
      <c r="A103" s="706" t="s">
        <v>388</v>
      </c>
      <c r="B103" s="592"/>
      <c r="C103" s="592"/>
      <c r="D103" s="556">
        <v>20</v>
      </c>
      <c r="E103" s="163" t="s">
        <v>391</v>
      </c>
    </row>
    <row r="104" spans="1:5" ht="15">
      <c r="A104" s="202"/>
      <c r="B104" s="202"/>
      <c r="C104" s="203" t="s">
        <v>390</v>
      </c>
      <c r="D104" s="162">
        <f>VLOOKUP(D103-1,Sheet1!A15:C114,3,FALSE)</f>
        <v>14.70983741752063</v>
      </c>
      <c r="E104" s="163" t="str">
        <f>"Sum of discount factors from year 0 to year "&amp;D103</f>
        <v>Sum of discount factors from year 0 to year 20</v>
      </c>
    </row>
    <row r="105" spans="3:5" ht="15">
      <c r="C105" s="203" t="s">
        <v>389</v>
      </c>
      <c r="D105" s="308">
        <f>D100/D104</f>
        <v>1337.608257761181</v>
      </c>
      <c r="E105" s="163" t="s">
        <v>392</v>
      </c>
    </row>
    <row r="106" spans="1:6" ht="15">
      <c r="A106" s="296"/>
      <c r="C106" s="298" t="s">
        <v>383</v>
      </c>
      <c r="D106" s="207">
        <v>600</v>
      </c>
      <c r="E106" s="591" t="s">
        <v>384</v>
      </c>
      <c r="F106" s="592"/>
    </row>
    <row r="107" spans="3:5" ht="15">
      <c r="C107" s="298" t="s">
        <v>656</v>
      </c>
      <c r="D107" s="207">
        <f>D105-D106</f>
        <v>737.608257761181</v>
      </c>
      <c r="E107" s="163" t="s">
        <v>392</v>
      </c>
    </row>
    <row r="109" spans="3:7" ht="30">
      <c r="C109" s="491" t="str">
        <f>C84</f>
        <v>ARABLE - NON-COMBINABLE CROPS</v>
      </c>
      <c r="D109" s="490" t="s">
        <v>195</v>
      </c>
      <c r="G109" s="490" t="s">
        <v>378</v>
      </c>
    </row>
    <row r="110" spans="3:13" ht="74.25" customHeight="1">
      <c r="C110" s="491" t="s">
        <v>382</v>
      </c>
      <c r="D110" s="555">
        <v>19676</v>
      </c>
      <c r="E110" s="591" t="s">
        <v>800</v>
      </c>
      <c r="F110" s="591"/>
      <c r="G110" s="490" t="s">
        <v>194</v>
      </c>
      <c r="H110" s="555">
        <v>776</v>
      </c>
      <c r="I110" s="490" t="s">
        <v>392</v>
      </c>
      <c r="J110" s="490"/>
      <c r="K110" s="163" t="s">
        <v>385</v>
      </c>
      <c r="M110" s="163" t="s">
        <v>393</v>
      </c>
    </row>
    <row r="111" ht="15">
      <c r="D111" s="163" t="s">
        <v>386</v>
      </c>
    </row>
    <row r="112" ht="15">
      <c r="D112" s="163" t="s">
        <v>387</v>
      </c>
    </row>
    <row r="113" spans="1:5" ht="29.25" customHeight="1">
      <c r="A113" s="706" t="s">
        <v>388</v>
      </c>
      <c r="B113" s="592"/>
      <c r="C113" s="592"/>
      <c r="D113" s="556">
        <v>20</v>
      </c>
      <c r="E113" s="163" t="s">
        <v>391</v>
      </c>
    </row>
    <row r="114" spans="1:5" ht="15">
      <c r="A114" s="490"/>
      <c r="B114" s="490"/>
      <c r="C114" s="491" t="s">
        <v>390</v>
      </c>
      <c r="D114" s="162">
        <f>VLOOKUP(D113-1,Sheet1!A25:C124,3,FALSE)</f>
        <v>14.70983741752063</v>
      </c>
      <c r="E114" s="163" t="str">
        <f>"Sum of discount factors from year 0 to year "&amp;D113</f>
        <v>Sum of discount factors from year 0 to year 20</v>
      </c>
    </row>
    <row r="115" spans="3:5" ht="15">
      <c r="C115" s="491" t="s">
        <v>389</v>
      </c>
      <c r="D115" s="308">
        <f>D110/D114</f>
        <v>1337.608257761181</v>
      </c>
      <c r="E115" s="163" t="s">
        <v>392</v>
      </c>
    </row>
    <row r="116" spans="1:6" ht="15">
      <c r="A116" s="490"/>
      <c r="C116" s="491" t="s">
        <v>383</v>
      </c>
      <c r="D116" s="207">
        <v>600</v>
      </c>
      <c r="E116" s="591" t="s">
        <v>384</v>
      </c>
      <c r="F116" s="592"/>
    </row>
    <row r="117" spans="3:5" ht="15">
      <c r="C117" s="491" t="s">
        <v>656</v>
      </c>
      <c r="D117" s="207">
        <f>D115-D116</f>
        <v>737.608257761181</v>
      </c>
      <c r="E117" s="163" t="s">
        <v>392</v>
      </c>
    </row>
    <row r="119" spans="3:7" ht="30">
      <c r="C119" s="203" t="s">
        <v>379</v>
      </c>
      <c r="D119" s="202" t="s">
        <v>195</v>
      </c>
      <c r="G119" s="202" t="s">
        <v>378</v>
      </c>
    </row>
    <row r="120" spans="3:13" ht="75" customHeight="1">
      <c r="C120" s="203" t="s">
        <v>382</v>
      </c>
      <c r="D120" s="555">
        <v>19676</v>
      </c>
      <c r="E120" s="591" t="s">
        <v>800</v>
      </c>
      <c r="F120" s="591"/>
      <c r="G120" s="202" t="s">
        <v>194</v>
      </c>
      <c r="H120" s="555">
        <v>271</v>
      </c>
      <c r="I120" s="202" t="s">
        <v>208</v>
      </c>
      <c r="J120" s="397"/>
      <c r="K120" s="163" t="s">
        <v>385</v>
      </c>
      <c r="M120" s="163" t="s">
        <v>394</v>
      </c>
    </row>
    <row r="121" spans="3:11" ht="15">
      <c r="C121" s="203"/>
      <c r="D121" s="168"/>
      <c r="E121" s="591"/>
      <c r="F121" s="592"/>
      <c r="H121" s="556">
        <v>3.2</v>
      </c>
      <c r="I121" s="163" t="s">
        <v>209</v>
      </c>
      <c r="K121" s="163" t="s">
        <v>395</v>
      </c>
    </row>
    <row r="122" spans="3:9" ht="15">
      <c r="C122" s="203"/>
      <c r="D122" s="168"/>
      <c r="H122" s="207">
        <f>H120*H121</f>
        <v>867.2</v>
      </c>
      <c r="I122" s="163" t="s">
        <v>392</v>
      </c>
    </row>
    <row r="123" ht="15">
      <c r="D123" s="163" t="s">
        <v>386</v>
      </c>
    </row>
    <row r="124" ht="15">
      <c r="D124" s="163" t="s">
        <v>387</v>
      </c>
    </row>
    <row r="125" spans="1:5" ht="15">
      <c r="A125" s="706" t="s">
        <v>388</v>
      </c>
      <c r="B125" s="592"/>
      <c r="C125" s="592"/>
      <c r="D125" s="556">
        <v>20</v>
      </c>
      <c r="E125" s="163" t="s">
        <v>391</v>
      </c>
    </row>
    <row r="126" spans="1:5" ht="15">
      <c r="A126" s="202"/>
      <c r="B126" s="202"/>
      <c r="C126" s="203" t="s">
        <v>390</v>
      </c>
      <c r="D126" s="162">
        <f>VLOOKUP(D125-1,Sheet1!$A$15:$C$114,3,FALSE)</f>
        <v>14.70983741752063</v>
      </c>
      <c r="E126" s="163" t="str">
        <f>"Sum of discount factors from year 0 to year "&amp;D125</f>
        <v>Sum of discount factors from year 0 to year 20</v>
      </c>
    </row>
    <row r="127" spans="3:5" ht="15">
      <c r="C127" s="203" t="s">
        <v>389</v>
      </c>
      <c r="D127" s="308">
        <f>D120/D126</f>
        <v>1337.608257761181</v>
      </c>
      <c r="E127" s="163" t="s">
        <v>392</v>
      </c>
    </row>
    <row r="128" spans="1:6" ht="15">
      <c r="A128" s="296"/>
      <c r="C128" s="298" t="s">
        <v>383</v>
      </c>
      <c r="D128" s="207">
        <v>600</v>
      </c>
      <c r="E128" s="591" t="s">
        <v>384</v>
      </c>
      <c r="F128" s="592"/>
    </row>
    <row r="129" spans="3:5" ht="15">
      <c r="C129" s="298" t="s">
        <v>656</v>
      </c>
      <c r="D129" s="207">
        <f>D127-D128</f>
        <v>737.608257761181</v>
      </c>
      <c r="E129" s="163" t="s">
        <v>392</v>
      </c>
    </row>
    <row r="131" spans="3:7" ht="30">
      <c r="C131" s="298" t="str">
        <f>C90</f>
        <v>PIGS/POULTRY</v>
      </c>
      <c r="D131" s="296" t="s">
        <v>195</v>
      </c>
      <c r="G131" s="296" t="s">
        <v>378</v>
      </c>
    </row>
    <row r="132" spans="3:13" ht="73.5" customHeight="1">
      <c r="C132" s="298" t="s">
        <v>382</v>
      </c>
      <c r="D132" s="555">
        <v>19676</v>
      </c>
      <c r="E132" s="591" t="s">
        <v>800</v>
      </c>
      <c r="F132" s="591"/>
      <c r="G132" s="296" t="s">
        <v>194</v>
      </c>
      <c r="H132" s="555">
        <v>271</v>
      </c>
      <c r="I132" s="296" t="s">
        <v>208</v>
      </c>
      <c r="J132" s="397"/>
      <c r="K132" s="163" t="s">
        <v>385</v>
      </c>
      <c r="M132" s="163" t="s">
        <v>394</v>
      </c>
    </row>
    <row r="133" spans="3:11" ht="15">
      <c r="C133" s="298"/>
      <c r="D133" s="168"/>
      <c r="E133" s="591"/>
      <c r="F133" s="592"/>
      <c r="H133" s="556">
        <v>3.2</v>
      </c>
      <c r="I133" s="163" t="s">
        <v>209</v>
      </c>
      <c r="K133" s="163" t="s">
        <v>395</v>
      </c>
    </row>
    <row r="134" spans="3:9" ht="15">
      <c r="C134" s="298"/>
      <c r="D134" s="168"/>
      <c r="H134" s="207">
        <f>H132*H133</f>
        <v>867.2</v>
      </c>
      <c r="I134" s="163" t="s">
        <v>392</v>
      </c>
    </row>
    <row r="135" ht="15">
      <c r="D135" s="163" t="s">
        <v>386</v>
      </c>
    </row>
    <row r="136" ht="15">
      <c r="D136" s="163" t="s">
        <v>387</v>
      </c>
    </row>
    <row r="137" spans="1:5" ht="15">
      <c r="A137" s="706" t="s">
        <v>388</v>
      </c>
      <c r="B137" s="592"/>
      <c r="C137" s="592"/>
      <c r="D137" s="556">
        <v>20</v>
      </c>
      <c r="E137" s="163" t="s">
        <v>391</v>
      </c>
    </row>
    <row r="138" spans="1:5" ht="15">
      <c r="A138" s="296"/>
      <c r="B138" s="296"/>
      <c r="C138" s="298" t="s">
        <v>390</v>
      </c>
      <c r="D138" s="162">
        <f>VLOOKUP(D137-1,Sheet1!$A$15:$C$114,3,FALSE)</f>
        <v>14.70983741752063</v>
      </c>
      <c r="E138" s="163" t="str">
        <f>"Sum of discount factors from year 0 to year "&amp;D137</f>
        <v>Sum of discount factors from year 0 to year 20</v>
      </c>
    </row>
    <row r="139" spans="3:5" ht="15">
      <c r="C139" s="298" t="s">
        <v>389</v>
      </c>
      <c r="D139" s="308">
        <f>D132/D138</f>
        <v>1337.608257761181</v>
      </c>
      <c r="E139" s="163" t="s">
        <v>392</v>
      </c>
    </row>
    <row r="140" spans="1:6" ht="15">
      <c r="A140" s="296"/>
      <c r="C140" s="298" t="s">
        <v>383</v>
      </c>
      <c r="D140" s="207">
        <v>600</v>
      </c>
      <c r="E140" s="591" t="s">
        <v>384</v>
      </c>
      <c r="F140" s="592"/>
    </row>
    <row r="141" spans="3:5" ht="15">
      <c r="C141" s="298" t="s">
        <v>656</v>
      </c>
      <c r="D141" s="207">
        <f>D139-D140</f>
        <v>737.608257761181</v>
      </c>
      <c r="E141" s="163" t="s">
        <v>392</v>
      </c>
    </row>
    <row r="143" spans="3:7" ht="30">
      <c r="C143" s="330" t="str">
        <f>C93</f>
        <v>HORTICULTURE</v>
      </c>
      <c r="D143" s="329" t="s">
        <v>195</v>
      </c>
      <c r="G143" s="329" t="s">
        <v>378</v>
      </c>
    </row>
    <row r="144" spans="3:13" ht="75" customHeight="1">
      <c r="C144" s="330" t="s">
        <v>382</v>
      </c>
      <c r="D144" s="555">
        <v>19676</v>
      </c>
      <c r="E144" s="591" t="s">
        <v>800</v>
      </c>
      <c r="F144" s="591"/>
      <c r="G144" s="329" t="s">
        <v>194</v>
      </c>
      <c r="H144" s="555">
        <v>1355</v>
      </c>
      <c r="I144" s="329" t="s">
        <v>392</v>
      </c>
      <c r="J144" s="397"/>
      <c r="K144" s="163" t="s">
        <v>385</v>
      </c>
      <c r="M144" s="163" t="s">
        <v>755</v>
      </c>
    </row>
    <row r="145" spans="3:6" ht="15">
      <c r="C145" s="330"/>
      <c r="D145" s="168"/>
      <c r="E145" s="591"/>
      <c r="F145" s="592"/>
    </row>
    <row r="146" spans="3:8" ht="15">
      <c r="C146" s="330"/>
      <c r="D146" s="168"/>
      <c r="H146" s="168"/>
    </row>
    <row r="147" ht="15">
      <c r="D147" s="163" t="s">
        <v>386</v>
      </c>
    </row>
    <row r="148" ht="15">
      <c r="D148" s="163" t="s">
        <v>387</v>
      </c>
    </row>
    <row r="149" spans="1:5" ht="15">
      <c r="A149" s="706" t="s">
        <v>388</v>
      </c>
      <c r="B149" s="592"/>
      <c r="C149" s="592"/>
      <c r="D149" s="556">
        <v>20</v>
      </c>
      <c r="E149" s="163" t="s">
        <v>391</v>
      </c>
    </row>
    <row r="150" spans="1:5" ht="15">
      <c r="A150" s="329"/>
      <c r="B150" s="329"/>
      <c r="C150" s="330" t="s">
        <v>390</v>
      </c>
      <c r="D150" s="162">
        <f>VLOOKUP(D149-1,Sheet1!$A$15:$C$114,3,FALSE)</f>
        <v>14.70983741752063</v>
      </c>
      <c r="E150" s="163" t="str">
        <f>"Sum of discount factors from year 0 to year "&amp;D149</f>
        <v>Sum of discount factors from year 0 to year 20</v>
      </c>
    </row>
    <row r="151" spans="3:5" ht="15">
      <c r="C151" s="330" t="s">
        <v>389</v>
      </c>
      <c r="D151" s="308">
        <f>D144/D150</f>
        <v>1337.608257761181</v>
      </c>
      <c r="E151" s="163" t="s">
        <v>392</v>
      </c>
    </row>
    <row r="152" spans="1:6" ht="15">
      <c r="A152" s="329"/>
      <c r="C152" s="330" t="s">
        <v>383</v>
      </c>
      <c r="D152" s="207">
        <v>600</v>
      </c>
      <c r="E152" s="591" t="s">
        <v>384</v>
      </c>
      <c r="F152" s="592"/>
    </row>
    <row r="153" spans="3:5" ht="15">
      <c r="C153" s="330" t="s">
        <v>656</v>
      </c>
      <c r="D153" s="207">
        <f>D151-D152</f>
        <v>737.608257761181</v>
      </c>
      <c r="E153" s="163" t="s">
        <v>392</v>
      </c>
    </row>
    <row r="155" spans="3:7" ht="30">
      <c r="C155" s="491" t="str">
        <f>C96</f>
        <v>OTHER</v>
      </c>
      <c r="D155" s="490" t="s">
        <v>195</v>
      </c>
      <c r="G155" s="490" t="s">
        <v>378</v>
      </c>
    </row>
    <row r="156" spans="3:13" ht="75" customHeight="1">
      <c r="C156" s="491" t="s">
        <v>382</v>
      </c>
      <c r="D156" s="555">
        <v>19676</v>
      </c>
      <c r="E156" s="591" t="s">
        <v>800</v>
      </c>
      <c r="F156" s="591"/>
      <c r="G156" s="490" t="s">
        <v>194</v>
      </c>
      <c r="H156" s="555">
        <v>1355</v>
      </c>
      <c r="I156" s="490" t="s">
        <v>392</v>
      </c>
      <c r="J156" s="490"/>
      <c r="K156" s="163" t="s">
        <v>385</v>
      </c>
      <c r="M156" s="163" t="s">
        <v>755</v>
      </c>
    </row>
    <row r="157" spans="3:6" ht="15">
      <c r="C157" s="491"/>
      <c r="D157" s="168"/>
      <c r="E157" s="591"/>
      <c r="F157" s="592"/>
    </row>
    <row r="158" spans="3:8" ht="15">
      <c r="C158" s="491"/>
      <c r="D158" s="168"/>
      <c r="H158" s="168"/>
    </row>
    <row r="159" ht="15">
      <c r="D159" s="163" t="s">
        <v>386</v>
      </c>
    </row>
    <row r="160" ht="15">
      <c r="D160" s="163" t="s">
        <v>387</v>
      </c>
    </row>
    <row r="161" spans="1:5" ht="15">
      <c r="A161" s="706" t="s">
        <v>388</v>
      </c>
      <c r="B161" s="592"/>
      <c r="C161" s="592"/>
      <c r="D161" s="556">
        <v>20</v>
      </c>
      <c r="E161" s="163" t="s">
        <v>391</v>
      </c>
    </row>
    <row r="162" spans="1:5" ht="15">
      <c r="A162" s="490"/>
      <c r="B162" s="490"/>
      <c r="C162" s="491" t="s">
        <v>390</v>
      </c>
      <c r="D162" s="162">
        <f>VLOOKUP(D161-1,Sheet1!$A$15:$C$114,3,FALSE)</f>
        <v>14.70983741752063</v>
      </c>
      <c r="E162" s="163" t="str">
        <f>"Sum of discount factors from year 0 to year "&amp;D161</f>
        <v>Sum of discount factors from year 0 to year 20</v>
      </c>
    </row>
    <row r="163" spans="3:5" ht="15">
      <c r="C163" s="491" t="s">
        <v>389</v>
      </c>
      <c r="D163" s="308">
        <f>D156/D162</f>
        <v>1337.608257761181</v>
      </c>
      <c r="E163" s="163" t="s">
        <v>392</v>
      </c>
    </row>
    <row r="164" spans="1:6" ht="15">
      <c r="A164" s="490"/>
      <c r="C164" s="491" t="s">
        <v>383</v>
      </c>
      <c r="D164" s="207">
        <v>600</v>
      </c>
      <c r="E164" s="591" t="s">
        <v>384</v>
      </c>
      <c r="F164" s="592"/>
    </row>
    <row r="165" spans="3:5" ht="15">
      <c r="C165" s="491" t="s">
        <v>656</v>
      </c>
      <c r="D165" s="207">
        <f>D163-D164</f>
        <v>737.608257761181</v>
      </c>
      <c r="E165" s="163" t="s">
        <v>392</v>
      </c>
    </row>
    <row r="167" spans="4:14" ht="15">
      <c r="D167" s="169">
        <v>1</v>
      </c>
      <c r="E167" s="169">
        <v>0.5</v>
      </c>
      <c r="F167" s="169">
        <v>0.2</v>
      </c>
      <c r="G167" s="169">
        <v>0.1</v>
      </c>
      <c r="H167" s="169">
        <v>0.04</v>
      </c>
      <c r="I167" s="169">
        <v>0.02</v>
      </c>
      <c r="J167" s="407">
        <v>0.0133</v>
      </c>
      <c r="K167" s="169">
        <v>0.01</v>
      </c>
      <c r="L167" s="170">
        <v>0.005</v>
      </c>
      <c r="M167" s="170">
        <v>0.001</v>
      </c>
      <c r="N167" s="176" t="s">
        <v>61</v>
      </c>
    </row>
    <row r="168" spans="3:14" ht="15">
      <c r="C168" s="198" t="s">
        <v>367</v>
      </c>
      <c r="D168" s="553">
        <f>'Water levels-Business'!D44</f>
        <v>1</v>
      </c>
      <c r="E168" s="553">
        <f>'Water levels-Business'!E44</f>
        <v>1</v>
      </c>
      <c r="F168" s="553">
        <v>0.93</v>
      </c>
      <c r="G168" s="553">
        <v>0.39</v>
      </c>
      <c r="H168" s="553">
        <f>($G$168*H167/$G$167)</f>
        <v>0.156</v>
      </c>
      <c r="I168" s="553">
        <f aca="true" t="shared" si="0" ref="I168:M168">($G$168*I167/$G$167)</f>
        <v>0.078</v>
      </c>
      <c r="J168" s="553">
        <f t="shared" si="0"/>
        <v>0.05186999999999999</v>
      </c>
      <c r="K168" s="553">
        <f t="shared" si="0"/>
        <v>0.039</v>
      </c>
      <c r="L168" s="553">
        <f t="shared" si="0"/>
        <v>0.0195</v>
      </c>
      <c r="M168" s="553">
        <f t="shared" si="0"/>
        <v>0.0039000000000000003</v>
      </c>
      <c r="N168" s="197" t="s">
        <v>902</v>
      </c>
    </row>
    <row r="169" spans="3:14" ht="15">
      <c r="C169" s="203" t="s">
        <v>986</v>
      </c>
      <c r="D169" s="200">
        <f aca="true" t="shared" si="1" ref="D169:M169">IF(D82="Permanent loss",$D107*D168,$H$100*D168)</f>
        <v>737.608257761181</v>
      </c>
      <c r="E169" s="200">
        <f t="shared" si="1"/>
        <v>737.608257761181</v>
      </c>
      <c r="F169" s="200">
        <f t="shared" si="1"/>
        <v>685.9756797178984</v>
      </c>
      <c r="G169" s="200">
        <f t="shared" si="1"/>
        <v>302.64</v>
      </c>
      <c r="H169" s="200">
        <f t="shared" si="1"/>
        <v>121.056</v>
      </c>
      <c r="I169" s="200">
        <f t="shared" si="1"/>
        <v>60.528</v>
      </c>
      <c r="J169" s="200">
        <f t="shared" si="1"/>
        <v>40.25111999999999</v>
      </c>
      <c r="K169" s="200">
        <f t="shared" si="1"/>
        <v>30.264</v>
      </c>
      <c r="L169" s="200">
        <f t="shared" si="1"/>
        <v>15.132</v>
      </c>
      <c r="M169" s="200">
        <f t="shared" si="1"/>
        <v>3.0264</v>
      </c>
      <c r="N169" s="197"/>
    </row>
    <row r="170" spans="3:14" ht="15">
      <c r="C170" s="491" t="s">
        <v>987</v>
      </c>
      <c r="D170" s="200">
        <f>IF(D85="Permanent loss",$D117*D168,$H$110*D168)</f>
        <v>737.608257761181</v>
      </c>
      <c r="E170" s="200">
        <f aca="true" t="shared" si="2" ref="E170:M170">IF(E85="Permanent loss",$D117*E168,$H$110*E168)</f>
        <v>737.608257761181</v>
      </c>
      <c r="F170" s="200">
        <f t="shared" si="2"/>
        <v>685.9756797178984</v>
      </c>
      <c r="G170" s="200">
        <f t="shared" si="2"/>
        <v>302.64</v>
      </c>
      <c r="H170" s="200">
        <f t="shared" si="2"/>
        <v>121.056</v>
      </c>
      <c r="I170" s="200">
        <f t="shared" si="2"/>
        <v>60.528</v>
      </c>
      <c r="J170" s="200">
        <f t="shared" si="2"/>
        <v>40.25111999999999</v>
      </c>
      <c r="K170" s="200">
        <f t="shared" si="2"/>
        <v>30.264</v>
      </c>
      <c r="L170" s="200">
        <f t="shared" si="2"/>
        <v>15.132</v>
      </c>
      <c r="M170" s="200">
        <f t="shared" si="2"/>
        <v>3.0264</v>
      </c>
      <c r="N170" s="197"/>
    </row>
    <row r="171" spans="3:14" ht="15">
      <c r="C171" s="203" t="s">
        <v>211</v>
      </c>
      <c r="D171" s="200">
        <f aca="true" t="shared" si="3" ref="D171:M171">IF(D88="Permanent loss",$D129*D168,$H122*D168)</f>
        <v>737.608257761181</v>
      </c>
      <c r="E171" s="200">
        <f t="shared" si="3"/>
        <v>737.608257761181</v>
      </c>
      <c r="F171" s="200">
        <f t="shared" si="3"/>
        <v>806.4960000000001</v>
      </c>
      <c r="G171" s="200">
        <f t="shared" si="3"/>
        <v>338.208</v>
      </c>
      <c r="H171" s="200">
        <f t="shared" si="3"/>
        <v>135.2832</v>
      </c>
      <c r="I171" s="200">
        <f t="shared" si="3"/>
        <v>67.6416</v>
      </c>
      <c r="J171" s="200">
        <f t="shared" si="3"/>
        <v>44.981663999999995</v>
      </c>
      <c r="K171" s="200">
        <f t="shared" si="3"/>
        <v>33.8208</v>
      </c>
      <c r="L171" s="200">
        <f t="shared" si="3"/>
        <v>16.9104</v>
      </c>
      <c r="M171" s="200">
        <f t="shared" si="3"/>
        <v>3.38208</v>
      </c>
      <c r="N171" s="197"/>
    </row>
    <row r="172" spans="3:14" ht="15">
      <c r="C172" s="330" t="s">
        <v>913</v>
      </c>
      <c r="D172" s="200">
        <f>IF(D91="Permanent loss",$D141*D168,$H134*D168)</f>
        <v>737.608257761181</v>
      </c>
      <c r="E172" s="200">
        <f aca="true" t="shared" si="4" ref="E172:M172">IF(E91="Permanent loss",$D141*E168,$H134*E168)</f>
        <v>737.608257761181</v>
      </c>
      <c r="F172" s="200">
        <f t="shared" si="4"/>
        <v>806.4960000000001</v>
      </c>
      <c r="G172" s="200">
        <f t="shared" si="4"/>
        <v>338.208</v>
      </c>
      <c r="H172" s="200">
        <f t="shared" si="4"/>
        <v>135.2832</v>
      </c>
      <c r="I172" s="200">
        <f t="shared" si="4"/>
        <v>67.6416</v>
      </c>
      <c r="J172" s="200">
        <f t="shared" si="4"/>
        <v>44.981663999999995</v>
      </c>
      <c r="K172" s="200">
        <f t="shared" si="4"/>
        <v>33.8208</v>
      </c>
      <c r="L172" s="200">
        <f t="shared" si="4"/>
        <v>16.9104</v>
      </c>
      <c r="M172" s="200">
        <f t="shared" si="4"/>
        <v>3.38208</v>
      </c>
      <c r="N172" s="197"/>
    </row>
    <row r="173" spans="3:14" ht="15">
      <c r="C173" s="491" t="s">
        <v>756</v>
      </c>
      <c r="D173" s="200">
        <f>IF(D94="Permanent loss",$D153*D168,$H144*D168)</f>
        <v>737.608257761181</v>
      </c>
      <c r="E173" s="200">
        <f aca="true" t="shared" si="5" ref="E173:M173">IF(E94="Permanent loss",$D153*E168,$H144*E168)</f>
        <v>737.608257761181</v>
      </c>
      <c r="F173" s="200">
        <f t="shared" si="5"/>
        <v>685.9756797178984</v>
      </c>
      <c r="G173" s="200">
        <f t="shared" si="5"/>
        <v>528.45</v>
      </c>
      <c r="H173" s="200">
        <f t="shared" si="5"/>
        <v>211.38</v>
      </c>
      <c r="I173" s="200">
        <f t="shared" si="5"/>
        <v>105.69</v>
      </c>
      <c r="J173" s="200">
        <f t="shared" si="5"/>
        <v>70.28384999999999</v>
      </c>
      <c r="K173" s="200">
        <f t="shared" si="5"/>
        <v>52.845</v>
      </c>
      <c r="L173" s="200">
        <f t="shared" si="5"/>
        <v>26.4225</v>
      </c>
      <c r="M173" s="200">
        <f t="shared" si="5"/>
        <v>5.2845</v>
      </c>
      <c r="N173" s="197"/>
    </row>
    <row r="174" spans="3:14" ht="15">
      <c r="C174" s="298" t="s">
        <v>92</v>
      </c>
      <c r="D174" s="200">
        <f>IF(D97="Permanent loss",$D165*D168,$H156*D168)</f>
        <v>737.608257761181</v>
      </c>
      <c r="E174" s="200">
        <f aca="true" t="shared" si="6" ref="E174:M174">IF(E97="Permanent loss",$D165*E168,$H156*E168)</f>
        <v>737.608257761181</v>
      </c>
      <c r="F174" s="200">
        <f t="shared" si="6"/>
        <v>685.9756797178984</v>
      </c>
      <c r="G174" s="200">
        <f t="shared" si="6"/>
        <v>528.45</v>
      </c>
      <c r="H174" s="200">
        <f t="shared" si="6"/>
        <v>211.38</v>
      </c>
      <c r="I174" s="200">
        <f t="shared" si="6"/>
        <v>105.69</v>
      </c>
      <c r="J174" s="200">
        <f t="shared" si="6"/>
        <v>70.28384999999999</v>
      </c>
      <c r="K174" s="200">
        <f t="shared" si="6"/>
        <v>52.845</v>
      </c>
      <c r="L174" s="200">
        <f t="shared" si="6"/>
        <v>26.4225</v>
      </c>
      <c r="M174" s="200">
        <f t="shared" si="6"/>
        <v>5.2845</v>
      </c>
      <c r="N174" s="197"/>
    </row>
    <row r="176" spans="5:6" ht="15">
      <c r="E176" s="163" t="s">
        <v>262</v>
      </c>
      <c r="F176" s="163" t="s">
        <v>280</v>
      </c>
    </row>
    <row r="177" spans="1:13" ht="15">
      <c r="A177" s="711" t="str">
        <f>C99</f>
        <v>ARABLE - COMBINABLE CROPS</v>
      </c>
      <c r="B177" s="590"/>
      <c r="C177" s="590"/>
      <c r="D177" s="169">
        <v>1</v>
      </c>
      <c r="E177" s="169">
        <v>0.5</v>
      </c>
      <c r="F177" s="169">
        <v>0.2</v>
      </c>
      <c r="G177" s="169">
        <v>0.1</v>
      </c>
      <c r="H177" s="169">
        <v>0.04</v>
      </c>
      <c r="I177" s="169">
        <v>0.02</v>
      </c>
      <c r="J177" s="407">
        <v>0.0133</v>
      </c>
      <c r="K177" s="169">
        <v>0.01</v>
      </c>
      <c r="L177" s="170">
        <v>0.005</v>
      </c>
      <c r="M177" s="170">
        <v>0.001</v>
      </c>
    </row>
    <row r="178" spans="3:14" ht="15">
      <c r="C178" s="169">
        <v>1</v>
      </c>
      <c r="D178" s="173">
        <f>IF($D169-D169&lt;0,0,$D169-D169)</f>
        <v>0</v>
      </c>
      <c r="E178" s="173">
        <f aca="true" t="shared" si="7" ref="E178:M178">IF($D169-E169&lt;0,0,$D169-E169)</f>
        <v>0</v>
      </c>
      <c r="F178" s="173">
        <f t="shared" si="7"/>
        <v>51.63257804328259</v>
      </c>
      <c r="G178" s="173">
        <f t="shared" si="7"/>
        <v>434.968257761181</v>
      </c>
      <c r="H178" s="173">
        <f t="shared" si="7"/>
        <v>616.552257761181</v>
      </c>
      <c r="I178" s="173">
        <f t="shared" si="7"/>
        <v>677.080257761181</v>
      </c>
      <c r="J178" s="173">
        <f t="shared" si="7"/>
        <v>697.357137761181</v>
      </c>
      <c r="K178" s="173">
        <f t="shared" si="7"/>
        <v>707.344257761181</v>
      </c>
      <c r="L178" s="173">
        <f t="shared" si="7"/>
        <v>722.476257761181</v>
      </c>
      <c r="M178" s="173">
        <f t="shared" si="7"/>
        <v>734.581857761181</v>
      </c>
      <c r="N178" s="163" t="s">
        <v>396</v>
      </c>
    </row>
    <row r="179" spans="2:13" ht="15">
      <c r="B179" s="163" t="s">
        <v>261</v>
      </c>
      <c r="C179" s="169">
        <v>0.5</v>
      </c>
      <c r="D179" s="173">
        <f>IF($E169-D169&gt;0,0,$E169-D169)</f>
        <v>0</v>
      </c>
      <c r="E179" s="173">
        <f aca="true" t="shared" si="8" ref="E179">$E169-E169</f>
        <v>0</v>
      </c>
      <c r="F179" s="173">
        <f>IF($E169-F169&lt;0,0,$E169-F169)</f>
        <v>51.63257804328259</v>
      </c>
      <c r="G179" s="173">
        <f aca="true" t="shared" si="9" ref="G179:M179">IF($E169-G169&lt;0,0,$E169-G169)</f>
        <v>434.968257761181</v>
      </c>
      <c r="H179" s="173">
        <f t="shared" si="9"/>
        <v>616.552257761181</v>
      </c>
      <c r="I179" s="173">
        <f t="shared" si="9"/>
        <v>677.080257761181</v>
      </c>
      <c r="J179" s="173">
        <f t="shared" si="9"/>
        <v>697.357137761181</v>
      </c>
      <c r="K179" s="173">
        <f t="shared" si="9"/>
        <v>707.344257761181</v>
      </c>
      <c r="L179" s="173">
        <f t="shared" si="9"/>
        <v>722.476257761181</v>
      </c>
      <c r="M179" s="173">
        <f t="shared" si="9"/>
        <v>734.581857761181</v>
      </c>
    </row>
    <row r="180" spans="2:13" ht="15">
      <c r="B180" s="700" t="s">
        <v>281</v>
      </c>
      <c r="C180" s="169">
        <v>0.2</v>
      </c>
      <c r="D180" s="173">
        <f>IF($F169-D169&gt;0,0,$F169-D169)</f>
        <v>-51.63257804328259</v>
      </c>
      <c r="E180" s="173">
        <f>IF($F169-E169&gt;0,0,$F169-E169)</f>
        <v>-51.63257804328259</v>
      </c>
      <c r="F180" s="173">
        <f aca="true" t="shared" si="10" ref="F180">$F169-F169</f>
        <v>0</v>
      </c>
      <c r="G180" s="173">
        <f>IF($F169-G169&lt;0,0,$F169-G169)</f>
        <v>383.3356797178984</v>
      </c>
      <c r="H180" s="173">
        <f aca="true" t="shared" si="11" ref="H180:M180">IF($F169-H169&lt;0,0,$F169-H169)</f>
        <v>564.9196797178984</v>
      </c>
      <c r="I180" s="173">
        <f t="shared" si="11"/>
        <v>625.4476797178984</v>
      </c>
      <c r="J180" s="173">
        <f t="shared" si="11"/>
        <v>645.7245597178984</v>
      </c>
      <c r="K180" s="173">
        <f t="shared" si="11"/>
        <v>655.7116797178984</v>
      </c>
      <c r="L180" s="173">
        <f t="shared" si="11"/>
        <v>670.8436797178985</v>
      </c>
      <c r="M180" s="173">
        <f t="shared" si="11"/>
        <v>682.9492797178984</v>
      </c>
    </row>
    <row r="181" spans="2:13" ht="15">
      <c r="B181" s="701"/>
      <c r="C181" s="169">
        <v>0.1</v>
      </c>
      <c r="D181" s="173">
        <f>IF($G169-D169&gt;0,0,$G169-D169)</f>
        <v>-434.968257761181</v>
      </c>
      <c r="E181" s="173">
        <f aca="true" t="shared" si="12" ref="E181:G181">IF($G169-E169&gt;0,0,$G169-E169)</f>
        <v>-434.968257761181</v>
      </c>
      <c r="F181" s="173">
        <f t="shared" si="12"/>
        <v>-383.3356797178984</v>
      </c>
      <c r="G181" s="173">
        <f t="shared" si="12"/>
        <v>0</v>
      </c>
      <c r="H181" s="173">
        <f>IF($G169-H169&lt;0,0,$G169-H169)</f>
        <v>181.584</v>
      </c>
      <c r="I181" s="173">
        <f aca="true" t="shared" si="13" ref="I181:M181">IF($G169-I169&lt;0,0,$G169-I169)</f>
        <v>242.112</v>
      </c>
      <c r="J181" s="173">
        <f t="shared" si="13"/>
        <v>262.38888</v>
      </c>
      <c r="K181" s="173">
        <f t="shared" si="13"/>
        <v>272.376</v>
      </c>
      <c r="L181" s="173">
        <f t="shared" si="13"/>
        <v>287.508</v>
      </c>
      <c r="M181" s="173">
        <f t="shared" si="13"/>
        <v>299.61359999999996</v>
      </c>
    </row>
    <row r="182" spans="2:13" ht="15">
      <c r="B182" s="701"/>
      <c r="C182" s="169">
        <v>0.04</v>
      </c>
      <c r="D182" s="173">
        <f>IF($H169-D169&gt;0,0,$H169-D169)</f>
        <v>-616.552257761181</v>
      </c>
      <c r="E182" s="173">
        <f aca="true" t="shared" si="14" ref="E182:G182">IF($H169-E169&gt;0,0,$H169-E169)</f>
        <v>-616.552257761181</v>
      </c>
      <c r="F182" s="173">
        <f t="shared" si="14"/>
        <v>-564.9196797178984</v>
      </c>
      <c r="G182" s="173">
        <f t="shared" si="14"/>
        <v>-181.584</v>
      </c>
      <c r="H182" s="173">
        <f aca="true" t="shared" si="15" ref="H182">$H169-H169</f>
        <v>0</v>
      </c>
      <c r="I182" s="173">
        <f>IF($H169-I169&lt;0,0,$H169-I169)</f>
        <v>60.528</v>
      </c>
      <c r="J182" s="173">
        <f aca="true" t="shared" si="16" ref="J182:M182">IF($H169-J169&lt;0,0,$H169-J169)</f>
        <v>80.80488</v>
      </c>
      <c r="K182" s="173">
        <f t="shared" si="16"/>
        <v>90.792</v>
      </c>
      <c r="L182" s="173">
        <f t="shared" si="16"/>
        <v>105.92399999999999</v>
      </c>
      <c r="M182" s="173">
        <f t="shared" si="16"/>
        <v>118.0296</v>
      </c>
    </row>
    <row r="183" spans="2:13" ht="15">
      <c r="B183" s="701"/>
      <c r="C183" s="169">
        <v>0.02</v>
      </c>
      <c r="D183" s="173">
        <f>IF($I169-D169&gt;0,0,$I169-D169)</f>
        <v>-677.080257761181</v>
      </c>
      <c r="E183" s="173">
        <f aca="true" t="shared" si="17" ref="E183:H183">IF($I169-E169&gt;0,0,$I169-E169)</f>
        <v>-677.080257761181</v>
      </c>
      <c r="F183" s="173">
        <f t="shared" si="17"/>
        <v>-625.4476797178984</v>
      </c>
      <c r="G183" s="173">
        <f t="shared" si="17"/>
        <v>-242.112</v>
      </c>
      <c r="H183" s="173">
        <f t="shared" si="17"/>
        <v>-60.528</v>
      </c>
      <c r="I183" s="173">
        <f aca="true" t="shared" si="18" ref="I183">$I169-I169</f>
        <v>0</v>
      </c>
      <c r="J183" s="173">
        <f>IF($I169-J169&lt;0,0,$I169-J169)</f>
        <v>20.276880000000006</v>
      </c>
      <c r="K183" s="173">
        <f aca="true" t="shared" si="19" ref="K183:M183">IF($I169-K169&lt;0,0,$I169-K169)</f>
        <v>30.264</v>
      </c>
      <c r="L183" s="173">
        <f t="shared" si="19"/>
        <v>45.396</v>
      </c>
      <c r="M183" s="173">
        <f t="shared" si="19"/>
        <v>57.501599999999996</v>
      </c>
    </row>
    <row r="184" spans="2:13" ht="15">
      <c r="B184" s="701"/>
      <c r="C184" s="407">
        <v>0.0133</v>
      </c>
      <c r="D184" s="173">
        <f>IF($J169-D169&gt;0,0,$J169-D169)</f>
        <v>-697.357137761181</v>
      </c>
      <c r="E184" s="173">
        <f aca="true" t="shared" si="20" ref="E184:I184">IF($J169-E169&gt;0,0,$J169-E169)</f>
        <v>-697.357137761181</v>
      </c>
      <c r="F184" s="173">
        <f t="shared" si="20"/>
        <v>-645.7245597178984</v>
      </c>
      <c r="G184" s="173">
        <f t="shared" si="20"/>
        <v>-262.38888</v>
      </c>
      <c r="H184" s="173">
        <f t="shared" si="20"/>
        <v>-80.80488</v>
      </c>
      <c r="I184" s="173">
        <f t="shared" si="20"/>
        <v>-20.276880000000006</v>
      </c>
      <c r="J184" s="173">
        <f aca="true" t="shared" si="21" ref="J184">$J169-J169</f>
        <v>0</v>
      </c>
      <c r="K184" s="173">
        <f>IF($J169-K169&lt;0,0,$J169-K169)</f>
        <v>9.987119999999994</v>
      </c>
      <c r="L184" s="173">
        <f aca="true" t="shared" si="22" ref="L184:M184">IF($J169-L169&lt;0,0,$J169-L169)</f>
        <v>25.119119999999995</v>
      </c>
      <c r="M184" s="173">
        <f t="shared" si="22"/>
        <v>37.22471999999999</v>
      </c>
    </row>
    <row r="185" spans="2:13" ht="15">
      <c r="B185" s="701"/>
      <c r="C185" s="169">
        <v>0.01</v>
      </c>
      <c r="D185" s="173">
        <f>IF($K169-D169&gt;0,0,$K169-D169)</f>
        <v>-707.344257761181</v>
      </c>
      <c r="E185" s="173">
        <f aca="true" t="shared" si="23" ref="E185:J185">IF($K169-E169&gt;0,0,$K169-E169)</f>
        <v>-707.344257761181</v>
      </c>
      <c r="F185" s="173">
        <f t="shared" si="23"/>
        <v>-655.7116797178984</v>
      </c>
      <c r="G185" s="173">
        <f t="shared" si="23"/>
        <v>-272.376</v>
      </c>
      <c r="H185" s="173">
        <f t="shared" si="23"/>
        <v>-90.792</v>
      </c>
      <c r="I185" s="173">
        <f t="shared" si="23"/>
        <v>-30.264</v>
      </c>
      <c r="J185" s="173">
        <f t="shared" si="23"/>
        <v>-9.987119999999994</v>
      </c>
      <c r="K185" s="173">
        <f aca="true" t="shared" si="24" ref="K185">$K169-K169</f>
        <v>0</v>
      </c>
      <c r="L185" s="173">
        <f>IF($K169-L169&lt;0,0,$K169-L169)</f>
        <v>15.132</v>
      </c>
      <c r="M185" s="173">
        <f>IF($K169-M169&lt;0,0,$K169-M169)</f>
        <v>27.2376</v>
      </c>
    </row>
    <row r="186" spans="2:13" ht="15">
      <c r="B186" s="701"/>
      <c r="C186" s="170">
        <v>0.005</v>
      </c>
      <c r="D186" s="173">
        <f>IF($L169-D169&gt;0,0,$L169-D169)</f>
        <v>-722.476257761181</v>
      </c>
      <c r="E186" s="173">
        <f aca="true" t="shared" si="25" ref="E186:L186">IF($L169-E169&gt;0,0,$L169-E169)</f>
        <v>-722.476257761181</v>
      </c>
      <c r="F186" s="173">
        <f t="shared" si="25"/>
        <v>-670.8436797178985</v>
      </c>
      <c r="G186" s="173">
        <f t="shared" si="25"/>
        <v>-287.508</v>
      </c>
      <c r="H186" s="173">
        <f t="shared" si="25"/>
        <v>-105.92399999999999</v>
      </c>
      <c r="I186" s="173">
        <f t="shared" si="25"/>
        <v>-45.396</v>
      </c>
      <c r="J186" s="173">
        <f t="shared" si="25"/>
        <v>-25.119119999999995</v>
      </c>
      <c r="K186" s="173">
        <f t="shared" si="25"/>
        <v>-15.132</v>
      </c>
      <c r="L186" s="173">
        <f t="shared" si="25"/>
        <v>0</v>
      </c>
      <c r="M186" s="173">
        <f>IF($L169-M169&lt;0,0,$L169-M169)</f>
        <v>12.105599999999999</v>
      </c>
    </row>
    <row r="187" spans="2:13" ht="15">
      <c r="B187" s="701"/>
      <c r="C187" s="170">
        <v>0.001</v>
      </c>
      <c r="D187" s="173">
        <f>IF($M169-D169&gt;0,0,$M169-D169)</f>
        <v>-734.581857761181</v>
      </c>
      <c r="E187" s="173">
        <f aca="true" t="shared" si="26" ref="E187:L187">IF($M169-E169&gt;0,0,$M169-E169)</f>
        <v>-734.581857761181</v>
      </c>
      <c r="F187" s="173">
        <f t="shared" si="26"/>
        <v>-682.9492797178984</v>
      </c>
      <c r="G187" s="173">
        <f t="shared" si="26"/>
        <v>-299.61359999999996</v>
      </c>
      <c r="H187" s="173">
        <f t="shared" si="26"/>
        <v>-118.0296</v>
      </c>
      <c r="I187" s="173">
        <f t="shared" si="26"/>
        <v>-57.501599999999996</v>
      </c>
      <c r="J187" s="173">
        <f t="shared" si="26"/>
        <v>-37.22471999999999</v>
      </c>
      <c r="K187" s="173">
        <f t="shared" si="26"/>
        <v>-27.2376</v>
      </c>
      <c r="L187" s="173">
        <f t="shared" si="26"/>
        <v>-12.105599999999999</v>
      </c>
      <c r="M187" s="173">
        <f aca="true" t="shared" si="27" ref="M187">$M169-M169</f>
        <v>0</v>
      </c>
    </row>
    <row r="189" spans="5:6" ht="15">
      <c r="E189" s="163" t="s">
        <v>262</v>
      </c>
      <c r="F189" s="163" t="s">
        <v>280</v>
      </c>
    </row>
    <row r="190" spans="1:13" ht="15">
      <c r="A190" s="711" t="str">
        <f>C109</f>
        <v>ARABLE - NON-COMBINABLE CROPS</v>
      </c>
      <c r="B190" s="590"/>
      <c r="C190" s="590"/>
      <c r="D190" s="169">
        <v>1</v>
      </c>
      <c r="E190" s="169">
        <v>0.5</v>
      </c>
      <c r="F190" s="169">
        <v>0.2</v>
      </c>
      <c r="G190" s="169">
        <v>0.1</v>
      </c>
      <c r="H190" s="169">
        <v>0.04</v>
      </c>
      <c r="I190" s="169">
        <v>0.02</v>
      </c>
      <c r="J190" s="407">
        <v>0.0133</v>
      </c>
      <c r="K190" s="169">
        <v>0.01</v>
      </c>
      <c r="L190" s="170">
        <v>0.005</v>
      </c>
      <c r="M190" s="170">
        <v>0.001</v>
      </c>
    </row>
    <row r="191" spans="3:14" ht="15">
      <c r="C191" s="169">
        <v>1</v>
      </c>
      <c r="D191" s="173">
        <f aca="true" t="shared" si="28" ref="D191:M191">IF($D170-D170&lt;0,0,$D170-D170)</f>
        <v>0</v>
      </c>
      <c r="E191" s="173">
        <f t="shared" si="28"/>
        <v>0</v>
      </c>
      <c r="F191" s="173">
        <f t="shared" si="28"/>
        <v>51.63257804328259</v>
      </c>
      <c r="G191" s="173">
        <f t="shared" si="28"/>
        <v>434.968257761181</v>
      </c>
      <c r="H191" s="173">
        <f t="shared" si="28"/>
        <v>616.552257761181</v>
      </c>
      <c r="I191" s="173">
        <f t="shared" si="28"/>
        <v>677.080257761181</v>
      </c>
      <c r="J191" s="173">
        <f t="shared" si="28"/>
        <v>697.357137761181</v>
      </c>
      <c r="K191" s="173">
        <f t="shared" si="28"/>
        <v>707.344257761181</v>
      </c>
      <c r="L191" s="173">
        <f t="shared" si="28"/>
        <v>722.476257761181</v>
      </c>
      <c r="M191" s="173">
        <f t="shared" si="28"/>
        <v>734.581857761181</v>
      </c>
      <c r="N191" s="163" t="s">
        <v>396</v>
      </c>
    </row>
    <row r="192" spans="2:13" ht="15">
      <c r="B192" s="163" t="s">
        <v>261</v>
      </c>
      <c r="C192" s="169">
        <v>0.5</v>
      </c>
      <c r="D192" s="173">
        <f>IF($E170-D170&gt;0,0,$E170-D170)</f>
        <v>0</v>
      </c>
      <c r="E192" s="173">
        <f>$E170-E170</f>
        <v>0</v>
      </c>
      <c r="F192" s="173">
        <f aca="true" t="shared" si="29" ref="F192:M192">IF($E170-F170&lt;0,0,$E170-F170)</f>
        <v>51.63257804328259</v>
      </c>
      <c r="G192" s="173">
        <f t="shared" si="29"/>
        <v>434.968257761181</v>
      </c>
      <c r="H192" s="173">
        <f t="shared" si="29"/>
        <v>616.552257761181</v>
      </c>
      <c r="I192" s="173">
        <f t="shared" si="29"/>
        <v>677.080257761181</v>
      </c>
      <c r="J192" s="173">
        <f t="shared" si="29"/>
        <v>697.357137761181</v>
      </c>
      <c r="K192" s="173">
        <f t="shared" si="29"/>
        <v>707.344257761181</v>
      </c>
      <c r="L192" s="173">
        <f t="shared" si="29"/>
        <v>722.476257761181</v>
      </c>
      <c r="M192" s="173">
        <f t="shared" si="29"/>
        <v>734.581857761181</v>
      </c>
    </row>
    <row r="193" spans="2:13" ht="15">
      <c r="B193" s="700" t="s">
        <v>281</v>
      </c>
      <c r="C193" s="169">
        <v>0.2</v>
      </c>
      <c r="D193" s="173">
        <f>IF($F170-D170&gt;0,0,$F170-D170)</f>
        <v>-51.63257804328259</v>
      </c>
      <c r="E193" s="173">
        <f>IF($F170-E170&gt;0,0,$F170-E170)</f>
        <v>-51.63257804328259</v>
      </c>
      <c r="F193" s="173">
        <f>$F170-F170</f>
        <v>0</v>
      </c>
      <c r="G193" s="173">
        <f aca="true" t="shared" si="30" ref="G193:M193">IF($F170-G170&lt;0,0,$F170-G170)</f>
        <v>383.3356797178984</v>
      </c>
      <c r="H193" s="173">
        <f t="shared" si="30"/>
        <v>564.9196797178984</v>
      </c>
      <c r="I193" s="173">
        <f t="shared" si="30"/>
        <v>625.4476797178984</v>
      </c>
      <c r="J193" s="173">
        <f t="shared" si="30"/>
        <v>645.7245597178984</v>
      </c>
      <c r="K193" s="173">
        <f t="shared" si="30"/>
        <v>655.7116797178984</v>
      </c>
      <c r="L193" s="173">
        <f t="shared" si="30"/>
        <v>670.8436797178985</v>
      </c>
      <c r="M193" s="173">
        <f t="shared" si="30"/>
        <v>682.9492797178984</v>
      </c>
    </row>
    <row r="194" spans="2:13" ht="15">
      <c r="B194" s="701"/>
      <c r="C194" s="169">
        <v>0.1</v>
      </c>
      <c r="D194" s="173">
        <f>IF($G170-D170&gt;0,0,$G170-D170)</f>
        <v>-434.968257761181</v>
      </c>
      <c r="E194" s="173">
        <f>IF($G170-E170&gt;0,0,$G170-E170)</f>
        <v>-434.968257761181</v>
      </c>
      <c r="F194" s="173">
        <f>IF($G170-F170&gt;0,0,$G170-F170)</f>
        <v>-383.3356797178984</v>
      </c>
      <c r="G194" s="173">
        <f>IF($G170-G170&gt;0,0,$G170-G170)</f>
        <v>0</v>
      </c>
      <c r="H194" s="173">
        <f aca="true" t="shared" si="31" ref="H194:M194">IF($G170-H170&lt;0,0,$G170-H170)</f>
        <v>181.584</v>
      </c>
      <c r="I194" s="173">
        <f t="shared" si="31"/>
        <v>242.112</v>
      </c>
      <c r="J194" s="173">
        <f t="shared" si="31"/>
        <v>262.38888</v>
      </c>
      <c r="K194" s="173">
        <f t="shared" si="31"/>
        <v>272.376</v>
      </c>
      <c r="L194" s="173">
        <f t="shared" si="31"/>
        <v>287.508</v>
      </c>
      <c r="M194" s="173">
        <f t="shared" si="31"/>
        <v>299.61359999999996</v>
      </c>
    </row>
    <row r="195" spans="2:13" ht="15">
      <c r="B195" s="701"/>
      <c r="C195" s="169">
        <v>0.04</v>
      </c>
      <c r="D195" s="173">
        <f>IF($H170-D170&gt;0,0,$H170-D170)</f>
        <v>-616.552257761181</v>
      </c>
      <c r="E195" s="173">
        <f>IF($H170-E170&gt;0,0,$H170-E170)</f>
        <v>-616.552257761181</v>
      </c>
      <c r="F195" s="173">
        <f>IF($H170-F170&gt;0,0,$H170-F170)</f>
        <v>-564.9196797178984</v>
      </c>
      <c r="G195" s="173">
        <f>IF($H170-G170&gt;0,0,$H170-G170)</f>
        <v>-181.584</v>
      </c>
      <c r="H195" s="173">
        <f>$H170-H170</f>
        <v>0</v>
      </c>
      <c r="I195" s="173">
        <f>IF($H170-I170&lt;0,0,$H170-I170)</f>
        <v>60.528</v>
      </c>
      <c r="J195" s="173">
        <f>IF($H170-J170&lt;0,0,$H170-J170)</f>
        <v>80.80488</v>
      </c>
      <c r="K195" s="173">
        <f>IF($H170-K170&lt;0,0,$H170-K170)</f>
        <v>90.792</v>
      </c>
      <c r="L195" s="173">
        <f>IF($H170-L170&lt;0,0,$H170-L170)</f>
        <v>105.92399999999999</v>
      </c>
      <c r="M195" s="173">
        <f>IF($H170-M170&lt;0,0,$H170-M170)</f>
        <v>118.0296</v>
      </c>
    </row>
    <row r="196" spans="2:13" ht="15">
      <c r="B196" s="701"/>
      <c r="C196" s="169">
        <v>0.02</v>
      </c>
      <c r="D196" s="173">
        <f>IF($I170-D170&gt;0,0,$I170-D170)</f>
        <v>-677.080257761181</v>
      </c>
      <c r="E196" s="173">
        <f>IF($I170-E170&gt;0,0,$I170-E170)</f>
        <v>-677.080257761181</v>
      </c>
      <c r="F196" s="173">
        <f>IF($I170-F170&gt;0,0,$I170-F170)</f>
        <v>-625.4476797178984</v>
      </c>
      <c r="G196" s="173">
        <f>IF($I170-G170&gt;0,0,$I170-G170)</f>
        <v>-242.112</v>
      </c>
      <c r="H196" s="173">
        <f>IF($I170-H170&gt;0,0,$I170-H170)</f>
        <v>-60.528</v>
      </c>
      <c r="I196" s="173">
        <f>$I170-I170</f>
        <v>0</v>
      </c>
      <c r="J196" s="173">
        <f>IF($I170-J170&lt;0,0,$I170-J170)</f>
        <v>20.276880000000006</v>
      </c>
      <c r="K196" s="173">
        <f>IF($I170-K170&lt;0,0,$I170-K170)</f>
        <v>30.264</v>
      </c>
      <c r="L196" s="173">
        <f>IF($I170-L170&lt;0,0,$I170-L170)</f>
        <v>45.396</v>
      </c>
      <c r="M196" s="173">
        <f>IF($I170-M170&lt;0,0,$I170-M170)</f>
        <v>57.501599999999996</v>
      </c>
    </row>
    <row r="197" spans="2:13" ht="15">
      <c r="B197" s="701"/>
      <c r="C197" s="407">
        <v>0.0133</v>
      </c>
      <c r="D197" s="173">
        <f aca="true" t="shared" si="32" ref="D197:I197">IF($J170-D170&gt;0,0,$J170-D170)</f>
        <v>-697.357137761181</v>
      </c>
      <c r="E197" s="173">
        <f t="shared" si="32"/>
        <v>-697.357137761181</v>
      </c>
      <c r="F197" s="173">
        <f t="shared" si="32"/>
        <v>-645.7245597178984</v>
      </c>
      <c r="G197" s="173">
        <f t="shared" si="32"/>
        <v>-262.38888</v>
      </c>
      <c r="H197" s="173">
        <f t="shared" si="32"/>
        <v>-80.80488</v>
      </c>
      <c r="I197" s="173">
        <f t="shared" si="32"/>
        <v>-20.276880000000006</v>
      </c>
      <c r="J197" s="173">
        <f>$J170-J170</f>
        <v>0</v>
      </c>
      <c r="K197" s="173">
        <f>IF($J170-K170&lt;0,0,$J170-K170)</f>
        <v>9.987119999999994</v>
      </c>
      <c r="L197" s="173">
        <f>IF($J170-L170&lt;0,0,$J170-L170)</f>
        <v>25.119119999999995</v>
      </c>
      <c r="M197" s="173">
        <f>IF($J170-M170&lt;0,0,$J170-M170)</f>
        <v>37.22471999999999</v>
      </c>
    </row>
    <row r="198" spans="2:13" ht="15">
      <c r="B198" s="701"/>
      <c r="C198" s="169">
        <v>0.01</v>
      </c>
      <c r="D198" s="173">
        <f aca="true" t="shared" si="33" ref="D198:J198">IF($K170-D170&gt;0,0,$K170-D170)</f>
        <v>-707.344257761181</v>
      </c>
      <c r="E198" s="173">
        <f t="shared" si="33"/>
        <v>-707.344257761181</v>
      </c>
      <c r="F198" s="173">
        <f t="shared" si="33"/>
        <v>-655.7116797178984</v>
      </c>
      <c r="G198" s="173">
        <f t="shared" si="33"/>
        <v>-272.376</v>
      </c>
      <c r="H198" s="173">
        <f t="shared" si="33"/>
        <v>-90.792</v>
      </c>
      <c r="I198" s="173">
        <f t="shared" si="33"/>
        <v>-30.264</v>
      </c>
      <c r="J198" s="173">
        <f t="shared" si="33"/>
        <v>-9.987119999999994</v>
      </c>
      <c r="K198" s="173">
        <f>$K170-K170</f>
        <v>0</v>
      </c>
      <c r="L198" s="173">
        <f>IF($K170-L170&lt;0,0,$K170-L170)</f>
        <v>15.132</v>
      </c>
      <c r="M198" s="173">
        <f>IF($K170-M170&lt;0,0,$K170-M170)</f>
        <v>27.2376</v>
      </c>
    </row>
    <row r="199" spans="2:13" ht="15">
      <c r="B199" s="701"/>
      <c r="C199" s="170">
        <v>0.005</v>
      </c>
      <c r="D199" s="173">
        <f aca="true" t="shared" si="34" ref="D199:L199">IF($L170-D170&gt;0,0,$L170-D170)</f>
        <v>-722.476257761181</v>
      </c>
      <c r="E199" s="173">
        <f t="shared" si="34"/>
        <v>-722.476257761181</v>
      </c>
      <c r="F199" s="173">
        <f t="shared" si="34"/>
        <v>-670.8436797178985</v>
      </c>
      <c r="G199" s="173">
        <f t="shared" si="34"/>
        <v>-287.508</v>
      </c>
      <c r="H199" s="173">
        <f t="shared" si="34"/>
        <v>-105.92399999999999</v>
      </c>
      <c r="I199" s="173">
        <f t="shared" si="34"/>
        <v>-45.396</v>
      </c>
      <c r="J199" s="173">
        <f t="shared" si="34"/>
        <v>-25.119119999999995</v>
      </c>
      <c r="K199" s="173">
        <f t="shared" si="34"/>
        <v>-15.132</v>
      </c>
      <c r="L199" s="173">
        <f t="shared" si="34"/>
        <v>0</v>
      </c>
      <c r="M199" s="173">
        <f>IF($L170-M170&lt;0,0,$L170-M170)</f>
        <v>12.105599999999999</v>
      </c>
    </row>
    <row r="200" spans="2:13" ht="15">
      <c r="B200" s="701"/>
      <c r="C200" s="170">
        <v>0.001</v>
      </c>
      <c r="D200" s="173">
        <f aca="true" t="shared" si="35" ref="D200:L200">IF($M170-D170&gt;0,0,$M170-D170)</f>
        <v>-734.581857761181</v>
      </c>
      <c r="E200" s="173">
        <f t="shared" si="35"/>
        <v>-734.581857761181</v>
      </c>
      <c r="F200" s="173">
        <f t="shared" si="35"/>
        <v>-682.9492797178984</v>
      </c>
      <c r="G200" s="173">
        <f t="shared" si="35"/>
        <v>-299.61359999999996</v>
      </c>
      <c r="H200" s="173">
        <f t="shared" si="35"/>
        <v>-118.0296</v>
      </c>
      <c r="I200" s="173">
        <f t="shared" si="35"/>
        <v>-57.501599999999996</v>
      </c>
      <c r="J200" s="173">
        <f t="shared" si="35"/>
        <v>-37.22471999999999</v>
      </c>
      <c r="K200" s="173">
        <f t="shared" si="35"/>
        <v>-27.2376</v>
      </c>
      <c r="L200" s="173">
        <f t="shared" si="35"/>
        <v>-12.105599999999999</v>
      </c>
      <c r="M200" s="173">
        <f>$M170-M170</f>
        <v>0</v>
      </c>
    </row>
    <row r="202" spans="5:6" ht="15">
      <c r="E202" s="163" t="s">
        <v>262</v>
      </c>
      <c r="F202" s="163" t="s">
        <v>280</v>
      </c>
    </row>
    <row r="203" spans="1:13" ht="15">
      <c r="A203" s="711" t="str">
        <f>C119</f>
        <v>GRASSLAND</v>
      </c>
      <c r="B203" s="590"/>
      <c r="C203" s="590"/>
      <c r="D203" s="169">
        <v>1</v>
      </c>
      <c r="E203" s="169">
        <v>0.5</v>
      </c>
      <c r="F203" s="169">
        <v>0.2</v>
      </c>
      <c r="G203" s="169">
        <v>0.1</v>
      </c>
      <c r="H203" s="169">
        <v>0.04</v>
      </c>
      <c r="I203" s="169">
        <v>0.02</v>
      </c>
      <c r="J203" s="407">
        <v>0.0133</v>
      </c>
      <c r="K203" s="169">
        <v>0.01</v>
      </c>
      <c r="L203" s="170">
        <v>0.005</v>
      </c>
      <c r="M203" s="170">
        <v>0.001</v>
      </c>
    </row>
    <row r="204" spans="3:14" ht="15">
      <c r="C204" s="169">
        <v>1</v>
      </c>
      <c r="D204" s="173">
        <f>IF($D171-D171&lt;0,0,$D171-D171)</f>
        <v>0</v>
      </c>
      <c r="E204" s="173">
        <f aca="true" t="shared" si="36" ref="E204:M204">IF($D171-E171&lt;0,0,$D171-E171)</f>
        <v>0</v>
      </c>
      <c r="F204" s="173">
        <f t="shared" si="36"/>
        <v>0</v>
      </c>
      <c r="G204" s="173">
        <f t="shared" si="36"/>
        <v>399.40025776118097</v>
      </c>
      <c r="H204" s="173">
        <f t="shared" si="36"/>
        <v>602.325057761181</v>
      </c>
      <c r="I204" s="173">
        <f t="shared" si="36"/>
        <v>669.966657761181</v>
      </c>
      <c r="J204" s="173">
        <f t="shared" si="36"/>
        <v>692.626593761181</v>
      </c>
      <c r="K204" s="173">
        <f t="shared" si="36"/>
        <v>703.787457761181</v>
      </c>
      <c r="L204" s="173">
        <f t="shared" si="36"/>
        <v>720.697857761181</v>
      </c>
      <c r="M204" s="173">
        <f t="shared" si="36"/>
        <v>734.226177761181</v>
      </c>
      <c r="N204" s="163" t="s">
        <v>396</v>
      </c>
    </row>
    <row r="205" spans="2:13" ht="15">
      <c r="B205" s="163" t="s">
        <v>261</v>
      </c>
      <c r="C205" s="169">
        <v>0.5</v>
      </c>
      <c r="D205" s="173">
        <f>IF($E171-D171&gt;0,0,$E171-D171)</f>
        <v>0</v>
      </c>
      <c r="E205" s="173">
        <f aca="true" t="shared" si="37" ref="E205">$E171-E171</f>
        <v>0</v>
      </c>
      <c r="F205" s="173">
        <f>IF($E171-F171&lt;0,0,$E171-F171)</f>
        <v>0</v>
      </c>
      <c r="G205" s="173">
        <f aca="true" t="shared" si="38" ref="G205:M205">IF($E171-G171&lt;0,0,$E171-G171)</f>
        <v>399.40025776118097</v>
      </c>
      <c r="H205" s="173">
        <f t="shared" si="38"/>
        <v>602.325057761181</v>
      </c>
      <c r="I205" s="173">
        <f t="shared" si="38"/>
        <v>669.966657761181</v>
      </c>
      <c r="J205" s="173">
        <f t="shared" si="38"/>
        <v>692.626593761181</v>
      </c>
      <c r="K205" s="173">
        <f t="shared" si="38"/>
        <v>703.787457761181</v>
      </c>
      <c r="L205" s="173">
        <f t="shared" si="38"/>
        <v>720.697857761181</v>
      </c>
      <c r="M205" s="173">
        <f t="shared" si="38"/>
        <v>734.226177761181</v>
      </c>
    </row>
    <row r="206" spans="2:13" ht="15">
      <c r="B206" s="700" t="s">
        <v>281</v>
      </c>
      <c r="C206" s="169">
        <v>0.2</v>
      </c>
      <c r="D206" s="173">
        <f>IF($F171-D171&gt;0,0,$F171-D171)</f>
        <v>0</v>
      </c>
      <c r="E206" s="173">
        <f>IF($F171-E171&gt;0,0,$F171-E171)</f>
        <v>0</v>
      </c>
      <c r="F206" s="173">
        <f aca="true" t="shared" si="39" ref="F206">$F171-F171</f>
        <v>0</v>
      </c>
      <c r="G206" s="173">
        <f>IF($F171-G171&lt;0,0,$F171-G171)</f>
        <v>468.28800000000007</v>
      </c>
      <c r="H206" s="173">
        <f aca="true" t="shared" si="40" ref="H206:M206">IF($F171-H171&lt;0,0,$F171-H171)</f>
        <v>671.2128000000001</v>
      </c>
      <c r="I206" s="173">
        <f t="shared" si="40"/>
        <v>738.8544</v>
      </c>
      <c r="J206" s="173">
        <f t="shared" si="40"/>
        <v>761.5143360000001</v>
      </c>
      <c r="K206" s="173">
        <f t="shared" si="40"/>
        <v>772.6752000000001</v>
      </c>
      <c r="L206" s="173">
        <f t="shared" si="40"/>
        <v>789.5856000000001</v>
      </c>
      <c r="M206" s="173">
        <f t="shared" si="40"/>
        <v>803.1139200000001</v>
      </c>
    </row>
    <row r="207" spans="2:13" ht="15">
      <c r="B207" s="701"/>
      <c r="C207" s="169">
        <v>0.1</v>
      </c>
      <c r="D207" s="173">
        <f>IF($G171-D171&gt;0,0,$G171-D171)</f>
        <v>-399.40025776118097</v>
      </c>
      <c r="E207" s="173">
        <f aca="true" t="shared" si="41" ref="E207:F207">IF($G171-E171&gt;0,0,$G171-E171)</f>
        <v>-399.40025776118097</v>
      </c>
      <c r="F207" s="173">
        <f t="shared" si="41"/>
        <v>-468.28800000000007</v>
      </c>
      <c r="G207" s="173">
        <f aca="true" t="shared" si="42" ref="G207">$G171-G171</f>
        <v>0</v>
      </c>
      <c r="H207" s="173">
        <f>IF($G171-H171&lt;0,0,$G171-H171)</f>
        <v>202.92480000000003</v>
      </c>
      <c r="I207" s="173">
        <f aca="true" t="shared" si="43" ref="I207:M207">IF($G171-I171&lt;0,0,$G171-I171)</f>
        <v>270.56640000000004</v>
      </c>
      <c r="J207" s="173">
        <f t="shared" si="43"/>
        <v>293.22633600000006</v>
      </c>
      <c r="K207" s="173">
        <f t="shared" si="43"/>
        <v>304.3872</v>
      </c>
      <c r="L207" s="173">
        <f t="shared" si="43"/>
        <v>321.29760000000005</v>
      </c>
      <c r="M207" s="173">
        <f t="shared" si="43"/>
        <v>334.82592000000005</v>
      </c>
    </row>
    <row r="208" spans="2:13" ht="15">
      <c r="B208" s="701"/>
      <c r="C208" s="169">
        <v>0.04</v>
      </c>
      <c r="D208" s="173">
        <f>IF($H171-D171&gt;0,0,$H171-D171)</f>
        <v>-602.325057761181</v>
      </c>
      <c r="E208" s="173">
        <f aca="true" t="shared" si="44" ref="E208:G208">IF($H171-E171&gt;0,0,$H171-E171)</f>
        <v>-602.325057761181</v>
      </c>
      <c r="F208" s="173">
        <f t="shared" si="44"/>
        <v>-671.2128000000001</v>
      </c>
      <c r="G208" s="173">
        <f t="shared" si="44"/>
        <v>-202.92480000000003</v>
      </c>
      <c r="H208" s="173">
        <f aca="true" t="shared" si="45" ref="H208">$H171-H171</f>
        <v>0</v>
      </c>
      <c r="I208" s="173">
        <f>IF($H171-I171&lt;0,0,$H171-I171)</f>
        <v>67.6416</v>
      </c>
      <c r="J208" s="173">
        <f aca="true" t="shared" si="46" ref="J208:M208">IF($H171-J171&lt;0,0,$H171-J171)</f>
        <v>90.301536</v>
      </c>
      <c r="K208" s="173">
        <f t="shared" si="46"/>
        <v>101.4624</v>
      </c>
      <c r="L208" s="173">
        <f t="shared" si="46"/>
        <v>118.3728</v>
      </c>
      <c r="M208" s="173">
        <f t="shared" si="46"/>
        <v>131.90112</v>
      </c>
    </row>
    <row r="209" spans="2:13" ht="15">
      <c r="B209" s="701"/>
      <c r="C209" s="169">
        <v>0.02</v>
      </c>
      <c r="D209" s="173">
        <f>IF($I171-D171&gt;0,0,$I171-D171)</f>
        <v>-669.966657761181</v>
      </c>
      <c r="E209" s="173">
        <f aca="true" t="shared" si="47" ref="E209:H209">IF($I171-E171&gt;0,0,$I171-E171)</f>
        <v>-669.966657761181</v>
      </c>
      <c r="F209" s="173">
        <f t="shared" si="47"/>
        <v>-738.8544</v>
      </c>
      <c r="G209" s="173">
        <f t="shared" si="47"/>
        <v>-270.56640000000004</v>
      </c>
      <c r="H209" s="173">
        <f t="shared" si="47"/>
        <v>-67.6416</v>
      </c>
      <c r="I209" s="173">
        <f aca="true" t="shared" si="48" ref="I209">$I171-I171</f>
        <v>0</v>
      </c>
      <c r="J209" s="173">
        <f>IF($I171-J171&lt;0,0,$I171-J171)</f>
        <v>22.659936000000002</v>
      </c>
      <c r="K209" s="173">
        <f aca="true" t="shared" si="49" ref="K209:M209">IF($I171-K171&lt;0,0,$I171-K171)</f>
        <v>33.8208</v>
      </c>
      <c r="L209" s="173">
        <f t="shared" si="49"/>
        <v>50.7312</v>
      </c>
      <c r="M209" s="173">
        <f t="shared" si="49"/>
        <v>64.25952</v>
      </c>
    </row>
    <row r="210" spans="2:13" ht="15">
      <c r="B210" s="701"/>
      <c r="C210" s="407">
        <v>0.0133</v>
      </c>
      <c r="D210" s="173">
        <f>IF($J171-D171&gt;0,0,$J171-D171)</f>
        <v>-692.626593761181</v>
      </c>
      <c r="E210" s="173">
        <f aca="true" t="shared" si="50" ref="E210:I210">IF($J171-E171&gt;0,0,$J171-E171)</f>
        <v>-692.626593761181</v>
      </c>
      <c r="F210" s="173">
        <f t="shared" si="50"/>
        <v>-761.5143360000001</v>
      </c>
      <c r="G210" s="173">
        <f t="shared" si="50"/>
        <v>-293.22633600000006</v>
      </c>
      <c r="H210" s="173">
        <f t="shared" si="50"/>
        <v>-90.301536</v>
      </c>
      <c r="I210" s="173">
        <f t="shared" si="50"/>
        <v>-22.659936000000002</v>
      </c>
      <c r="J210" s="173">
        <f aca="true" t="shared" si="51" ref="J210">$J171-J171</f>
        <v>0</v>
      </c>
      <c r="K210" s="173">
        <f>IF($J171-K171&lt;0,0,$J171-K171)</f>
        <v>11.160863999999997</v>
      </c>
      <c r="L210" s="173">
        <f aca="true" t="shared" si="52" ref="L210:M210">IF($J171-L171&lt;0,0,$J171-L171)</f>
        <v>28.071263999999996</v>
      </c>
      <c r="M210" s="173">
        <f t="shared" si="52"/>
        <v>41.59958399999999</v>
      </c>
    </row>
    <row r="211" spans="2:13" ht="15">
      <c r="B211" s="701"/>
      <c r="C211" s="169">
        <v>0.01</v>
      </c>
      <c r="D211" s="173">
        <f>IF($K171-D171&gt;0,0,$K171-D171)</f>
        <v>-703.787457761181</v>
      </c>
      <c r="E211" s="173">
        <f aca="true" t="shared" si="53" ref="E211:J211">IF($K171-E171&gt;0,0,$K171-E171)</f>
        <v>-703.787457761181</v>
      </c>
      <c r="F211" s="173">
        <f t="shared" si="53"/>
        <v>-772.6752000000001</v>
      </c>
      <c r="G211" s="173">
        <f t="shared" si="53"/>
        <v>-304.3872</v>
      </c>
      <c r="H211" s="173">
        <f t="shared" si="53"/>
        <v>-101.4624</v>
      </c>
      <c r="I211" s="173">
        <f t="shared" si="53"/>
        <v>-33.8208</v>
      </c>
      <c r="J211" s="173">
        <f t="shared" si="53"/>
        <v>-11.160863999999997</v>
      </c>
      <c r="K211" s="173">
        <f aca="true" t="shared" si="54" ref="K211">$K171-K171</f>
        <v>0</v>
      </c>
      <c r="L211" s="173">
        <f>IF($K171-L171&lt;0,0,$K171-L171)</f>
        <v>16.9104</v>
      </c>
      <c r="M211" s="173">
        <f>IF($K171-M171&lt;0,0,$K171-M171)</f>
        <v>30.438719999999996</v>
      </c>
    </row>
    <row r="212" spans="2:13" ht="15">
      <c r="B212" s="701"/>
      <c r="C212" s="170">
        <v>0.005</v>
      </c>
      <c r="D212" s="173">
        <f>IF($L171-D171&gt;0,0,$L171-D171)</f>
        <v>-720.697857761181</v>
      </c>
      <c r="E212" s="173">
        <f aca="true" t="shared" si="55" ref="E212:K212">IF($L171-E171&gt;0,0,$L171-E171)</f>
        <v>-720.697857761181</v>
      </c>
      <c r="F212" s="173">
        <f t="shared" si="55"/>
        <v>-789.5856000000001</v>
      </c>
      <c r="G212" s="173">
        <f t="shared" si="55"/>
        <v>-321.29760000000005</v>
      </c>
      <c r="H212" s="173">
        <f t="shared" si="55"/>
        <v>-118.3728</v>
      </c>
      <c r="I212" s="173">
        <f t="shared" si="55"/>
        <v>-50.7312</v>
      </c>
      <c r="J212" s="173">
        <f t="shared" si="55"/>
        <v>-28.071263999999996</v>
      </c>
      <c r="K212" s="173">
        <f t="shared" si="55"/>
        <v>-16.9104</v>
      </c>
      <c r="L212" s="173">
        <f aca="true" t="shared" si="56" ref="L212">$L171-L171</f>
        <v>0</v>
      </c>
      <c r="M212" s="173">
        <f>IF($L171-M171&lt;0,0,$L171-M171)</f>
        <v>13.528319999999999</v>
      </c>
    </row>
    <row r="213" spans="2:13" ht="15">
      <c r="B213" s="701"/>
      <c r="C213" s="170">
        <v>0.001</v>
      </c>
      <c r="D213" s="173">
        <f>IF($M171-D171&gt;0,0,$M171-D171)</f>
        <v>-734.226177761181</v>
      </c>
      <c r="E213" s="173">
        <f aca="true" t="shared" si="57" ref="E213:L213">IF($M171-E171&gt;0,0,$M171-E171)</f>
        <v>-734.226177761181</v>
      </c>
      <c r="F213" s="173">
        <f t="shared" si="57"/>
        <v>-803.1139200000001</v>
      </c>
      <c r="G213" s="173">
        <f t="shared" si="57"/>
        <v>-334.82592000000005</v>
      </c>
      <c r="H213" s="173">
        <f t="shared" si="57"/>
        <v>-131.90112</v>
      </c>
      <c r="I213" s="173">
        <f t="shared" si="57"/>
        <v>-64.25952</v>
      </c>
      <c r="J213" s="173">
        <f t="shared" si="57"/>
        <v>-41.59958399999999</v>
      </c>
      <c r="K213" s="173">
        <f t="shared" si="57"/>
        <v>-30.438719999999996</v>
      </c>
      <c r="L213" s="173">
        <f t="shared" si="57"/>
        <v>-13.528319999999999</v>
      </c>
      <c r="M213" s="173">
        <f aca="true" t="shared" si="58" ref="M213">$M171-M171</f>
        <v>0</v>
      </c>
    </row>
    <row r="215" spans="5:6" ht="15">
      <c r="E215" s="163" t="s">
        <v>262</v>
      </c>
      <c r="F215" s="163" t="s">
        <v>280</v>
      </c>
    </row>
    <row r="216" spans="1:13" ht="15">
      <c r="A216" s="711" t="str">
        <f>C131</f>
        <v>PIGS/POULTRY</v>
      </c>
      <c r="B216" s="590"/>
      <c r="C216" s="590"/>
      <c r="D216" s="169">
        <v>1</v>
      </c>
      <c r="E216" s="169">
        <v>0.5</v>
      </c>
      <c r="F216" s="169">
        <v>0.2</v>
      </c>
      <c r="G216" s="169">
        <v>0.1</v>
      </c>
      <c r="H216" s="169">
        <v>0.04</v>
      </c>
      <c r="I216" s="169">
        <v>0.02</v>
      </c>
      <c r="J216" s="407">
        <v>0.0133</v>
      </c>
      <c r="K216" s="169">
        <v>0.01</v>
      </c>
      <c r="L216" s="170">
        <v>0.005</v>
      </c>
      <c r="M216" s="170">
        <v>0.001</v>
      </c>
    </row>
    <row r="217" spans="3:14" ht="15">
      <c r="C217" s="169">
        <v>1</v>
      </c>
      <c r="D217" s="173">
        <f>IF($D172-D172&lt;0,0,$D172-D172)</f>
        <v>0</v>
      </c>
      <c r="E217" s="173">
        <f aca="true" t="shared" si="59" ref="E217:M217">IF($D172-E172&lt;0,0,$D172-E172)</f>
        <v>0</v>
      </c>
      <c r="F217" s="173">
        <f t="shared" si="59"/>
        <v>0</v>
      </c>
      <c r="G217" s="173">
        <f t="shared" si="59"/>
        <v>399.40025776118097</v>
      </c>
      <c r="H217" s="173">
        <f t="shared" si="59"/>
        <v>602.325057761181</v>
      </c>
      <c r="I217" s="173">
        <f t="shared" si="59"/>
        <v>669.966657761181</v>
      </c>
      <c r="J217" s="173">
        <f t="shared" si="59"/>
        <v>692.626593761181</v>
      </c>
      <c r="K217" s="173">
        <f t="shared" si="59"/>
        <v>703.787457761181</v>
      </c>
      <c r="L217" s="173">
        <f t="shared" si="59"/>
        <v>720.697857761181</v>
      </c>
      <c r="M217" s="173">
        <f t="shared" si="59"/>
        <v>734.226177761181</v>
      </c>
      <c r="N217" s="163" t="s">
        <v>396</v>
      </c>
    </row>
    <row r="218" spans="2:13" ht="15">
      <c r="B218" s="163" t="s">
        <v>261</v>
      </c>
      <c r="C218" s="169">
        <v>0.5</v>
      </c>
      <c r="D218" s="173">
        <f>IF($E172-D172&gt;0,0,$E172-D172)</f>
        <v>0</v>
      </c>
      <c r="E218" s="173">
        <f aca="true" t="shared" si="60" ref="E218">$E172-E172</f>
        <v>0</v>
      </c>
      <c r="F218" s="173">
        <f>IF($E172-F172&lt;0,0,$E172-F172)</f>
        <v>0</v>
      </c>
      <c r="G218" s="173">
        <f aca="true" t="shared" si="61" ref="G218:M218">IF($E172-G172&lt;0,0,$E172-G172)</f>
        <v>399.40025776118097</v>
      </c>
      <c r="H218" s="173">
        <f t="shared" si="61"/>
        <v>602.325057761181</v>
      </c>
      <c r="I218" s="173">
        <f t="shared" si="61"/>
        <v>669.966657761181</v>
      </c>
      <c r="J218" s="173">
        <f t="shared" si="61"/>
        <v>692.626593761181</v>
      </c>
      <c r="K218" s="173">
        <f t="shared" si="61"/>
        <v>703.787457761181</v>
      </c>
      <c r="L218" s="173">
        <f t="shared" si="61"/>
        <v>720.697857761181</v>
      </c>
      <c r="M218" s="173">
        <f t="shared" si="61"/>
        <v>734.226177761181</v>
      </c>
    </row>
    <row r="219" spans="2:13" ht="15">
      <c r="B219" s="700" t="s">
        <v>281</v>
      </c>
      <c r="C219" s="169">
        <v>0.2</v>
      </c>
      <c r="D219" s="173">
        <f>IF($F172-D172&gt;0,0,$F172-D172)</f>
        <v>0</v>
      </c>
      <c r="E219" s="173">
        <f>IF($F172-E172&gt;0,0,$F172-E172)</f>
        <v>0</v>
      </c>
      <c r="F219" s="173">
        <f aca="true" t="shared" si="62" ref="F219">$F172-F172</f>
        <v>0</v>
      </c>
      <c r="G219" s="173">
        <f>IF($F172-G172&lt;0,0,$F172-G172)</f>
        <v>468.28800000000007</v>
      </c>
      <c r="H219" s="173">
        <f aca="true" t="shared" si="63" ref="H219:M219">IF($F172-H172&lt;0,0,$F172-H172)</f>
        <v>671.2128000000001</v>
      </c>
      <c r="I219" s="173">
        <f t="shared" si="63"/>
        <v>738.8544</v>
      </c>
      <c r="J219" s="173">
        <f t="shared" si="63"/>
        <v>761.5143360000001</v>
      </c>
      <c r="K219" s="173">
        <f t="shared" si="63"/>
        <v>772.6752000000001</v>
      </c>
      <c r="L219" s="173">
        <f t="shared" si="63"/>
        <v>789.5856000000001</v>
      </c>
      <c r="M219" s="173">
        <f t="shared" si="63"/>
        <v>803.1139200000001</v>
      </c>
    </row>
    <row r="220" spans="2:13" ht="15">
      <c r="B220" s="701"/>
      <c r="C220" s="169">
        <v>0.1</v>
      </c>
      <c r="D220" s="173">
        <f>IF($G172-D172&gt;0,0,$G172-D172)</f>
        <v>-399.40025776118097</v>
      </c>
      <c r="E220" s="173">
        <f aca="true" t="shared" si="64" ref="E220:F220">IF($G172-E172&gt;0,0,$G172-E172)</f>
        <v>-399.40025776118097</v>
      </c>
      <c r="F220" s="173">
        <f t="shared" si="64"/>
        <v>-468.28800000000007</v>
      </c>
      <c r="G220" s="173">
        <f aca="true" t="shared" si="65" ref="G220">$G172-G172</f>
        <v>0</v>
      </c>
      <c r="H220" s="173">
        <f>IF($G172-H172&lt;0,0,$G172-H172)</f>
        <v>202.92480000000003</v>
      </c>
      <c r="I220" s="173">
        <f aca="true" t="shared" si="66" ref="I220:M220">IF($G172-I172&lt;0,0,$G172-I172)</f>
        <v>270.56640000000004</v>
      </c>
      <c r="J220" s="173">
        <f t="shared" si="66"/>
        <v>293.22633600000006</v>
      </c>
      <c r="K220" s="173">
        <f t="shared" si="66"/>
        <v>304.3872</v>
      </c>
      <c r="L220" s="173">
        <f t="shared" si="66"/>
        <v>321.29760000000005</v>
      </c>
      <c r="M220" s="173">
        <f t="shared" si="66"/>
        <v>334.82592000000005</v>
      </c>
    </row>
    <row r="221" spans="2:13" ht="15">
      <c r="B221" s="701"/>
      <c r="C221" s="169">
        <v>0.04</v>
      </c>
      <c r="D221" s="173">
        <f>IF($H172-D172&gt;0,0,$H172-D172)</f>
        <v>-602.325057761181</v>
      </c>
      <c r="E221" s="173">
        <f aca="true" t="shared" si="67" ref="E221:G221">IF($H172-E172&gt;0,0,$H172-E172)</f>
        <v>-602.325057761181</v>
      </c>
      <c r="F221" s="173">
        <f t="shared" si="67"/>
        <v>-671.2128000000001</v>
      </c>
      <c r="G221" s="173">
        <f t="shared" si="67"/>
        <v>-202.92480000000003</v>
      </c>
      <c r="H221" s="173">
        <f aca="true" t="shared" si="68" ref="H221">$H172-H172</f>
        <v>0</v>
      </c>
      <c r="I221" s="173">
        <f>IF($H172-I172&lt;0,0,$H172-I172)</f>
        <v>67.6416</v>
      </c>
      <c r="J221" s="173">
        <f aca="true" t="shared" si="69" ref="J221:M221">IF($H172-J172&lt;0,0,$H172-J172)</f>
        <v>90.301536</v>
      </c>
      <c r="K221" s="173">
        <f t="shared" si="69"/>
        <v>101.4624</v>
      </c>
      <c r="L221" s="173">
        <f t="shared" si="69"/>
        <v>118.3728</v>
      </c>
      <c r="M221" s="173">
        <f t="shared" si="69"/>
        <v>131.90112</v>
      </c>
    </row>
    <row r="222" spans="2:13" ht="15">
      <c r="B222" s="701"/>
      <c r="C222" s="169">
        <v>0.02</v>
      </c>
      <c r="D222" s="173">
        <f>IF($I172-D172&gt;0,0,$I172-D172)</f>
        <v>-669.966657761181</v>
      </c>
      <c r="E222" s="173">
        <f aca="true" t="shared" si="70" ref="E222:H222">IF($I172-E172&gt;0,0,$I172-E172)</f>
        <v>-669.966657761181</v>
      </c>
      <c r="F222" s="173">
        <f t="shared" si="70"/>
        <v>-738.8544</v>
      </c>
      <c r="G222" s="173">
        <f t="shared" si="70"/>
        <v>-270.56640000000004</v>
      </c>
      <c r="H222" s="173">
        <f t="shared" si="70"/>
        <v>-67.6416</v>
      </c>
      <c r="I222" s="173">
        <f aca="true" t="shared" si="71" ref="I222">$I172-I172</f>
        <v>0</v>
      </c>
      <c r="J222" s="173">
        <f>IF($I172-J172&lt;0,0,$I172-J172)</f>
        <v>22.659936000000002</v>
      </c>
      <c r="K222" s="173">
        <f aca="true" t="shared" si="72" ref="K222:M222">IF($I172-K172&lt;0,0,$I172-K172)</f>
        <v>33.8208</v>
      </c>
      <c r="L222" s="173">
        <f t="shared" si="72"/>
        <v>50.7312</v>
      </c>
      <c r="M222" s="173">
        <f t="shared" si="72"/>
        <v>64.25952</v>
      </c>
    </row>
    <row r="223" spans="2:13" ht="15">
      <c r="B223" s="701"/>
      <c r="C223" s="407">
        <v>0.0133</v>
      </c>
      <c r="D223" s="173">
        <f>IF($J172-D172&gt;0,0,$J172-D172)</f>
        <v>-692.626593761181</v>
      </c>
      <c r="E223" s="173">
        <f aca="true" t="shared" si="73" ref="E223:I223">IF($J172-E172&gt;0,0,$J172-E172)</f>
        <v>-692.626593761181</v>
      </c>
      <c r="F223" s="173">
        <f t="shared" si="73"/>
        <v>-761.5143360000001</v>
      </c>
      <c r="G223" s="173">
        <f t="shared" si="73"/>
        <v>-293.22633600000006</v>
      </c>
      <c r="H223" s="173">
        <f t="shared" si="73"/>
        <v>-90.301536</v>
      </c>
      <c r="I223" s="173">
        <f t="shared" si="73"/>
        <v>-22.659936000000002</v>
      </c>
      <c r="J223" s="173">
        <f aca="true" t="shared" si="74" ref="J223">$J172-J172</f>
        <v>0</v>
      </c>
      <c r="K223" s="173">
        <f>IF($J172-K172&lt;0,0,$J172-K172)</f>
        <v>11.160863999999997</v>
      </c>
      <c r="L223" s="173">
        <f aca="true" t="shared" si="75" ref="L223:M223">IF($J172-L172&lt;0,0,$J172-L172)</f>
        <v>28.071263999999996</v>
      </c>
      <c r="M223" s="173">
        <f t="shared" si="75"/>
        <v>41.59958399999999</v>
      </c>
    </row>
    <row r="224" spans="2:13" ht="15">
      <c r="B224" s="701"/>
      <c r="C224" s="169">
        <v>0.01</v>
      </c>
      <c r="D224" s="173">
        <f>IF($K172-D172&gt;0,0,$K172-D172)</f>
        <v>-703.787457761181</v>
      </c>
      <c r="E224" s="173">
        <f aca="true" t="shared" si="76" ref="E224:J224">IF($K172-E172&gt;0,0,$K172-E172)</f>
        <v>-703.787457761181</v>
      </c>
      <c r="F224" s="173">
        <f t="shared" si="76"/>
        <v>-772.6752000000001</v>
      </c>
      <c r="G224" s="173">
        <f t="shared" si="76"/>
        <v>-304.3872</v>
      </c>
      <c r="H224" s="173">
        <f t="shared" si="76"/>
        <v>-101.4624</v>
      </c>
      <c r="I224" s="173">
        <f t="shared" si="76"/>
        <v>-33.8208</v>
      </c>
      <c r="J224" s="173">
        <f t="shared" si="76"/>
        <v>-11.160863999999997</v>
      </c>
      <c r="K224" s="173">
        <f aca="true" t="shared" si="77" ref="K224">$K172-K172</f>
        <v>0</v>
      </c>
      <c r="L224" s="173">
        <f>IF($K172-L172&lt;0,0,$K172-L172)</f>
        <v>16.9104</v>
      </c>
      <c r="M224" s="173">
        <f>IF($K172-M172&lt;0,0,$K172-M172)</f>
        <v>30.438719999999996</v>
      </c>
    </row>
    <row r="225" spans="2:13" ht="15">
      <c r="B225" s="701"/>
      <c r="C225" s="170">
        <v>0.005</v>
      </c>
      <c r="D225" s="173">
        <f>IF($L172-D172&gt;0,0,$L172-D172)</f>
        <v>-720.697857761181</v>
      </c>
      <c r="E225" s="173">
        <f aca="true" t="shared" si="78" ref="E225:K225">IF($L172-E172&gt;0,0,$L172-E172)</f>
        <v>-720.697857761181</v>
      </c>
      <c r="F225" s="173">
        <f t="shared" si="78"/>
        <v>-789.5856000000001</v>
      </c>
      <c r="G225" s="173">
        <f t="shared" si="78"/>
        <v>-321.29760000000005</v>
      </c>
      <c r="H225" s="173">
        <f t="shared" si="78"/>
        <v>-118.3728</v>
      </c>
      <c r="I225" s="173">
        <f t="shared" si="78"/>
        <v>-50.7312</v>
      </c>
      <c r="J225" s="173">
        <f t="shared" si="78"/>
        <v>-28.071263999999996</v>
      </c>
      <c r="K225" s="173">
        <f t="shared" si="78"/>
        <v>-16.9104</v>
      </c>
      <c r="L225" s="173">
        <f aca="true" t="shared" si="79" ref="L225">$L172-L172</f>
        <v>0</v>
      </c>
      <c r="M225" s="173">
        <f>IF($L172-M172&lt;0,0,$L172-M172)</f>
        <v>13.528319999999999</v>
      </c>
    </row>
    <row r="226" spans="2:13" ht="15">
      <c r="B226" s="701"/>
      <c r="C226" s="170">
        <v>0.001</v>
      </c>
      <c r="D226" s="173">
        <f>IF($M172-D172&gt;0,0,$M172-D172)</f>
        <v>-734.226177761181</v>
      </c>
      <c r="E226" s="173">
        <f aca="true" t="shared" si="80" ref="E226:L226">IF($M172-E172&gt;0,0,$M172-E172)</f>
        <v>-734.226177761181</v>
      </c>
      <c r="F226" s="173">
        <f t="shared" si="80"/>
        <v>-803.1139200000001</v>
      </c>
      <c r="G226" s="173">
        <f t="shared" si="80"/>
        <v>-334.82592000000005</v>
      </c>
      <c r="H226" s="173">
        <f t="shared" si="80"/>
        <v>-131.90112</v>
      </c>
      <c r="I226" s="173">
        <f t="shared" si="80"/>
        <v>-64.25952</v>
      </c>
      <c r="J226" s="173">
        <f t="shared" si="80"/>
        <v>-41.59958399999999</v>
      </c>
      <c r="K226" s="173">
        <f t="shared" si="80"/>
        <v>-30.438719999999996</v>
      </c>
      <c r="L226" s="173">
        <f t="shared" si="80"/>
        <v>-13.528319999999999</v>
      </c>
      <c r="M226" s="173">
        <f aca="true" t="shared" si="81" ref="M226">$M172-M172</f>
        <v>0</v>
      </c>
    </row>
    <row r="228" spans="5:6" ht="15">
      <c r="E228" s="163" t="s">
        <v>262</v>
      </c>
      <c r="F228" s="163" t="s">
        <v>280</v>
      </c>
    </row>
    <row r="229" spans="1:13" ht="15">
      <c r="A229" s="711" t="str">
        <f>C143</f>
        <v>HORTICULTURE</v>
      </c>
      <c r="B229" s="590"/>
      <c r="C229" s="590"/>
      <c r="D229" s="169">
        <v>1</v>
      </c>
      <c r="E229" s="169">
        <v>0.5</v>
      </c>
      <c r="F229" s="169">
        <v>0.2</v>
      </c>
      <c r="G229" s="169">
        <v>0.1</v>
      </c>
      <c r="H229" s="169">
        <v>0.04</v>
      </c>
      <c r="I229" s="169">
        <v>0.02</v>
      </c>
      <c r="J229" s="407">
        <v>0.0133</v>
      </c>
      <c r="K229" s="169">
        <v>0.01</v>
      </c>
      <c r="L229" s="170">
        <v>0.005</v>
      </c>
      <c r="M229" s="170">
        <v>0.001</v>
      </c>
    </row>
    <row r="230" spans="3:14" ht="15">
      <c r="C230" s="169">
        <v>1</v>
      </c>
      <c r="D230" s="173">
        <f aca="true" t="shared" si="82" ref="D230:M230">IF($D173-D173&lt;0,0,$D173-D173)</f>
        <v>0</v>
      </c>
      <c r="E230" s="173">
        <f t="shared" si="82"/>
        <v>0</v>
      </c>
      <c r="F230" s="173">
        <f t="shared" si="82"/>
        <v>51.63257804328259</v>
      </c>
      <c r="G230" s="173">
        <f t="shared" si="82"/>
        <v>209.15825776118095</v>
      </c>
      <c r="H230" s="173">
        <f t="shared" si="82"/>
        <v>526.228257761181</v>
      </c>
      <c r="I230" s="173">
        <f t="shared" si="82"/>
        <v>631.9182577611809</v>
      </c>
      <c r="J230" s="173">
        <f t="shared" si="82"/>
        <v>667.324407761181</v>
      </c>
      <c r="K230" s="173">
        <f t="shared" si="82"/>
        <v>684.763257761181</v>
      </c>
      <c r="L230" s="173">
        <f t="shared" si="82"/>
        <v>711.185757761181</v>
      </c>
      <c r="M230" s="173">
        <f t="shared" si="82"/>
        <v>732.323757761181</v>
      </c>
      <c r="N230" s="163" t="s">
        <v>396</v>
      </c>
    </row>
    <row r="231" spans="2:13" ht="15">
      <c r="B231" s="163" t="s">
        <v>261</v>
      </c>
      <c r="C231" s="169">
        <v>0.5</v>
      </c>
      <c r="D231" s="173">
        <f>IF($E173-D173&gt;0,0,$E173-D173)</f>
        <v>0</v>
      </c>
      <c r="E231" s="173">
        <f>$E173-E173</f>
        <v>0</v>
      </c>
      <c r="F231" s="173">
        <f aca="true" t="shared" si="83" ref="F231:M231">IF($E173-F173&lt;0,0,$E173-F173)</f>
        <v>51.63257804328259</v>
      </c>
      <c r="G231" s="173">
        <f t="shared" si="83"/>
        <v>209.15825776118095</v>
      </c>
      <c r="H231" s="173">
        <f t="shared" si="83"/>
        <v>526.228257761181</v>
      </c>
      <c r="I231" s="173">
        <f t="shared" si="83"/>
        <v>631.9182577611809</v>
      </c>
      <c r="J231" s="173">
        <f t="shared" si="83"/>
        <v>667.324407761181</v>
      </c>
      <c r="K231" s="173">
        <f t="shared" si="83"/>
        <v>684.763257761181</v>
      </c>
      <c r="L231" s="173">
        <f t="shared" si="83"/>
        <v>711.185757761181</v>
      </c>
      <c r="M231" s="173">
        <f t="shared" si="83"/>
        <v>732.323757761181</v>
      </c>
    </row>
    <row r="232" spans="2:13" ht="15">
      <c r="B232" s="700" t="s">
        <v>281</v>
      </c>
      <c r="C232" s="169">
        <v>0.2</v>
      </c>
      <c r="D232" s="173">
        <f>IF($F173-D173&gt;0,0,$F173-D173)</f>
        <v>-51.63257804328259</v>
      </c>
      <c r="E232" s="173">
        <f>IF($F173-E173&gt;0,0,$F173-E173)</f>
        <v>-51.63257804328259</v>
      </c>
      <c r="F232" s="173">
        <f>$F173-F173</f>
        <v>0</v>
      </c>
      <c r="G232" s="173">
        <f aca="true" t="shared" si="84" ref="G232:M232">IF($F173-G173&lt;0,0,$F173-G173)</f>
        <v>157.52567971789836</v>
      </c>
      <c r="H232" s="173">
        <f t="shared" si="84"/>
        <v>474.5956797178984</v>
      </c>
      <c r="I232" s="173">
        <f t="shared" si="84"/>
        <v>580.2856797178983</v>
      </c>
      <c r="J232" s="173">
        <f t="shared" si="84"/>
        <v>615.6918297178984</v>
      </c>
      <c r="K232" s="173">
        <f t="shared" si="84"/>
        <v>633.1306797178984</v>
      </c>
      <c r="L232" s="173">
        <f t="shared" si="84"/>
        <v>659.5531797178984</v>
      </c>
      <c r="M232" s="173">
        <f t="shared" si="84"/>
        <v>680.6911797178984</v>
      </c>
    </row>
    <row r="233" spans="2:13" ht="15">
      <c r="B233" s="701"/>
      <c r="C233" s="169">
        <v>0.1</v>
      </c>
      <c r="D233" s="173">
        <f>IF($G173-D173&gt;0,0,$G173-D173)</f>
        <v>-209.15825776118095</v>
      </c>
      <c r="E233" s="173">
        <f>IF($G173-E173&gt;0,0,$G173-E173)</f>
        <v>-209.15825776118095</v>
      </c>
      <c r="F233" s="173">
        <f>IF($G173-F173&gt;0,0,$G173-F173)</f>
        <v>-157.52567971789836</v>
      </c>
      <c r="G233" s="173">
        <f>$G173-G173</f>
        <v>0</v>
      </c>
      <c r="H233" s="173">
        <f aca="true" t="shared" si="85" ref="H233:M233">IF($G173-H173&lt;0,0,$G173-H173)</f>
        <v>317.07000000000005</v>
      </c>
      <c r="I233" s="173">
        <f t="shared" si="85"/>
        <v>422.76000000000005</v>
      </c>
      <c r="J233" s="173">
        <f t="shared" si="85"/>
        <v>458.1661500000001</v>
      </c>
      <c r="K233" s="173">
        <f t="shared" si="85"/>
        <v>475.605</v>
      </c>
      <c r="L233" s="173">
        <f t="shared" si="85"/>
        <v>502.02750000000003</v>
      </c>
      <c r="M233" s="173">
        <f t="shared" si="85"/>
        <v>523.1655000000001</v>
      </c>
    </row>
    <row r="234" spans="2:13" ht="15">
      <c r="B234" s="701"/>
      <c r="C234" s="169">
        <v>0.04</v>
      </c>
      <c r="D234" s="173">
        <f>IF($H173-D173&gt;0,0,$H173-D173)</f>
        <v>-526.228257761181</v>
      </c>
      <c r="E234" s="173">
        <f>IF($H173-E173&gt;0,0,$H173-E173)</f>
        <v>-526.228257761181</v>
      </c>
      <c r="F234" s="173">
        <f>IF($H173-F173&gt;0,0,$H173-F173)</f>
        <v>-474.5956797178984</v>
      </c>
      <c r="G234" s="173">
        <f>IF($H173-G173&gt;0,0,$H173-G173)</f>
        <v>-317.07000000000005</v>
      </c>
      <c r="H234" s="173">
        <f>$H173-H173</f>
        <v>0</v>
      </c>
      <c r="I234" s="173">
        <f>IF($H173-I173&lt;0,0,$H173-I173)</f>
        <v>105.69</v>
      </c>
      <c r="J234" s="173">
        <f>IF($H173-J173&lt;0,0,$H173-J173)</f>
        <v>141.09615000000002</v>
      </c>
      <c r="K234" s="173">
        <f>IF($H173-K173&lt;0,0,$H173-K173)</f>
        <v>158.535</v>
      </c>
      <c r="L234" s="173">
        <f>IF($H173-L173&lt;0,0,$H173-L173)</f>
        <v>184.95749999999998</v>
      </c>
      <c r="M234" s="173">
        <f>IF($H173-M173&lt;0,0,$H173-M173)</f>
        <v>206.0955</v>
      </c>
    </row>
    <row r="235" spans="2:13" ht="15">
      <c r="B235" s="701"/>
      <c r="C235" s="169">
        <v>0.02</v>
      </c>
      <c r="D235" s="173">
        <f>IF($I173-D173&gt;0,0,$I173-D173)</f>
        <v>-631.9182577611809</v>
      </c>
      <c r="E235" s="173">
        <f>IF($I173-E173&gt;0,0,$I173-E173)</f>
        <v>-631.9182577611809</v>
      </c>
      <c r="F235" s="173">
        <f>IF($I173-F173&gt;0,0,$I173-F173)</f>
        <v>-580.2856797178983</v>
      </c>
      <c r="G235" s="173">
        <f>IF($I173-G173&gt;0,0,$I173-G173)</f>
        <v>-422.76000000000005</v>
      </c>
      <c r="H235" s="173">
        <f>IF($I173-H173&gt;0,0,$I173-H173)</f>
        <v>-105.69</v>
      </c>
      <c r="I235" s="173">
        <f>$I173-I173</f>
        <v>0</v>
      </c>
      <c r="J235" s="173">
        <f>IF($I173-J173&lt;0,0,$I173-J173)</f>
        <v>35.40615000000001</v>
      </c>
      <c r="K235" s="173">
        <f>IF($I173-K173&lt;0,0,$I173-K173)</f>
        <v>52.845</v>
      </c>
      <c r="L235" s="173">
        <f>IF($I173-L173&lt;0,0,$I173-L173)</f>
        <v>79.2675</v>
      </c>
      <c r="M235" s="173">
        <f>IF($I173-M173&lt;0,0,$I173-M173)</f>
        <v>100.4055</v>
      </c>
    </row>
    <row r="236" spans="2:13" ht="15">
      <c r="B236" s="701"/>
      <c r="C236" s="407">
        <v>0.0133</v>
      </c>
      <c r="D236" s="173">
        <f aca="true" t="shared" si="86" ref="D236:I236">IF($J173-D173&gt;0,0,$J173-D173)</f>
        <v>-667.324407761181</v>
      </c>
      <c r="E236" s="173">
        <f t="shared" si="86"/>
        <v>-667.324407761181</v>
      </c>
      <c r="F236" s="173">
        <f t="shared" si="86"/>
        <v>-615.6918297178984</v>
      </c>
      <c r="G236" s="173">
        <f t="shared" si="86"/>
        <v>-458.1661500000001</v>
      </c>
      <c r="H236" s="173">
        <f t="shared" si="86"/>
        <v>-141.09615000000002</v>
      </c>
      <c r="I236" s="173">
        <f t="shared" si="86"/>
        <v>-35.40615000000001</v>
      </c>
      <c r="J236" s="173">
        <f>$J173-J173</f>
        <v>0</v>
      </c>
      <c r="K236" s="173">
        <f>IF($J173-K173&lt;0,0,$J173-K173)</f>
        <v>17.438849999999988</v>
      </c>
      <c r="L236" s="173">
        <f>IF($J173-L173&lt;0,0,$J173-L173)</f>
        <v>43.86134999999999</v>
      </c>
      <c r="M236" s="173">
        <f>IF($J173-M173&lt;0,0,$J173-M173)</f>
        <v>64.99934999999999</v>
      </c>
    </row>
    <row r="237" spans="2:13" ht="15">
      <c r="B237" s="701"/>
      <c r="C237" s="169">
        <v>0.01</v>
      </c>
      <c r="D237" s="173">
        <f aca="true" t="shared" si="87" ref="D237:J237">IF($K173-D173&gt;0,0,$K173-D173)</f>
        <v>-684.763257761181</v>
      </c>
      <c r="E237" s="173">
        <f t="shared" si="87"/>
        <v>-684.763257761181</v>
      </c>
      <c r="F237" s="173">
        <f t="shared" si="87"/>
        <v>-633.1306797178984</v>
      </c>
      <c r="G237" s="173">
        <f t="shared" si="87"/>
        <v>-475.605</v>
      </c>
      <c r="H237" s="173">
        <f t="shared" si="87"/>
        <v>-158.535</v>
      </c>
      <c r="I237" s="173">
        <f t="shared" si="87"/>
        <v>-52.845</v>
      </c>
      <c r="J237" s="173">
        <f t="shared" si="87"/>
        <v>-17.438849999999988</v>
      </c>
      <c r="K237" s="173">
        <f>$K173-K173</f>
        <v>0</v>
      </c>
      <c r="L237" s="173">
        <f>IF($K173-L173&lt;0,0,$K173-L173)</f>
        <v>26.4225</v>
      </c>
      <c r="M237" s="173">
        <f>IF($K173-M173&lt;0,0,$K173-M173)</f>
        <v>47.5605</v>
      </c>
    </row>
    <row r="238" spans="2:13" ht="15">
      <c r="B238" s="701"/>
      <c r="C238" s="170">
        <v>0.005</v>
      </c>
      <c r="D238" s="173">
        <f aca="true" t="shared" si="88" ref="D238:K238">IF($L173-D173&gt;0,0,$L173-D173)</f>
        <v>-711.185757761181</v>
      </c>
      <c r="E238" s="173">
        <f t="shared" si="88"/>
        <v>-711.185757761181</v>
      </c>
      <c r="F238" s="173">
        <f t="shared" si="88"/>
        <v>-659.5531797178984</v>
      </c>
      <c r="G238" s="173">
        <f t="shared" si="88"/>
        <v>-502.02750000000003</v>
      </c>
      <c r="H238" s="173">
        <f t="shared" si="88"/>
        <v>-184.95749999999998</v>
      </c>
      <c r="I238" s="173">
        <f t="shared" si="88"/>
        <v>-79.2675</v>
      </c>
      <c r="J238" s="173">
        <f t="shared" si="88"/>
        <v>-43.86134999999999</v>
      </c>
      <c r="K238" s="173">
        <f t="shared" si="88"/>
        <v>-26.4225</v>
      </c>
      <c r="L238" s="173">
        <f>$L173-L173</f>
        <v>0</v>
      </c>
      <c r="M238" s="173">
        <f>IF($L173-M173&lt;0,0,$L173-M173)</f>
        <v>21.137999999999998</v>
      </c>
    </row>
    <row r="239" spans="2:13" ht="15">
      <c r="B239" s="701"/>
      <c r="C239" s="170">
        <v>0.001</v>
      </c>
      <c r="D239" s="173">
        <f aca="true" t="shared" si="89" ref="D239:L239">IF($M173-D173&gt;0,0,$M173-D173)</f>
        <v>-732.323757761181</v>
      </c>
      <c r="E239" s="173">
        <f t="shared" si="89"/>
        <v>-732.323757761181</v>
      </c>
      <c r="F239" s="173">
        <f t="shared" si="89"/>
        <v>-680.6911797178984</v>
      </c>
      <c r="G239" s="173">
        <f t="shared" si="89"/>
        <v>-523.1655000000001</v>
      </c>
      <c r="H239" s="173">
        <f t="shared" si="89"/>
        <v>-206.0955</v>
      </c>
      <c r="I239" s="173">
        <f t="shared" si="89"/>
        <v>-100.4055</v>
      </c>
      <c r="J239" s="173">
        <f t="shared" si="89"/>
        <v>-64.99934999999999</v>
      </c>
      <c r="K239" s="173">
        <f t="shared" si="89"/>
        <v>-47.5605</v>
      </c>
      <c r="L239" s="173">
        <f t="shared" si="89"/>
        <v>-21.137999999999998</v>
      </c>
      <c r="M239" s="173">
        <f>$M173-M173</f>
        <v>0</v>
      </c>
    </row>
    <row r="241" spans="5:6" ht="15">
      <c r="E241" s="163" t="s">
        <v>262</v>
      </c>
      <c r="F241" s="163" t="s">
        <v>280</v>
      </c>
    </row>
    <row r="242" spans="1:13" ht="15">
      <c r="A242" s="711" t="str">
        <f>C155</f>
        <v>OTHER</v>
      </c>
      <c r="B242" s="590"/>
      <c r="C242" s="590"/>
      <c r="D242" s="169">
        <v>1</v>
      </c>
      <c r="E242" s="169">
        <v>0.5</v>
      </c>
      <c r="F242" s="169">
        <v>0.2</v>
      </c>
      <c r="G242" s="169">
        <v>0.1</v>
      </c>
      <c r="H242" s="169">
        <v>0.04</v>
      </c>
      <c r="I242" s="169">
        <v>0.02</v>
      </c>
      <c r="J242" s="407">
        <v>0.0133</v>
      </c>
      <c r="K242" s="169">
        <v>0.01</v>
      </c>
      <c r="L242" s="170">
        <v>0.005</v>
      </c>
      <c r="M242" s="170">
        <v>0.001</v>
      </c>
    </row>
    <row r="243" spans="3:14" ht="15">
      <c r="C243" s="169">
        <v>1</v>
      </c>
      <c r="D243" s="173">
        <f aca="true" t="shared" si="90" ref="D243:M243">IF($D174-D174&lt;0,0,$D174-D174)</f>
        <v>0</v>
      </c>
      <c r="E243" s="173">
        <f t="shared" si="90"/>
        <v>0</v>
      </c>
      <c r="F243" s="173">
        <f t="shared" si="90"/>
        <v>51.63257804328259</v>
      </c>
      <c r="G243" s="173">
        <f t="shared" si="90"/>
        <v>209.15825776118095</v>
      </c>
      <c r="H243" s="173">
        <f t="shared" si="90"/>
        <v>526.228257761181</v>
      </c>
      <c r="I243" s="173">
        <f t="shared" si="90"/>
        <v>631.9182577611809</v>
      </c>
      <c r="J243" s="173">
        <f t="shared" si="90"/>
        <v>667.324407761181</v>
      </c>
      <c r="K243" s="173">
        <f t="shared" si="90"/>
        <v>684.763257761181</v>
      </c>
      <c r="L243" s="173">
        <f t="shared" si="90"/>
        <v>711.185757761181</v>
      </c>
      <c r="M243" s="173">
        <f t="shared" si="90"/>
        <v>732.323757761181</v>
      </c>
      <c r="N243" s="163" t="s">
        <v>396</v>
      </c>
    </row>
    <row r="244" spans="2:13" ht="15">
      <c r="B244" s="163" t="s">
        <v>261</v>
      </c>
      <c r="C244" s="169">
        <v>0.5</v>
      </c>
      <c r="D244" s="173">
        <f>IF($E174-D174&gt;0,0,$E174-D174)</f>
        <v>0</v>
      </c>
      <c r="E244" s="173">
        <f>$E174-E174</f>
        <v>0</v>
      </c>
      <c r="F244" s="173">
        <f aca="true" t="shared" si="91" ref="F244:M244">IF($E174-F174&lt;0,0,$E174-F174)</f>
        <v>51.63257804328259</v>
      </c>
      <c r="G244" s="173">
        <f t="shared" si="91"/>
        <v>209.15825776118095</v>
      </c>
      <c r="H244" s="173">
        <f t="shared" si="91"/>
        <v>526.228257761181</v>
      </c>
      <c r="I244" s="173">
        <f t="shared" si="91"/>
        <v>631.9182577611809</v>
      </c>
      <c r="J244" s="173">
        <f t="shared" si="91"/>
        <v>667.324407761181</v>
      </c>
      <c r="K244" s="173">
        <f t="shared" si="91"/>
        <v>684.763257761181</v>
      </c>
      <c r="L244" s="173">
        <f t="shared" si="91"/>
        <v>711.185757761181</v>
      </c>
      <c r="M244" s="173">
        <f t="shared" si="91"/>
        <v>732.323757761181</v>
      </c>
    </row>
    <row r="245" spans="2:13" ht="15">
      <c r="B245" s="700" t="s">
        <v>281</v>
      </c>
      <c r="C245" s="169">
        <v>0.2</v>
      </c>
      <c r="D245" s="173">
        <f>IF($F174-D174&gt;0,0,$F174-D174)</f>
        <v>-51.63257804328259</v>
      </c>
      <c r="E245" s="173">
        <f>IF($F174-E174&gt;0,0,$F174-E174)</f>
        <v>-51.63257804328259</v>
      </c>
      <c r="F245" s="173">
        <f>$F174-F174</f>
        <v>0</v>
      </c>
      <c r="G245" s="173">
        <f aca="true" t="shared" si="92" ref="G245:M245">IF($F174-G174&lt;0,0,$F174-G174)</f>
        <v>157.52567971789836</v>
      </c>
      <c r="H245" s="173">
        <f t="shared" si="92"/>
        <v>474.5956797178984</v>
      </c>
      <c r="I245" s="173">
        <f t="shared" si="92"/>
        <v>580.2856797178983</v>
      </c>
      <c r="J245" s="173">
        <f t="shared" si="92"/>
        <v>615.6918297178984</v>
      </c>
      <c r="K245" s="173">
        <f t="shared" si="92"/>
        <v>633.1306797178984</v>
      </c>
      <c r="L245" s="173">
        <f t="shared" si="92"/>
        <v>659.5531797178984</v>
      </c>
      <c r="M245" s="173">
        <f t="shared" si="92"/>
        <v>680.6911797178984</v>
      </c>
    </row>
    <row r="246" spans="2:13" ht="15">
      <c r="B246" s="701"/>
      <c r="C246" s="169">
        <v>0.1</v>
      </c>
      <c r="D246" s="173">
        <f>IF($G174-D174&gt;0,0,$G174-D174)</f>
        <v>-209.15825776118095</v>
      </c>
      <c r="E246" s="173">
        <f>IF($G174-E174&gt;0,0,$G174-E174)</f>
        <v>-209.15825776118095</v>
      </c>
      <c r="F246" s="173">
        <f>IF($G174-F174&gt;0,0,$G174-F174)</f>
        <v>-157.52567971789836</v>
      </c>
      <c r="G246" s="173">
        <f>$G174-G174</f>
        <v>0</v>
      </c>
      <c r="H246" s="173">
        <f aca="true" t="shared" si="93" ref="H246:M246">IF($G174-H174&lt;0,0,$G174-H174)</f>
        <v>317.07000000000005</v>
      </c>
      <c r="I246" s="173">
        <f t="shared" si="93"/>
        <v>422.76000000000005</v>
      </c>
      <c r="J246" s="173">
        <f t="shared" si="93"/>
        <v>458.1661500000001</v>
      </c>
      <c r="K246" s="173">
        <f t="shared" si="93"/>
        <v>475.605</v>
      </c>
      <c r="L246" s="173">
        <f t="shared" si="93"/>
        <v>502.02750000000003</v>
      </c>
      <c r="M246" s="173">
        <f t="shared" si="93"/>
        <v>523.1655000000001</v>
      </c>
    </row>
    <row r="247" spans="2:13" ht="15">
      <c r="B247" s="701"/>
      <c r="C247" s="169">
        <v>0.04</v>
      </c>
      <c r="D247" s="173">
        <f>IF($H174-D174&gt;0,0,$H174-D174)</f>
        <v>-526.228257761181</v>
      </c>
      <c r="E247" s="173">
        <f>IF($H174-E174&gt;0,0,$H174-E174)</f>
        <v>-526.228257761181</v>
      </c>
      <c r="F247" s="173">
        <f>IF($H174-F174&gt;0,0,$H174-F174)</f>
        <v>-474.5956797178984</v>
      </c>
      <c r="G247" s="173">
        <f>IF($H174-G174&gt;0,0,$H174-G174)</f>
        <v>-317.07000000000005</v>
      </c>
      <c r="H247" s="173">
        <f>$H174-H174</f>
        <v>0</v>
      </c>
      <c r="I247" s="173">
        <f>IF($H174-I174&lt;0,0,$H174-I174)</f>
        <v>105.69</v>
      </c>
      <c r="J247" s="173">
        <f>IF($H174-J174&lt;0,0,$H174-J174)</f>
        <v>141.09615000000002</v>
      </c>
      <c r="K247" s="173">
        <f>IF($H174-K174&lt;0,0,$H174-K174)</f>
        <v>158.535</v>
      </c>
      <c r="L247" s="173">
        <f>IF($H174-L174&lt;0,0,$H174-L174)</f>
        <v>184.95749999999998</v>
      </c>
      <c r="M247" s="173">
        <f>IF($H174-M174&lt;0,0,$H174-M174)</f>
        <v>206.0955</v>
      </c>
    </row>
    <row r="248" spans="2:13" ht="15">
      <c r="B248" s="701"/>
      <c r="C248" s="169">
        <v>0.02</v>
      </c>
      <c r="D248" s="173">
        <f>IF($I174-D174&gt;0,0,$I174-D174)</f>
        <v>-631.9182577611809</v>
      </c>
      <c r="E248" s="173">
        <f>IF($I174-E174&gt;0,0,$I174-E174)</f>
        <v>-631.9182577611809</v>
      </c>
      <c r="F248" s="173">
        <f>IF($I174-F174&gt;0,0,$I174-F174)</f>
        <v>-580.2856797178983</v>
      </c>
      <c r="G248" s="173">
        <f>IF($I174-G174&gt;0,0,$I174-G174)</f>
        <v>-422.76000000000005</v>
      </c>
      <c r="H248" s="173">
        <f>IF($I174-H174&gt;0,0,$I174-H174)</f>
        <v>-105.69</v>
      </c>
      <c r="I248" s="173">
        <f>$I174-I174</f>
        <v>0</v>
      </c>
      <c r="J248" s="173">
        <f>IF($I174-J174&lt;0,0,$I174-J174)</f>
        <v>35.40615000000001</v>
      </c>
      <c r="K248" s="173">
        <f>IF($I174-K174&lt;0,0,$I174-K174)</f>
        <v>52.845</v>
      </c>
      <c r="L248" s="173">
        <f>IF($I174-L174&lt;0,0,$I174-L174)</f>
        <v>79.2675</v>
      </c>
      <c r="M248" s="173">
        <f>IF($I174-M174&lt;0,0,$I174-M174)</f>
        <v>100.4055</v>
      </c>
    </row>
    <row r="249" spans="2:13" ht="15">
      <c r="B249" s="701"/>
      <c r="C249" s="407">
        <v>0.0133</v>
      </c>
      <c r="D249" s="173">
        <f aca="true" t="shared" si="94" ref="D249:I249">IF($J174-D174&gt;0,0,$J174-D174)</f>
        <v>-667.324407761181</v>
      </c>
      <c r="E249" s="173">
        <f t="shared" si="94"/>
        <v>-667.324407761181</v>
      </c>
      <c r="F249" s="173">
        <f t="shared" si="94"/>
        <v>-615.6918297178984</v>
      </c>
      <c r="G249" s="173">
        <f t="shared" si="94"/>
        <v>-458.1661500000001</v>
      </c>
      <c r="H249" s="173">
        <f t="shared" si="94"/>
        <v>-141.09615000000002</v>
      </c>
      <c r="I249" s="173">
        <f t="shared" si="94"/>
        <v>-35.40615000000001</v>
      </c>
      <c r="J249" s="173">
        <f>$J174-J174</f>
        <v>0</v>
      </c>
      <c r="K249" s="173">
        <f>IF($J174-K174&lt;0,0,$J174-K174)</f>
        <v>17.438849999999988</v>
      </c>
      <c r="L249" s="173">
        <f>IF($J174-L174&lt;0,0,$J174-L174)</f>
        <v>43.86134999999999</v>
      </c>
      <c r="M249" s="173">
        <f>IF($J174-M174&lt;0,0,$J174-M174)</f>
        <v>64.99934999999999</v>
      </c>
    </row>
    <row r="250" spans="2:13" ht="15">
      <c r="B250" s="701"/>
      <c r="C250" s="169">
        <v>0.01</v>
      </c>
      <c r="D250" s="173">
        <f aca="true" t="shared" si="95" ref="D250:J250">IF($K174-D174&gt;0,0,$K174-D174)</f>
        <v>-684.763257761181</v>
      </c>
      <c r="E250" s="173">
        <f t="shared" si="95"/>
        <v>-684.763257761181</v>
      </c>
      <c r="F250" s="173">
        <f t="shared" si="95"/>
        <v>-633.1306797178984</v>
      </c>
      <c r="G250" s="173">
        <f t="shared" si="95"/>
        <v>-475.605</v>
      </c>
      <c r="H250" s="173">
        <f t="shared" si="95"/>
        <v>-158.535</v>
      </c>
      <c r="I250" s="173">
        <f t="shared" si="95"/>
        <v>-52.845</v>
      </c>
      <c r="J250" s="173">
        <f t="shared" si="95"/>
        <v>-17.438849999999988</v>
      </c>
      <c r="K250" s="173">
        <f>$K174-K174</f>
        <v>0</v>
      </c>
      <c r="L250" s="173">
        <f>IF($K174-L174&lt;0,0,$K174-L174)</f>
        <v>26.4225</v>
      </c>
      <c r="M250" s="173">
        <f>IF($K174-M174&lt;0,0,$K174-M174)</f>
        <v>47.5605</v>
      </c>
    </row>
    <row r="251" spans="2:13" ht="15">
      <c r="B251" s="701"/>
      <c r="C251" s="170">
        <v>0.005</v>
      </c>
      <c r="D251" s="173">
        <f aca="true" t="shared" si="96" ref="D251:K251">IF($L174-D174&gt;0,0,$L174-D174)</f>
        <v>-711.185757761181</v>
      </c>
      <c r="E251" s="173">
        <f t="shared" si="96"/>
        <v>-711.185757761181</v>
      </c>
      <c r="F251" s="173">
        <f t="shared" si="96"/>
        <v>-659.5531797178984</v>
      </c>
      <c r="G251" s="173">
        <f t="shared" si="96"/>
        <v>-502.02750000000003</v>
      </c>
      <c r="H251" s="173">
        <f t="shared" si="96"/>
        <v>-184.95749999999998</v>
      </c>
      <c r="I251" s="173">
        <f t="shared" si="96"/>
        <v>-79.2675</v>
      </c>
      <c r="J251" s="173">
        <f t="shared" si="96"/>
        <v>-43.86134999999999</v>
      </c>
      <c r="K251" s="173">
        <f t="shared" si="96"/>
        <v>-26.4225</v>
      </c>
      <c r="L251" s="173">
        <f>$L174-L174</f>
        <v>0</v>
      </c>
      <c r="M251" s="173">
        <f>IF($L174-M174&lt;0,0,$L174-M174)</f>
        <v>21.137999999999998</v>
      </c>
    </row>
    <row r="252" spans="2:13" ht="15">
      <c r="B252" s="701"/>
      <c r="C252" s="170">
        <v>0.001</v>
      </c>
      <c r="D252" s="173">
        <f aca="true" t="shared" si="97" ref="D252:L252">IF($M174-D174&gt;0,0,$M174-D174)</f>
        <v>-732.323757761181</v>
      </c>
      <c r="E252" s="173">
        <f t="shared" si="97"/>
        <v>-732.323757761181</v>
      </c>
      <c r="F252" s="173">
        <f t="shared" si="97"/>
        <v>-680.6911797178984</v>
      </c>
      <c r="G252" s="173">
        <f t="shared" si="97"/>
        <v>-523.1655000000001</v>
      </c>
      <c r="H252" s="173">
        <f t="shared" si="97"/>
        <v>-206.0955</v>
      </c>
      <c r="I252" s="173">
        <f t="shared" si="97"/>
        <v>-100.4055</v>
      </c>
      <c r="J252" s="173">
        <f t="shared" si="97"/>
        <v>-64.99934999999999</v>
      </c>
      <c r="K252" s="173">
        <f t="shared" si="97"/>
        <v>-47.5605</v>
      </c>
      <c r="L252" s="173">
        <f t="shared" si="97"/>
        <v>-21.137999999999998</v>
      </c>
      <c r="M252" s="173">
        <f>$M174-M174</f>
        <v>0</v>
      </c>
    </row>
    <row r="254" spans="5:6" ht="15">
      <c r="E254" s="163" t="s">
        <v>262</v>
      </c>
      <c r="F254" s="163" t="s">
        <v>280</v>
      </c>
    </row>
    <row r="255" spans="1:13" ht="15">
      <c r="A255" s="711" t="s">
        <v>397</v>
      </c>
      <c r="B255" s="590"/>
      <c r="C255" s="590"/>
      <c r="D255" s="169">
        <v>1</v>
      </c>
      <c r="E255" s="169">
        <v>0.5</v>
      </c>
      <c r="F255" s="169">
        <v>0.2</v>
      </c>
      <c r="G255" s="169">
        <v>0.1</v>
      </c>
      <c r="H255" s="169">
        <v>0.04</v>
      </c>
      <c r="I255" s="169">
        <v>0.02</v>
      </c>
      <c r="J255" s="407">
        <v>0.0133</v>
      </c>
      <c r="K255" s="169">
        <v>0.01</v>
      </c>
      <c r="L255" s="170">
        <v>0.005</v>
      </c>
      <c r="M255" s="170">
        <v>0.001</v>
      </c>
    </row>
    <row r="256" spans="3:13" ht="15">
      <c r="C256" s="169">
        <v>1</v>
      </c>
      <c r="D256" s="173">
        <f>D178*D5+D18*D191+D31*D204+D44*D217+D230*D57+D70*D243</f>
        <v>0</v>
      </c>
      <c r="E256" s="173">
        <f aca="true" t="shared" si="98" ref="E256:M256">E178*E5+E18*E191+E31*E204+E44*E217+E230*E57+E70*E243</f>
        <v>0</v>
      </c>
      <c r="F256" s="173">
        <f t="shared" si="98"/>
        <v>0</v>
      </c>
      <c r="G256" s="173">
        <f t="shared" si="98"/>
        <v>0</v>
      </c>
      <c r="H256" s="173">
        <f t="shared" si="98"/>
        <v>0</v>
      </c>
      <c r="I256" s="173">
        <f t="shared" si="98"/>
        <v>0</v>
      </c>
      <c r="J256" s="173">
        <f t="shared" si="98"/>
        <v>0</v>
      </c>
      <c r="K256" s="173">
        <f t="shared" si="98"/>
        <v>0</v>
      </c>
      <c r="L256" s="173">
        <f t="shared" si="98"/>
        <v>0</v>
      </c>
      <c r="M256" s="173">
        <f t="shared" si="98"/>
        <v>0</v>
      </c>
    </row>
    <row r="257" spans="2:13" ht="15">
      <c r="B257" s="163" t="s">
        <v>261</v>
      </c>
      <c r="C257" s="169">
        <v>0.5</v>
      </c>
      <c r="D257" s="173">
        <f aca="true" t="shared" si="99" ref="D257:M257">D179*D6+D19*D192+D32*D205+D45*D218+D231*D58+D71*D244</f>
        <v>0</v>
      </c>
      <c r="E257" s="173">
        <f t="shared" si="99"/>
        <v>0</v>
      </c>
      <c r="F257" s="173">
        <f t="shared" si="99"/>
        <v>0</v>
      </c>
      <c r="G257" s="173">
        <f t="shared" si="99"/>
        <v>0</v>
      </c>
      <c r="H257" s="173">
        <f t="shared" si="99"/>
        <v>0</v>
      </c>
      <c r="I257" s="173">
        <f t="shared" si="99"/>
        <v>0</v>
      </c>
      <c r="J257" s="173">
        <f t="shared" si="99"/>
        <v>0</v>
      </c>
      <c r="K257" s="173">
        <f t="shared" si="99"/>
        <v>0</v>
      </c>
      <c r="L257" s="173">
        <f t="shared" si="99"/>
        <v>0</v>
      </c>
      <c r="M257" s="173">
        <f t="shared" si="99"/>
        <v>0</v>
      </c>
    </row>
    <row r="258" spans="2:13" ht="15">
      <c r="B258" s="700" t="s">
        <v>281</v>
      </c>
      <c r="C258" s="169">
        <v>0.2</v>
      </c>
      <c r="D258" s="173">
        <f aca="true" t="shared" si="100" ref="D258:M258">D180*D7+D20*D193+D33*D206+D46*D219+D232*D59+D72*D245</f>
        <v>0</v>
      </c>
      <c r="E258" s="173">
        <f t="shared" si="100"/>
        <v>0</v>
      </c>
      <c r="F258" s="173">
        <f t="shared" si="100"/>
        <v>0</v>
      </c>
      <c r="G258" s="173">
        <f t="shared" si="100"/>
        <v>0</v>
      </c>
      <c r="H258" s="173">
        <f t="shared" si="100"/>
        <v>0</v>
      </c>
      <c r="I258" s="173">
        <f t="shared" si="100"/>
        <v>0</v>
      </c>
      <c r="J258" s="173">
        <f t="shared" si="100"/>
        <v>0</v>
      </c>
      <c r="K258" s="173">
        <f t="shared" si="100"/>
        <v>0</v>
      </c>
      <c r="L258" s="173">
        <f t="shared" si="100"/>
        <v>0</v>
      </c>
      <c r="M258" s="173">
        <f t="shared" si="100"/>
        <v>0</v>
      </c>
    </row>
    <row r="259" spans="2:13" ht="15">
      <c r="B259" s="701"/>
      <c r="C259" s="169">
        <v>0.1</v>
      </c>
      <c r="D259" s="173">
        <f aca="true" t="shared" si="101" ref="D259:M259">D181*D8+D21*D194+D34*D207+D47*D220+D233*D60+D73*D246</f>
        <v>0</v>
      </c>
      <c r="E259" s="173">
        <f t="shared" si="101"/>
        <v>0</v>
      </c>
      <c r="F259" s="173">
        <f t="shared" si="101"/>
        <v>0</v>
      </c>
      <c r="G259" s="173">
        <f t="shared" si="101"/>
        <v>0</v>
      </c>
      <c r="H259" s="173">
        <f t="shared" si="101"/>
        <v>0</v>
      </c>
      <c r="I259" s="173">
        <f t="shared" si="101"/>
        <v>0</v>
      </c>
      <c r="J259" s="173">
        <f t="shared" si="101"/>
        <v>0</v>
      </c>
      <c r="K259" s="173">
        <f t="shared" si="101"/>
        <v>0</v>
      </c>
      <c r="L259" s="173">
        <f t="shared" si="101"/>
        <v>0</v>
      </c>
      <c r="M259" s="173">
        <f t="shared" si="101"/>
        <v>0</v>
      </c>
    </row>
    <row r="260" spans="2:13" ht="15">
      <c r="B260" s="701"/>
      <c r="C260" s="169">
        <v>0.04</v>
      </c>
      <c r="D260" s="173">
        <f aca="true" t="shared" si="102" ref="D260:M260">D182*D9+D22*D195+D35*D208+D48*D221+D234*D61+D74*D247</f>
        <v>0</v>
      </c>
      <c r="E260" s="173">
        <f t="shared" si="102"/>
        <v>0</v>
      </c>
      <c r="F260" s="173">
        <f t="shared" si="102"/>
        <v>0</v>
      </c>
      <c r="G260" s="173">
        <f t="shared" si="102"/>
        <v>0</v>
      </c>
      <c r="H260" s="173">
        <f t="shared" si="102"/>
        <v>0</v>
      </c>
      <c r="I260" s="173">
        <f t="shared" si="102"/>
        <v>0</v>
      </c>
      <c r="J260" s="173">
        <f t="shared" si="102"/>
        <v>0</v>
      </c>
      <c r="K260" s="173">
        <f t="shared" si="102"/>
        <v>0</v>
      </c>
      <c r="L260" s="173">
        <f t="shared" si="102"/>
        <v>0</v>
      </c>
      <c r="M260" s="173">
        <f t="shared" si="102"/>
        <v>0</v>
      </c>
    </row>
    <row r="261" spans="2:13" ht="15">
      <c r="B261" s="701"/>
      <c r="C261" s="169">
        <v>0.02</v>
      </c>
      <c r="D261" s="173">
        <f aca="true" t="shared" si="103" ref="D261:M261">D183*D10+D23*D196+D36*D209+D49*D222+D235*D62+D75*D248</f>
        <v>0</v>
      </c>
      <c r="E261" s="173">
        <f t="shared" si="103"/>
        <v>0</v>
      </c>
      <c r="F261" s="173">
        <f t="shared" si="103"/>
        <v>0</v>
      </c>
      <c r="G261" s="173">
        <f t="shared" si="103"/>
        <v>0</v>
      </c>
      <c r="H261" s="173">
        <f t="shared" si="103"/>
        <v>0</v>
      </c>
      <c r="I261" s="173">
        <f t="shared" si="103"/>
        <v>0</v>
      </c>
      <c r="J261" s="173">
        <f t="shared" si="103"/>
        <v>0</v>
      </c>
      <c r="K261" s="173">
        <f t="shared" si="103"/>
        <v>0</v>
      </c>
      <c r="L261" s="173">
        <f t="shared" si="103"/>
        <v>0</v>
      </c>
      <c r="M261" s="173">
        <f t="shared" si="103"/>
        <v>0</v>
      </c>
    </row>
    <row r="262" spans="2:13" ht="15">
      <c r="B262" s="701"/>
      <c r="C262" s="407">
        <v>0.0133</v>
      </c>
      <c r="D262" s="173">
        <f aca="true" t="shared" si="104" ref="D262:M262">D184*D11+D24*D197+D37*D210+D50*D223+D236*D63+D76*D249</f>
        <v>0</v>
      </c>
      <c r="E262" s="173">
        <f t="shared" si="104"/>
        <v>0</v>
      </c>
      <c r="F262" s="173">
        <f t="shared" si="104"/>
        <v>0</v>
      </c>
      <c r="G262" s="173">
        <f t="shared" si="104"/>
        <v>0</v>
      </c>
      <c r="H262" s="173">
        <f t="shared" si="104"/>
        <v>0</v>
      </c>
      <c r="I262" s="173">
        <f t="shared" si="104"/>
        <v>0</v>
      </c>
      <c r="J262" s="173">
        <f t="shared" si="104"/>
        <v>0</v>
      </c>
      <c r="K262" s="173">
        <f t="shared" si="104"/>
        <v>0</v>
      </c>
      <c r="L262" s="173">
        <f t="shared" si="104"/>
        <v>0</v>
      </c>
      <c r="M262" s="173">
        <f t="shared" si="104"/>
        <v>0</v>
      </c>
    </row>
    <row r="263" spans="2:13" ht="15">
      <c r="B263" s="701"/>
      <c r="C263" s="169">
        <v>0.01</v>
      </c>
      <c r="D263" s="173">
        <f aca="true" t="shared" si="105" ref="D263:M263">D185*D12+D25*D198+D38*D211+D51*D224+D237*D64+D77*D250</f>
        <v>0</v>
      </c>
      <c r="E263" s="173">
        <f t="shared" si="105"/>
        <v>0</v>
      </c>
      <c r="F263" s="173">
        <f t="shared" si="105"/>
        <v>0</v>
      </c>
      <c r="G263" s="173">
        <f t="shared" si="105"/>
        <v>0</v>
      </c>
      <c r="H263" s="173">
        <f t="shared" si="105"/>
        <v>0</v>
      </c>
      <c r="I263" s="173">
        <f t="shared" si="105"/>
        <v>0</v>
      </c>
      <c r="J263" s="173">
        <f t="shared" si="105"/>
        <v>0</v>
      </c>
      <c r="K263" s="173">
        <f t="shared" si="105"/>
        <v>0</v>
      </c>
      <c r="L263" s="173">
        <f t="shared" si="105"/>
        <v>0</v>
      </c>
      <c r="M263" s="173">
        <f t="shared" si="105"/>
        <v>0</v>
      </c>
    </row>
    <row r="264" spans="2:13" ht="15">
      <c r="B264" s="701"/>
      <c r="C264" s="170">
        <v>0.005</v>
      </c>
      <c r="D264" s="173">
        <f aca="true" t="shared" si="106" ref="D264:M264">D186*D13+D26*D199+D39*D212+D52*D225+D238*D65+D78*D251</f>
        <v>0</v>
      </c>
      <c r="E264" s="173">
        <f t="shared" si="106"/>
        <v>0</v>
      </c>
      <c r="F264" s="173">
        <f t="shared" si="106"/>
        <v>0</v>
      </c>
      <c r="G264" s="173">
        <f t="shared" si="106"/>
        <v>0</v>
      </c>
      <c r="H264" s="173">
        <f t="shared" si="106"/>
        <v>0</v>
      </c>
      <c r="I264" s="173">
        <f t="shared" si="106"/>
        <v>0</v>
      </c>
      <c r="J264" s="173">
        <f t="shared" si="106"/>
        <v>0</v>
      </c>
      <c r="K264" s="173">
        <f t="shared" si="106"/>
        <v>0</v>
      </c>
      <c r="L264" s="173">
        <f t="shared" si="106"/>
        <v>0</v>
      </c>
      <c r="M264" s="173">
        <f t="shared" si="106"/>
        <v>0</v>
      </c>
    </row>
    <row r="265" spans="2:13" ht="15">
      <c r="B265" s="701"/>
      <c r="C265" s="170">
        <v>0.001</v>
      </c>
      <c r="D265" s="173">
        <f aca="true" t="shared" si="107" ref="D265:L265">D187*D14+D27*D200+D40*D213+D53*D226+D239*D66+D79*D252</f>
        <v>0</v>
      </c>
      <c r="E265" s="173">
        <f t="shared" si="107"/>
        <v>0</v>
      </c>
      <c r="F265" s="173">
        <f t="shared" si="107"/>
        <v>0</v>
      </c>
      <c r="G265" s="173">
        <f t="shared" si="107"/>
        <v>0</v>
      </c>
      <c r="H265" s="173">
        <f t="shared" si="107"/>
        <v>0</v>
      </c>
      <c r="I265" s="173">
        <f t="shared" si="107"/>
        <v>0</v>
      </c>
      <c r="J265" s="173">
        <f t="shared" si="107"/>
        <v>0</v>
      </c>
      <c r="K265" s="173">
        <f t="shared" si="107"/>
        <v>0</v>
      </c>
      <c r="L265" s="173">
        <f t="shared" si="107"/>
        <v>0</v>
      </c>
      <c r="M265" s="173">
        <f>M187*M14+M27*M200+M40*M213+M53*M226+M239*M66+M79*M252</f>
        <v>0</v>
      </c>
    </row>
    <row r="266" ht="15.75" thickBot="1"/>
    <row r="267" spans="4:15" ht="16.5" thickBot="1" thickTop="1">
      <c r="D267" s="195" t="str">
        <f>IF(SUM(D256:M265)=0,"Enter number of hectares","Total annual impacts")</f>
        <v>Enter number of hectares</v>
      </c>
      <c r="E267" s="201"/>
      <c r="F267" s="196"/>
      <c r="G267" s="196"/>
      <c r="H267" s="186">
        <f>SUM(D256:M265)</f>
        <v>0</v>
      </c>
      <c r="I267" s="366" t="s">
        <v>804</v>
      </c>
      <c r="J267" s="406"/>
      <c r="K267" s="593" t="s">
        <v>811</v>
      </c>
      <c r="L267" s="593"/>
      <c r="M267" s="594"/>
      <c r="N267" s="594"/>
      <c r="O267" s="595"/>
    </row>
    <row r="268" ht="15.75" thickTop="1"/>
  </sheetData>
  <sheetProtection sheet="1" objects="1" scenarios="1"/>
  <mergeCells count="51">
    <mergeCell ref="P1:T1"/>
    <mergeCell ref="K267:O267"/>
    <mergeCell ref="I1:K1"/>
    <mergeCell ref="B258:B265"/>
    <mergeCell ref="A177:C177"/>
    <mergeCell ref="B180:B187"/>
    <mergeCell ref="A203:C203"/>
    <mergeCell ref="B206:B213"/>
    <mergeCell ref="A255:C255"/>
    <mergeCell ref="B6:B7"/>
    <mergeCell ref="B32:B33"/>
    <mergeCell ref="E106:F106"/>
    <mergeCell ref="E128:F128"/>
    <mergeCell ref="B45:B46"/>
    <mergeCell ref="E132:F132"/>
    <mergeCell ref="A103:C103"/>
    <mergeCell ref="A125:C125"/>
    <mergeCell ref="A229:C229"/>
    <mergeCell ref="O94:Y94"/>
    <mergeCell ref="E144:F144"/>
    <mergeCell ref="E145:F145"/>
    <mergeCell ref="A149:C149"/>
    <mergeCell ref="E133:F133"/>
    <mergeCell ref="A137:C137"/>
    <mergeCell ref="E140:F140"/>
    <mergeCell ref="A216:C216"/>
    <mergeCell ref="B219:B226"/>
    <mergeCell ref="E152:F152"/>
    <mergeCell ref="E100:F100"/>
    <mergeCell ref="E156:F156"/>
    <mergeCell ref="E120:F120"/>
    <mergeCell ref="E121:F121"/>
    <mergeCell ref="O82:Y82"/>
    <mergeCell ref="O88:Y88"/>
    <mergeCell ref="A113:C113"/>
    <mergeCell ref="E116:F116"/>
    <mergeCell ref="B19:B20"/>
    <mergeCell ref="O85:Y85"/>
    <mergeCell ref="B71:B72"/>
    <mergeCell ref="O97:Y97"/>
    <mergeCell ref="E110:F110"/>
    <mergeCell ref="O91:Y91"/>
    <mergeCell ref="B58:B59"/>
    <mergeCell ref="A242:C242"/>
    <mergeCell ref="B245:B252"/>
    <mergeCell ref="E157:F157"/>
    <mergeCell ref="A161:C161"/>
    <mergeCell ref="E164:F164"/>
    <mergeCell ref="A190:C190"/>
    <mergeCell ref="B193:B200"/>
    <mergeCell ref="B232:B239"/>
  </mergeCells>
  <dataValidations count="2">
    <dataValidation type="list" allowBlank="1" showInputMessage="1" showErrorMessage="1" sqref="D91:M91 D82:M82 D88:M88 D94:M94 D85:M85 D97:M97">
      <formula1>"Permanent loss, One-off loss"</formula1>
    </dataValidation>
    <dataValidation type="list" allowBlank="1" showInputMessage="1" showErrorMessage="1" sqref="K267:O267">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84"/>
  <headerFooter>
    <oddHeader>&amp;C&amp;A</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46"/>
  <sheetViews>
    <sheetView workbookViewId="0" topLeftCell="A1"/>
  </sheetViews>
  <sheetFormatPr defaultColWidth="9.140625" defaultRowHeight="15"/>
  <cols>
    <col min="1" max="1" width="9.140625" style="163" customWidth="1"/>
    <col min="2" max="2" width="25.00390625" style="204" customWidth="1"/>
    <col min="3" max="3" width="31.00390625" style="205" customWidth="1"/>
    <col min="4" max="5" width="15.00390625" style="163" customWidth="1"/>
    <col min="6" max="10" width="11.421875" style="163" customWidth="1"/>
    <col min="11" max="16384" width="9.140625" style="163" customWidth="1"/>
  </cols>
  <sheetData>
    <row r="1" spans="2:4" ht="15">
      <c r="B1" s="589" t="s">
        <v>574</v>
      </c>
      <c r="C1" s="590"/>
      <c r="D1" s="590"/>
    </row>
    <row r="3" spans="2:3" ht="32.25" customHeight="1">
      <c r="B3" s="204" t="s">
        <v>73</v>
      </c>
      <c r="C3" s="494"/>
    </row>
    <row r="4" spans="2:3" ht="15">
      <c r="B4" s="204" t="s">
        <v>74</v>
      </c>
      <c r="C4" s="495"/>
    </row>
    <row r="5" spans="2:3" ht="15">
      <c r="B5" s="204" t="s">
        <v>75</v>
      </c>
      <c r="C5" s="496"/>
    </row>
    <row r="6" spans="2:3" ht="15">
      <c r="B6" s="204" t="s">
        <v>76</v>
      </c>
      <c r="C6" s="497"/>
    </row>
    <row r="8" spans="2:4" ht="30">
      <c r="B8" s="204" t="s">
        <v>90</v>
      </c>
      <c r="C8" s="498"/>
      <c r="D8" s="163" t="s">
        <v>89</v>
      </c>
    </row>
    <row r="9" spans="2:4" ht="15">
      <c r="B9" s="204" t="s">
        <v>91</v>
      </c>
      <c r="C9" s="498"/>
      <c r="D9" s="163" t="s">
        <v>89</v>
      </c>
    </row>
    <row r="11" ht="30">
      <c r="B11" s="204" t="s">
        <v>87</v>
      </c>
    </row>
    <row r="12" spans="2:4" ht="15">
      <c r="B12" s="204" t="s">
        <v>77</v>
      </c>
      <c r="C12" s="497"/>
      <c r="D12" s="163" t="s">
        <v>84</v>
      </c>
    </row>
    <row r="13" spans="2:4" ht="30">
      <c r="B13" s="204" t="s">
        <v>78</v>
      </c>
      <c r="C13" s="497"/>
      <c r="D13" s="163" t="s">
        <v>84</v>
      </c>
    </row>
    <row r="14" spans="2:4" ht="15">
      <c r="B14" s="204" t="s">
        <v>79</v>
      </c>
      <c r="C14" s="497"/>
      <c r="D14" s="163" t="s">
        <v>85</v>
      </c>
    </row>
    <row r="16" ht="15">
      <c r="B16" s="204" t="s">
        <v>80</v>
      </c>
    </row>
    <row r="17" spans="2:4" ht="15">
      <c r="B17" s="204" t="s">
        <v>81</v>
      </c>
      <c r="C17" s="497"/>
      <c r="D17" s="163" t="s">
        <v>86</v>
      </c>
    </row>
    <row r="18" spans="2:4" ht="15">
      <c r="B18" s="204" t="s">
        <v>82</v>
      </c>
      <c r="C18" s="497"/>
      <c r="D18" s="163" t="s">
        <v>86</v>
      </c>
    </row>
    <row r="19" spans="2:4" ht="30">
      <c r="B19" s="204" t="s">
        <v>83</v>
      </c>
      <c r="C19" s="497"/>
      <c r="D19" s="163" t="s">
        <v>86</v>
      </c>
    </row>
    <row r="21" spans="2:10" ht="57" customHeight="1" hidden="1">
      <c r="B21" s="284" t="s">
        <v>632</v>
      </c>
      <c r="C21" s="290">
        <f>IF(AND(C17="",C18="",C19=""),0,0.5)</f>
        <v>0</v>
      </c>
      <c r="D21" s="591" t="s">
        <v>816</v>
      </c>
      <c r="E21" s="592"/>
      <c r="F21" s="592"/>
      <c r="G21" s="592"/>
      <c r="H21" s="592"/>
      <c r="I21" s="592"/>
      <c r="J21" s="592"/>
    </row>
    <row r="22" spans="2:4" ht="30" hidden="1">
      <c r="B22" s="284" t="s">
        <v>624</v>
      </c>
      <c r="C22" s="290">
        <f>1-C21</f>
        <v>1</v>
      </c>
      <c r="D22" s="163" t="s">
        <v>625</v>
      </c>
    </row>
    <row r="23" spans="2:3" ht="15" hidden="1">
      <c r="B23" s="284"/>
      <c r="C23" s="285"/>
    </row>
    <row r="24" spans="2:4" ht="30">
      <c r="B24" s="204" t="s">
        <v>767</v>
      </c>
      <c r="C24" s="499"/>
      <c r="D24" s="163" t="s">
        <v>768</v>
      </c>
    </row>
    <row r="25" spans="2:4" ht="30">
      <c r="B25" s="329" t="s">
        <v>765</v>
      </c>
      <c r="C25" s="499"/>
      <c r="D25" s="163" t="s">
        <v>766</v>
      </c>
    </row>
    <row r="26" spans="2:4" ht="45">
      <c r="B26" s="329" t="s">
        <v>788</v>
      </c>
      <c r="C26" s="499"/>
      <c r="D26" s="163" t="s">
        <v>769</v>
      </c>
    </row>
    <row r="27" ht="15.75" thickBot="1"/>
    <row r="28" spans="2:9" ht="31.5" thickBot="1" thickTop="1">
      <c r="B28" s="204" t="s">
        <v>452</v>
      </c>
      <c r="C28" s="497"/>
      <c r="D28" s="163" t="s">
        <v>84</v>
      </c>
      <c r="E28" s="366" t="s">
        <v>804</v>
      </c>
      <c r="F28" s="593" t="s">
        <v>811</v>
      </c>
      <c r="G28" s="594"/>
      <c r="H28" s="594"/>
      <c r="I28" s="595"/>
    </row>
    <row r="29" ht="15.75" thickTop="1"/>
    <row r="30" spans="2:5" ht="15">
      <c r="B30" s="376"/>
      <c r="C30" s="377"/>
      <c r="D30" s="381" t="s">
        <v>828</v>
      </c>
      <c r="E30" s="381" t="s">
        <v>827</v>
      </c>
    </row>
    <row r="31" spans="2:5" ht="15">
      <c r="B31" s="163"/>
      <c r="C31" s="163" t="s">
        <v>770</v>
      </c>
      <c r="D31" s="500">
        <v>0</v>
      </c>
      <c r="E31" s="588">
        <f>1-D31</f>
        <v>1</v>
      </c>
    </row>
    <row r="32" spans="2:5" ht="15">
      <c r="B32" s="163" t="s">
        <v>560</v>
      </c>
      <c r="C32" s="163" t="s">
        <v>271</v>
      </c>
      <c r="D32" s="500">
        <v>0.9</v>
      </c>
      <c r="E32" s="588">
        <f aca="true" t="shared" si="0" ref="E32:E46">1-D32</f>
        <v>0.09999999999999998</v>
      </c>
    </row>
    <row r="33" spans="2:5" ht="15">
      <c r="B33" s="163"/>
      <c r="C33" s="163" t="s">
        <v>284</v>
      </c>
      <c r="D33" s="500">
        <v>0.9</v>
      </c>
      <c r="E33" s="588">
        <f t="shared" si="0"/>
        <v>0.09999999999999998</v>
      </c>
    </row>
    <row r="34" spans="2:5" ht="15">
      <c r="B34" s="163"/>
      <c r="C34" s="163" t="s">
        <v>561</v>
      </c>
      <c r="D34" s="500">
        <v>0.9</v>
      </c>
      <c r="E34" s="588">
        <f t="shared" si="0"/>
        <v>0.09999999999999998</v>
      </c>
    </row>
    <row r="35" spans="2:5" ht="15">
      <c r="B35" s="163"/>
      <c r="C35" s="163" t="s">
        <v>562</v>
      </c>
      <c r="D35" s="500">
        <v>0.9</v>
      </c>
      <c r="E35" s="588">
        <f t="shared" si="0"/>
        <v>0.09999999999999998</v>
      </c>
    </row>
    <row r="36" spans="2:5" ht="15">
      <c r="B36" s="163"/>
      <c r="C36" s="163" t="s">
        <v>563</v>
      </c>
      <c r="D36" s="500">
        <v>0.9</v>
      </c>
      <c r="E36" s="588">
        <f t="shared" si="0"/>
        <v>0.09999999999999998</v>
      </c>
    </row>
    <row r="37" spans="2:5" ht="15">
      <c r="B37" s="163"/>
      <c r="C37" s="163" t="s">
        <v>347</v>
      </c>
      <c r="D37" s="500">
        <v>0.5</v>
      </c>
      <c r="E37" s="588">
        <f t="shared" si="0"/>
        <v>0.5</v>
      </c>
    </row>
    <row r="38" spans="2:5" ht="15">
      <c r="B38" s="163"/>
      <c r="C38" s="163" t="s">
        <v>655</v>
      </c>
      <c r="D38" s="500">
        <v>0.5</v>
      </c>
      <c r="E38" s="588">
        <f t="shared" si="0"/>
        <v>0.5</v>
      </c>
    </row>
    <row r="39" spans="2:5" ht="15">
      <c r="B39" s="163"/>
      <c r="C39" s="163" t="s">
        <v>779</v>
      </c>
      <c r="D39" s="500">
        <v>0.1</v>
      </c>
      <c r="E39" s="588">
        <f t="shared" si="0"/>
        <v>0.9</v>
      </c>
    </row>
    <row r="40" spans="2:5" ht="15">
      <c r="B40" s="163"/>
      <c r="C40" s="163" t="s">
        <v>657</v>
      </c>
      <c r="D40" s="500">
        <v>0.9</v>
      </c>
      <c r="E40" s="588">
        <f t="shared" si="0"/>
        <v>0.09999999999999998</v>
      </c>
    </row>
    <row r="41" spans="2:5" ht="15">
      <c r="B41" s="163"/>
      <c r="C41" s="163" t="s">
        <v>822</v>
      </c>
      <c r="D41" s="500">
        <v>0.9</v>
      </c>
      <c r="E41" s="588">
        <f t="shared" si="0"/>
        <v>0.09999999999999998</v>
      </c>
    </row>
    <row r="42" spans="2:5" ht="15">
      <c r="B42" s="163"/>
      <c r="C42" s="163" t="s">
        <v>791</v>
      </c>
      <c r="D42" s="500">
        <v>0.1</v>
      </c>
      <c r="E42" s="588">
        <f t="shared" si="0"/>
        <v>0.9</v>
      </c>
    </row>
    <row r="43" spans="2:5" ht="15">
      <c r="B43" s="163"/>
      <c r="C43" s="163" t="s">
        <v>890</v>
      </c>
      <c r="D43" s="500">
        <v>0.1</v>
      </c>
      <c r="E43" s="588">
        <v>0.9</v>
      </c>
    </row>
    <row r="44" spans="2:5" ht="15">
      <c r="B44" s="163"/>
      <c r="C44" s="163" t="s">
        <v>257</v>
      </c>
      <c r="D44" s="500">
        <v>0</v>
      </c>
      <c r="E44" s="588">
        <f t="shared" si="0"/>
        <v>1</v>
      </c>
    </row>
    <row r="45" spans="2:5" ht="15">
      <c r="B45" s="163"/>
      <c r="C45" s="163" t="s">
        <v>16</v>
      </c>
      <c r="D45" s="500">
        <v>0.5</v>
      </c>
      <c r="E45" s="588">
        <f t="shared" si="0"/>
        <v>0.5</v>
      </c>
    </row>
    <row r="46" spans="2:5" ht="15">
      <c r="B46" s="163"/>
      <c r="C46" s="163" t="s">
        <v>372</v>
      </c>
      <c r="D46" s="500">
        <v>0.5</v>
      </c>
      <c r="E46" s="588">
        <f t="shared" si="0"/>
        <v>0.5</v>
      </c>
    </row>
  </sheetData>
  <sheetProtection sheet="1" objects="1" scenarios="1"/>
  <mergeCells count="3">
    <mergeCell ref="B1:D1"/>
    <mergeCell ref="D21:J21"/>
    <mergeCell ref="F28:I28"/>
  </mergeCells>
  <dataValidations count="1">
    <dataValidation type="list" allowBlank="1" showInputMessage="1" showErrorMessage="1" sqref="F28:I28">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pageSetUpPr fitToPage="1"/>
  </sheetPr>
  <dimension ref="A1:Y96"/>
  <sheetViews>
    <sheetView zoomScale="85" zoomScaleNormal="85" workbookViewId="0" topLeftCell="A1"/>
  </sheetViews>
  <sheetFormatPr defaultColWidth="9.140625" defaultRowHeight="15"/>
  <cols>
    <col min="1" max="1" width="9.140625" style="161" customWidth="1"/>
    <col min="2" max="2" width="9.8515625" style="161" customWidth="1"/>
    <col min="3" max="3" width="9.140625" style="161" customWidth="1"/>
    <col min="4" max="13" width="12.28125" style="161" customWidth="1"/>
    <col min="14" max="16384" width="9.140625" style="161" customWidth="1"/>
  </cols>
  <sheetData>
    <row r="1" spans="1:20" ht="15">
      <c r="A1" s="158" t="s">
        <v>371</v>
      </c>
      <c r="B1" s="156"/>
      <c r="C1" s="157"/>
      <c r="E1" s="157"/>
      <c r="F1" s="157" t="s">
        <v>260</v>
      </c>
      <c r="I1" s="721" t="s">
        <v>657</v>
      </c>
      <c r="J1" s="721"/>
      <c r="K1" s="721"/>
      <c r="L1" s="399"/>
      <c r="M1" s="215" t="s">
        <v>992</v>
      </c>
      <c r="N1" s="215">
        <v>9</v>
      </c>
      <c r="O1" s="215" t="s">
        <v>991</v>
      </c>
      <c r="P1" s="724"/>
      <c r="Q1" s="724"/>
      <c r="R1" s="724"/>
      <c r="S1" s="724"/>
      <c r="T1" s="724"/>
    </row>
    <row r="2" spans="3:6" ht="15">
      <c r="C2" s="299"/>
      <c r="E2" s="161" t="s">
        <v>262</v>
      </c>
      <c r="F2" s="161" t="str">
        <f>"Number of "&amp;A3&amp;" whose risk changes due to changes in water levels"</f>
        <v>Number of POWER STATIONS whose risk changes due to changes in water levels</v>
      </c>
    </row>
    <row r="3" spans="1:13" ht="28.5" customHeight="1">
      <c r="A3" s="722" t="s">
        <v>398</v>
      </c>
      <c r="B3" s="592"/>
      <c r="C3" s="592"/>
      <c r="D3" s="209">
        <v>1</v>
      </c>
      <c r="E3" s="209">
        <v>0.5</v>
      </c>
      <c r="F3" s="209">
        <v>0.2</v>
      </c>
      <c r="G3" s="209">
        <v>0.1</v>
      </c>
      <c r="H3" s="209">
        <v>0.04</v>
      </c>
      <c r="I3" s="209">
        <v>0.02</v>
      </c>
      <c r="J3" s="411">
        <v>0.0133</v>
      </c>
      <c r="K3" s="209">
        <v>0.01</v>
      </c>
      <c r="L3" s="210">
        <v>0.005</v>
      </c>
      <c r="M3" s="210">
        <v>0.001</v>
      </c>
    </row>
    <row r="4" spans="3:15" ht="15">
      <c r="C4" s="209">
        <v>1</v>
      </c>
      <c r="D4" s="550"/>
      <c r="E4" s="550"/>
      <c r="F4" s="550"/>
      <c r="G4" s="550"/>
      <c r="H4" s="550"/>
      <c r="I4" s="550"/>
      <c r="J4" s="550"/>
      <c r="K4" s="550"/>
      <c r="L4" s="550"/>
      <c r="M4" s="550"/>
      <c r="O4" s="161" t="s">
        <v>498</v>
      </c>
    </row>
    <row r="5" spans="3:13" ht="15">
      <c r="C5" s="209">
        <v>0.5</v>
      </c>
      <c r="D5" s="550"/>
      <c r="E5" s="550"/>
      <c r="F5" s="550"/>
      <c r="G5" s="550"/>
      <c r="H5" s="550"/>
      <c r="I5" s="550"/>
      <c r="J5" s="550"/>
      <c r="K5" s="550"/>
      <c r="L5" s="550"/>
      <c r="M5" s="550"/>
    </row>
    <row r="6" spans="3:15" ht="15">
      <c r="C6" s="209">
        <v>0.2</v>
      </c>
      <c r="D6" s="550"/>
      <c r="E6" s="550"/>
      <c r="F6" s="550"/>
      <c r="G6" s="550"/>
      <c r="H6" s="550"/>
      <c r="I6" s="550"/>
      <c r="J6" s="550"/>
      <c r="K6" s="550"/>
      <c r="L6" s="550"/>
      <c r="M6" s="550"/>
      <c r="O6" s="161" t="s">
        <v>952</v>
      </c>
    </row>
    <row r="7" spans="3:15" ht="15">
      <c r="C7" s="209">
        <v>0.1</v>
      </c>
      <c r="D7" s="550"/>
      <c r="E7" s="550"/>
      <c r="F7" s="550"/>
      <c r="G7" s="550"/>
      <c r="H7" s="550"/>
      <c r="I7" s="550"/>
      <c r="J7" s="550"/>
      <c r="K7" s="550"/>
      <c r="L7" s="550"/>
      <c r="M7" s="550"/>
      <c r="O7" s="161" t="s">
        <v>297</v>
      </c>
    </row>
    <row r="8" spans="3:15" ht="15">
      <c r="C8" s="209">
        <v>0.04</v>
      </c>
      <c r="D8" s="550"/>
      <c r="E8" s="550"/>
      <c r="F8" s="550"/>
      <c r="G8" s="550"/>
      <c r="H8" s="550"/>
      <c r="I8" s="550"/>
      <c r="J8" s="550"/>
      <c r="K8" s="550"/>
      <c r="L8" s="550"/>
      <c r="M8" s="550"/>
      <c r="O8" s="161" t="s">
        <v>953</v>
      </c>
    </row>
    <row r="9" spans="3:13" ht="15">
      <c r="C9" s="209">
        <v>0.02</v>
      </c>
      <c r="D9" s="550"/>
      <c r="E9" s="550"/>
      <c r="F9" s="550"/>
      <c r="G9" s="550"/>
      <c r="H9" s="550"/>
      <c r="I9" s="550"/>
      <c r="J9" s="550"/>
      <c r="K9" s="550"/>
      <c r="L9" s="550"/>
      <c r="M9" s="550"/>
    </row>
    <row r="10" spans="3:13" ht="15">
      <c r="C10" s="411">
        <v>0.0133</v>
      </c>
      <c r="D10" s="550"/>
      <c r="E10" s="550"/>
      <c r="F10" s="550"/>
      <c r="G10" s="550"/>
      <c r="H10" s="550"/>
      <c r="I10" s="550"/>
      <c r="J10" s="550"/>
      <c r="K10" s="550"/>
      <c r="L10" s="550"/>
      <c r="M10" s="550"/>
    </row>
    <row r="11" spans="3:13" ht="15">
      <c r="C11" s="209">
        <v>0.01</v>
      </c>
      <c r="D11" s="550"/>
      <c r="E11" s="550"/>
      <c r="F11" s="550"/>
      <c r="G11" s="550"/>
      <c r="H11" s="550"/>
      <c r="I11" s="550"/>
      <c r="J11" s="550"/>
      <c r="K11" s="550"/>
      <c r="L11" s="550"/>
      <c r="M11" s="550"/>
    </row>
    <row r="12" spans="3:13" ht="15">
      <c r="C12" s="210">
        <v>0.005</v>
      </c>
      <c r="D12" s="550"/>
      <c r="E12" s="550"/>
      <c r="F12" s="550"/>
      <c r="G12" s="550"/>
      <c r="H12" s="550"/>
      <c r="I12" s="550"/>
      <c r="J12" s="550"/>
      <c r="K12" s="550"/>
      <c r="L12" s="550"/>
      <c r="M12" s="550"/>
    </row>
    <row r="13" spans="3:13" ht="15">
      <c r="C13" s="210">
        <v>0.001</v>
      </c>
      <c r="D13" s="550"/>
      <c r="E13" s="550"/>
      <c r="F13" s="550"/>
      <c r="G13" s="550"/>
      <c r="H13" s="550"/>
      <c r="I13" s="550"/>
      <c r="J13" s="550"/>
      <c r="K13" s="550"/>
      <c r="L13" s="550"/>
      <c r="M13" s="550"/>
    </row>
    <row r="15" spans="3:6" ht="15">
      <c r="C15" s="299"/>
      <c r="E15" s="161" t="s">
        <v>262</v>
      </c>
      <c r="F15" s="161" t="str">
        <f>"Length of "&amp;C16&amp;" whose risk changes due to changes in water levels"</f>
        <v>Length of POWER LINES whose risk changes due to changes in water levels</v>
      </c>
    </row>
    <row r="16" spans="3:13" ht="15">
      <c r="C16" s="299" t="s">
        <v>399</v>
      </c>
      <c r="D16" s="209">
        <v>1</v>
      </c>
      <c r="E16" s="209">
        <v>0.5</v>
      </c>
      <c r="F16" s="209">
        <v>0.2</v>
      </c>
      <c r="G16" s="209">
        <v>0.1</v>
      </c>
      <c r="H16" s="209">
        <v>0.04</v>
      </c>
      <c r="I16" s="209">
        <v>0.02</v>
      </c>
      <c r="J16" s="411">
        <v>0.0133</v>
      </c>
      <c r="K16" s="209">
        <v>0.01</v>
      </c>
      <c r="L16" s="210">
        <v>0.005</v>
      </c>
      <c r="M16" s="210">
        <v>0.001</v>
      </c>
    </row>
    <row r="17" spans="3:15" ht="15">
      <c r="C17" s="209">
        <v>1</v>
      </c>
      <c r="D17" s="550"/>
      <c r="E17" s="550"/>
      <c r="F17" s="566"/>
      <c r="G17" s="550"/>
      <c r="H17" s="550"/>
      <c r="I17" s="550"/>
      <c r="J17" s="550"/>
      <c r="K17" s="550"/>
      <c r="L17" s="550"/>
      <c r="M17" s="550"/>
      <c r="O17" s="161" t="s">
        <v>499</v>
      </c>
    </row>
    <row r="18" spans="3:13" ht="15">
      <c r="C18" s="209">
        <v>0.5</v>
      </c>
      <c r="D18" s="550"/>
      <c r="E18" s="550"/>
      <c r="F18" s="566"/>
      <c r="G18" s="550"/>
      <c r="H18" s="550"/>
      <c r="I18" s="550"/>
      <c r="J18" s="550"/>
      <c r="K18" s="550"/>
      <c r="L18" s="550"/>
      <c r="M18" s="550"/>
    </row>
    <row r="19" spans="3:15" ht="15">
      <c r="C19" s="209">
        <v>0.2</v>
      </c>
      <c r="D19" s="550"/>
      <c r="E19" s="550"/>
      <c r="F19" s="550"/>
      <c r="G19" s="550"/>
      <c r="H19" s="550"/>
      <c r="I19" s="550"/>
      <c r="J19" s="550"/>
      <c r="K19" s="550"/>
      <c r="L19" s="550"/>
      <c r="M19" s="550"/>
      <c r="O19" s="161" t="s">
        <v>954</v>
      </c>
    </row>
    <row r="20" spans="3:15" ht="15">
      <c r="C20" s="209">
        <v>0.1</v>
      </c>
      <c r="D20" s="550"/>
      <c r="E20" s="550"/>
      <c r="F20" s="550"/>
      <c r="G20" s="550"/>
      <c r="H20" s="550"/>
      <c r="I20" s="550"/>
      <c r="J20" s="550"/>
      <c r="K20" s="550"/>
      <c r="L20" s="550"/>
      <c r="M20" s="550"/>
      <c r="O20" s="161" t="s">
        <v>297</v>
      </c>
    </row>
    <row r="21" spans="3:15" ht="15">
      <c r="C21" s="209">
        <v>0.04</v>
      </c>
      <c r="D21" s="550"/>
      <c r="E21" s="550"/>
      <c r="F21" s="550"/>
      <c r="G21" s="550"/>
      <c r="H21" s="550"/>
      <c r="I21" s="550"/>
      <c r="J21" s="550"/>
      <c r="K21" s="550"/>
      <c r="L21" s="550"/>
      <c r="M21" s="550"/>
      <c r="O21" s="161" t="s">
        <v>955</v>
      </c>
    </row>
    <row r="22" spans="3:13" ht="15">
      <c r="C22" s="209">
        <v>0.02</v>
      </c>
      <c r="D22" s="550"/>
      <c r="E22" s="550"/>
      <c r="F22" s="550"/>
      <c r="G22" s="550"/>
      <c r="H22" s="550"/>
      <c r="I22" s="550"/>
      <c r="J22" s="550"/>
      <c r="K22" s="550"/>
      <c r="L22" s="550"/>
      <c r="M22" s="550"/>
    </row>
    <row r="23" spans="3:13" ht="15">
      <c r="C23" s="411">
        <v>0.0133</v>
      </c>
      <c r="D23" s="550"/>
      <c r="E23" s="550"/>
      <c r="F23" s="550"/>
      <c r="G23" s="550"/>
      <c r="H23" s="550"/>
      <c r="I23" s="550"/>
      <c r="J23" s="550"/>
      <c r="K23" s="550"/>
      <c r="L23" s="550"/>
      <c r="M23" s="550"/>
    </row>
    <row r="24" spans="3:13" ht="15">
      <c r="C24" s="209">
        <v>0.01</v>
      </c>
      <c r="D24" s="550"/>
      <c r="E24" s="550"/>
      <c r="F24" s="550"/>
      <c r="G24" s="550"/>
      <c r="H24" s="550"/>
      <c r="I24" s="550"/>
      <c r="J24" s="550"/>
      <c r="K24" s="550"/>
      <c r="L24" s="550"/>
      <c r="M24" s="550"/>
    </row>
    <row r="25" spans="3:13" ht="15">
      <c r="C25" s="210">
        <v>0.005</v>
      </c>
      <c r="D25" s="550"/>
      <c r="E25" s="550"/>
      <c r="F25" s="550"/>
      <c r="G25" s="550"/>
      <c r="H25" s="550"/>
      <c r="I25" s="550"/>
      <c r="J25" s="550"/>
      <c r="K25" s="550"/>
      <c r="L25" s="550"/>
      <c r="M25" s="550"/>
    </row>
    <row r="26" spans="3:13" ht="15">
      <c r="C26" s="210">
        <v>0.001</v>
      </c>
      <c r="D26" s="550"/>
      <c r="E26" s="550"/>
      <c r="F26" s="550"/>
      <c r="G26" s="550"/>
      <c r="H26" s="550"/>
      <c r="I26" s="550"/>
      <c r="J26" s="550"/>
      <c r="K26" s="550"/>
      <c r="L26" s="550"/>
      <c r="M26" s="550"/>
    </row>
    <row r="28" spans="4:13" ht="15">
      <c r="D28" s="209">
        <v>1</v>
      </c>
      <c r="E28" s="209">
        <v>0.5</v>
      </c>
      <c r="F28" s="209">
        <v>0.2</v>
      </c>
      <c r="G28" s="209">
        <v>0.1</v>
      </c>
      <c r="H28" s="209">
        <v>0.04</v>
      </c>
      <c r="I28" s="209">
        <v>0.02</v>
      </c>
      <c r="J28" s="411">
        <v>0.0133</v>
      </c>
      <c r="K28" s="209">
        <v>0.01</v>
      </c>
      <c r="L28" s="210">
        <v>0.005</v>
      </c>
      <c r="M28" s="210">
        <v>0.001</v>
      </c>
    </row>
    <row r="29" spans="4:13" ht="15">
      <c r="D29" s="567">
        <v>0.01</v>
      </c>
      <c r="E29" s="567">
        <v>0.02</v>
      </c>
      <c r="F29" s="567">
        <v>0.05</v>
      </c>
      <c r="G29" s="567">
        <v>0.1</v>
      </c>
      <c r="H29" s="567">
        <v>0.25</v>
      </c>
      <c r="I29" s="567">
        <v>0.8</v>
      </c>
      <c r="J29" s="567">
        <f>(K29-I29)*0.67+I29</f>
        <v>0.8871</v>
      </c>
      <c r="K29" s="567">
        <v>0.93</v>
      </c>
      <c r="L29" s="567">
        <f>(K29+M29)/2</f>
        <v>0.9650000000000001</v>
      </c>
      <c r="M29" s="567">
        <v>1</v>
      </c>
    </row>
    <row r="30" spans="3:13" ht="15">
      <c r="C30" s="299" t="s">
        <v>659</v>
      </c>
      <c r="D30" s="552"/>
      <c r="E30" s="218"/>
      <c r="F30" s="218"/>
      <c r="G30" s="218"/>
      <c r="H30" s="218"/>
      <c r="I30" s="218"/>
      <c r="J30" s="218"/>
      <c r="K30" s="218"/>
      <c r="L30" s="218"/>
      <c r="M30" s="218"/>
    </row>
    <row r="31" spans="1:14" ht="32.25" customHeight="1">
      <c r="A31" s="722" t="s">
        <v>660</v>
      </c>
      <c r="B31" s="723"/>
      <c r="C31" s="723"/>
      <c r="D31" s="328">
        <f aca="true" t="shared" si="0" ref="D31:I31">$D$30*D29</f>
        <v>0</v>
      </c>
      <c r="E31" s="328">
        <f t="shared" si="0"/>
        <v>0</v>
      </c>
      <c r="F31" s="328">
        <f t="shared" si="0"/>
        <v>0</v>
      </c>
      <c r="G31" s="328">
        <f t="shared" si="0"/>
        <v>0</v>
      </c>
      <c r="H31" s="328">
        <f t="shared" si="0"/>
        <v>0</v>
      </c>
      <c r="I31" s="328">
        <f t="shared" si="0"/>
        <v>0</v>
      </c>
      <c r="J31" s="328">
        <f aca="true" t="shared" si="1" ref="J31:M31">$D$30*J29</f>
        <v>0</v>
      </c>
      <c r="K31" s="328">
        <f t="shared" si="1"/>
        <v>0</v>
      </c>
      <c r="L31" s="328">
        <f t="shared" si="1"/>
        <v>0</v>
      </c>
      <c r="M31" s="328">
        <f t="shared" si="1"/>
        <v>0</v>
      </c>
      <c r="N31" s="161" t="s">
        <v>587</v>
      </c>
    </row>
    <row r="32" spans="1:13" ht="32.25" customHeight="1">
      <c r="A32" s="722" t="s">
        <v>661</v>
      </c>
      <c r="B32" s="723"/>
      <c r="C32" s="723"/>
      <c r="D32" s="328">
        <f>D31</f>
        <v>0</v>
      </c>
      <c r="E32" s="328">
        <f>E31-D31</f>
        <v>0</v>
      </c>
      <c r="F32" s="328">
        <f aca="true" t="shared" si="2" ref="F32:I32">F31-E31</f>
        <v>0</v>
      </c>
      <c r="G32" s="328">
        <f t="shared" si="2"/>
        <v>0</v>
      </c>
      <c r="H32" s="328">
        <f t="shared" si="2"/>
        <v>0</v>
      </c>
      <c r="I32" s="328">
        <f t="shared" si="2"/>
        <v>0</v>
      </c>
      <c r="J32" s="328">
        <f aca="true" t="shared" si="3" ref="J32">J31-I31</f>
        <v>0</v>
      </c>
      <c r="K32" s="328">
        <f aca="true" t="shared" si="4" ref="K32">K31-J31</f>
        <v>0</v>
      </c>
      <c r="L32" s="328">
        <f aca="true" t="shared" si="5" ref="L32">L31-K31</f>
        <v>0</v>
      </c>
      <c r="M32" s="328">
        <f aca="true" t="shared" si="6" ref="M32">M31-L31</f>
        <v>0</v>
      </c>
    </row>
    <row r="34" spans="3:13" ht="15">
      <c r="C34" s="299" t="s">
        <v>658</v>
      </c>
      <c r="D34" s="311">
        <v>1</v>
      </c>
      <c r="E34" s="311">
        <v>0.5</v>
      </c>
      <c r="F34" s="311">
        <v>0.2</v>
      </c>
      <c r="G34" s="311">
        <v>0.1</v>
      </c>
      <c r="H34" s="311">
        <v>0.04</v>
      </c>
      <c r="I34" s="311">
        <v>0.02</v>
      </c>
      <c r="J34" s="411">
        <v>0.0133</v>
      </c>
      <c r="K34" s="209">
        <v>0.01</v>
      </c>
      <c r="L34" s="210">
        <v>0.005</v>
      </c>
      <c r="M34" s="210">
        <v>0.001</v>
      </c>
    </row>
    <row r="35" spans="3:25" ht="30">
      <c r="C35" s="323" t="s">
        <v>256</v>
      </c>
      <c r="D35" s="568" t="s">
        <v>195</v>
      </c>
      <c r="E35" s="568" t="s">
        <v>195</v>
      </c>
      <c r="F35" s="568" t="s">
        <v>378</v>
      </c>
      <c r="G35" s="568" t="s">
        <v>378</v>
      </c>
      <c r="H35" s="568" t="s">
        <v>378</v>
      </c>
      <c r="I35" s="568" t="s">
        <v>378</v>
      </c>
      <c r="J35" s="568" t="s">
        <v>378</v>
      </c>
      <c r="K35" s="568" t="s">
        <v>378</v>
      </c>
      <c r="L35" s="568" t="s">
        <v>378</v>
      </c>
      <c r="M35" s="568" t="s">
        <v>378</v>
      </c>
      <c r="O35" s="723"/>
      <c r="P35" s="724"/>
      <c r="Q35" s="724"/>
      <c r="R35" s="724"/>
      <c r="S35" s="724"/>
      <c r="T35" s="724"/>
      <c r="U35" s="724"/>
      <c r="V35" s="724"/>
      <c r="W35" s="724"/>
      <c r="X35" s="724"/>
      <c r="Y35" s="724"/>
    </row>
    <row r="36" spans="3:25" ht="30">
      <c r="C36" s="323" t="s">
        <v>228</v>
      </c>
      <c r="D36" s="568" t="s">
        <v>195</v>
      </c>
      <c r="E36" s="568" t="s">
        <v>195</v>
      </c>
      <c r="F36" s="568" t="s">
        <v>378</v>
      </c>
      <c r="G36" s="568" t="s">
        <v>378</v>
      </c>
      <c r="H36" s="568" t="s">
        <v>378</v>
      </c>
      <c r="I36" s="568" t="s">
        <v>378</v>
      </c>
      <c r="J36" s="568" t="s">
        <v>378</v>
      </c>
      <c r="K36" s="568" t="s">
        <v>378</v>
      </c>
      <c r="L36" s="568" t="s">
        <v>378</v>
      </c>
      <c r="M36" s="568" t="s">
        <v>378</v>
      </c>
      <c r="O36" s="723"/>
      <c r="P36" s="724"/>
      <c r="Q36" s="724"/>
      <c r="R36" s="724"/>
      <c r="S36" s="724"/>
      <c r="T36" s="724"/>
      <c r="U36" s="724"/>
      <c r="V36" s="724"/>
      <c r="W36" s="724"/>
      <c r="X36" s="724"/>
      <c r="Y36" s="724"/>
    </row>
    <row r="37" spans="4:25" ht="15">
      <c r="D37" s="301"/>
      <c r="E37" s="301"/>
      <c r="F37" s="301"/>
      <c r="G37" s="301"/>
      <c r="H37" s="301"/>
      <c r="I37" s="301"/>
      <c r="J37" s="400"/>
      <c r="K37" s="301"/>
      <c r="L37" s="400"/>
      <c r="M37" s="301"/>
      <c r="O37" s="301"/>
      <c r="P37" s="300"/>
      <c r="Q37" s="300"/>
      <c r="R37" s="300"/>
      <c r="S37" s="300"/>
      <c r="T37" s="300"/>
      <c r="U37" s="300"/>
      <c r="V37" s="300"/>
      <c r="W37" s="300"/>
      <c r="X37" s="300"/>
      <c r="Y37" s="300"/>
    </row>
    <row r="38" spans="3:8" ht="30">
      <c r="C38" s="299" t="str">
        <f>C34</f>
        <v>ENERGY (DIRECT)</v>
      </c>
      <c r="D38" s="301" t="s">
        <v>195</v>
      </c>
      <c r="G38" s="301"/>
      <c r="H38" s="321" t="s">
        <v>734</v>
      </c>
    </row>
    <row r="39" spans="3:10" ht="15">
      <c r="C39" s="299" t="s">
        <v>256</v>
      </c>
      <c r="D39" s="569">
        <v>250000000</v>
      </c>
      <c r="E39" s="332" t="s">
        <v>752</v>
      </c>
      <c r="F39" s="300"/>
      <c r="G39" s="301"/>
      <c r="H39" s="569">
        <v>10000000</v>
      </c>
      <c r="I39" s="322" t="s">
        <v>735</v>
      </c>
      <c r="J39" s="401"/>
    </row>
    <row r="40" spans="3:10" ht="15">
      <c r="C40" s="299" t="s">
        <v>228</v>
      </c>
      <c r="D40" s="569">
        <v>7500000</v>
      </c>
      <c r="E40" s="300" t="s">
        <v>752</v>
      </c>
      <c r="F40" s="300"/>
      <c r="G40" s="301"/>
      <c r="H40" s="569">
        <v>250000</v>
      </c>
      <c r="I40" s="322" t="s">
        <v>735</v>
      </c>
      <c r="J40" s="401"/>
    </row>
    <row r="41" spans="3:4" ht="15">
      <c r="C41" s="299"/>
      <c r="D41" s="161" t="s">
        <v>386</v>
      </c>
    </row>
    <row r="42" ht="15">
      <c r="D42" s="161" t="s">
        <v>387</v>
      </c>
    </row>
    <row r="43" spans="1:5" ht="27.75" customHeight="1">
      <c r="A43" s="722" t="s">
        <v>639</v>
      </c>
      <c r="B43" s="723"/>
      <c r="C43" s="723"/>
      <c r="D43" s="570">
        <v>25</v>
      </c>
      <c r="E43" s="161" t="s">
        <v>391</v>
      </c>
    </row>
    <row r="44" spans="1:5" ht="15">
      <c r="A44" s="301"/>
      <c r="B44" s="301"/>
      <c r="C44" s="299" t="s">
        <v>390</v>
      </c>
      <c r="D44" s="160">
        <f>VLOOKUP(D43-1,Sheet1!A$15:C$114,3,FALSE)</f>
        <v>17.058367603016084</v>
      </c>
      <c r="E44" s="161" t="str">
        <f>"Sum of discount factors from year 0 to year "&amp;D43</f>
        <v>Sum of discount factors from year 0 to year 25</v>
      </c>
    </row>
    <row r="45" spans="1:5" ht="15">
      <c r="A45" s="331"/>
      <c r="B45" s="331"/>
      <c r="C45" s="334" t="s">
        <v>785</v>
      </c>
      <c r="D45" s="338">
        <v>0.5</v>
      </c>
      <c r="E45" s="161" t="s">
        <v>786</v>
      </c>
    </row>
    <row r="46" spans="3:5" ht="15">
      <c r="C46" s="299" t="s">
        <v>256</v>
      </c>
      <c r="D46" s="212">
        <f>D39/D44-D39/D44*D45</f>
        <v>7327782.054473887</v>
      </c>
      <c r="E46" s="161" t="s">
        <v>662</v>
      </c>
    </row>
    <row r="47" spans="3:5" ht="15">
      <c r="C47" s="299" t="s">
        <v>228</v>
      </c>
      <c r="D47" s="212">
        <f>D40/D44-D40/D44*D45</f>
        <v>219833.46163421663</v>
      </c>
      <c r="E47" s="161" t="s">
        <v>662</v>
      </c>
    </row>
    <row r="48" spans="3:4" ht="15">
      <c r="C48" s="299"/>
      <c r="D48" s="313"/>
    </row>
    <row r="49" spans="2:13" ht="33" customHeight="1">
      <c r="B49" s="723" t="s">
        <v>282</v>
      </c>
      <c r="C49" s="724"/>
      <c r="D49" s="209">
        <v>1</v>
      </c>
      <c r="E49" s="209">
        <v>0.5</v>
      </c>
      <c r="F49" s="209">
        <v>0.2</v>
      </c>
      <c r="G49" s="209">
        <v>0.1</v>
      </c>
      <c r="H49" s="209">
        <v>0.04</v>
      </c>
      <c r="I49" s="209">
        <v>0.02</v>
      </c>
      <c r="J49" s="411">
        <v>0.0133</v>
      </c>
      <c r="K49" s="209">
        <v>0.01</v>
      </c>
      <c r="L49" s="210">
        <v>0.005</v>
      </c>
      <c r="M49" s="210">
        <v>0.001</v>
      </c>
    </row>
    <row r="50" spans="2:14" ht="15">
      <c r="B50" s="301"/>
      <c r="C50" s="216" t="s">
        <v>367</v>
      </c>
      <c r="D50" s="218">
        <f>'Water levels-Business'!D44</f>
        <v>1</v>
      </c>
      <c r="E50" s="218">
        <f>'Water levels-Business'!E44</f>
        <v>1</v>
      </c>
      <c r="F50" s="218">
        <f>'Water levels-Business'!F44</f>
        <v>0.72</v>
      </c>
      <c r="G50" s="218">
        <f>'Water levels-Business'!G44</f>
        <v>0.5882230666038492</v>
      </c>
      <c r="H50" s="218">
        <f>'Water levels-Business'!H44</f>
        <v>0.3190324601806128</v>
      </c>
      <c r="I50" s="218">
        <f>'Water levels-Business'!I44</f>
        <v>0.15058386858767778</v>
      </c>
      <c r="J50" s="218">
        <f>'Water levels-Business'!J44</f>
        <v>0.07548650722667177</v>
      </c>
      <c r="K50" s="218">
        <f>'Water levels-Business'!K44</f>
        <v>0.03813239947900169</v>
      </c>
      <c r="L50" s="218">
        <f>'Water levels-Business'!L44</f>
        <v>0.017864723005257294</v>
      </c>
      <c r="M50" s="218">
        <f>'Water levels-Business'!M44</f>
        <v>0</v>
      </c>
      <c r="N50" s="161" t="s">
        <v>608</v>
      </c>
    </row>
    <row r="51" spans="3:15" ht="15">
      <c r="C51" s="299" t="s">
        <v>256</v>
      </c>
      <c r="D51" s="219">
        <f>IF(D35="One-off loss",$H$39*D50,$D46)</f>
        <v>7327782.054473887</v>
      </c>
      <c r="E51" s="219">
        <f aca="true" t="shared" si="7" ref="E51:M51">IF(E35="One-off loss",$H$39*E50,$D46)</f>
        <v>7327782.054473887</v>
      </c>
      <c r="F51" s="219">
        <f t="shared" si="7"/>
        <v>7200000</v>
      </c>
      <c r="G51" s="219">
        <f t="shared" si="7"/>
        <v>5882230.666038492</v>
      </c>
      <c r="H51" s="219">
        <f t="shared" si="7"/>
        <v>3190324.6018061284</v>
      </c>
      <c r="I51" s="219">
        <f t="shared" si="7"/>
        <v>1505838.6858767779</v>
      </c>
      <c r="J51" s="219">
        <f t="shared" si="7"/>
        <v>754865.0722667177</v>
      </c>
      <c r="K51" s="219">
        <f t="shared" si="7"/>
        <v>381323.9947900169</v>
      </c>
      <c r="L51" s="219">
        <f t="shared" si="7"/>
        <v>178647.23005257294</v>
      </c>
      <c r="M51" s="219">
        <f t="shared" si="7"/>
        <v>0</v>
      </c>
      <c r="N51" s="161" t="s">
        <v>114</v>
      </c>
      <c r="O51" s="161" t="s">
        <v>116</v>
      </c>
    </row>
    <row r="52" spans="3:24" ht="15">
      <c r="C52" s="299" t="s">
        <v>228</v>
      </c>
      <c r="D52" s="219">
        <f>IF(D36="One-off loss",$H40*D50,$D47)</f>
        <v>219833.46163421663</v>
      </c>
      <c r="E52" s="219">
        <f aca="true" t="shared" si="8" ref="E52:M52">IF(E36="One-off loss",$H40*E50,$D47)</f>
        <v>219833.46163421663</v>
      </c>
      <c r="F52" s="219">
        <f t="shared" si="8"/>
        <v>180000</v>
      </c>
      <c r="G52" s="219">
        <f t="shared" si="8"/>
        <v>147055.7666509623</v>
      </c>
      <c r="H52" s="219">
        <f t="shared" si="8"/>
        <v>79758.1150451532</v>
      </c>
      <c r="I52" s="219">
        <f t="shared" si="8"/>
        <v>37645.96714691944</v>
      </c>
      <c r="J52" s="219">
        <f t="shared" si="8"/>
        <v>18871.626806667944</v>
      </c>
      <c r="K52" s="219">
        <f t="shared" si="8"/>
        <v>9533.099869750422</v>
      </c>
      <c r="L52" s="219">
        <f t="shared" si="8"/>
        <v>4466.180751314323</v>
      </c>
      <c r="M52" s="219">
        <f t="shared" si="8"/>
        <v>0</v>
      </c>
      <c r="Q52" s="312"/>
      <c r="R52" s="314"/>
      <c r="S52" s="314"/>
      <c r="T52" s="314"/>
      <c r="U52" s="314"/>
      <c r="V52" s="314"/>
      <c r="W52" s="314"/>
      <c r="X52" s="314"/>
    </row>
    <row r="53" spans="3:24" ht="15">
      <c r="C53" s="299"/>
      <c r="Q53" s="312"/>
      <c r="R53" s="314"/>
      <c r="S53" s="314"/>
      <c r="T53" s="314"/>
      <c r="U53" s="314"/>
      <c r="V53" s="314"/>
      <c r="W53" s="314"/>
      <c r="X53" s="314"/>
    </row>
    <row r="54" spans="4:24" ht="32.25">
      <c r="D54" s="315" t="s">
        <v>287</v>
      </c>
      <c r="E54" s="261" t="s">
        <v>288</v>
      </c>
      <c r="F54" s="261" t="s">
        <v>289</v>
      </c>
      <c r="G54" s="316" t="s">
        <v>285</v>
      </c>
      <c r="Q54" s="312"/>
      <c r="R54" s="314"/>
      <c r="S54" s="314"/>
      <c r="T54" s="314"/>
      <c r="U54" s="314"/>
      <c r="V54" s="314"/>
      <c r="W54" s="314"/>
      <c r="X54" s="314"/>
    </row>
    <row r="55" spans="3:24" ht="15">
      <c r="C55" s="299" t="s">
        <v>256</v>
      </c>
      <c r="D55" s="318">
        <f>SUM(D4:M13)</f>
        <v>0</v>
      </c>
      <c r="E55" s="211">
        <v>10000</v>
      </c>
      <c r="F55" s="571">
        <f>D55*E55</f>
        <v>0</v>
      </c>
      <c r="Q55" s="312"/>
      <c r="R55" s="314"/>
      <c r="S55" s="314"/>
      <c r="T55" s="314"/>
      <c r="U55" s="314"/>
      <c r="V55" s="314"/>
      <c r="W55" s="314"/>
      <c r="X55" s="314"/>
    </row>
    <row r="56" spans="3:24" ht="15">
      <c r="C56" s="299"/>
      <c r="D56" s="315" t="s">
        <v>663</v>
      </c>
      <c r="E56" s="261"/>
      <c r="F56" s="261"/>
      <c r="G56" s="316"/>
      <c r="Q56" s="312"/>
      <c r="R56" s="314"/>
      <c r="S56" s="314"/>
      <c r="T56" s="314"/>
      <c r="U56" s="314"/>
      <c r="V56" s="314"/>
      <c r="W56" s="314"/>
      <c r="X56" s="314"/>
    </row>
    <row r="57" spans="3:24" ht="15">
      <c r="C57" s="299" t="s">
        <v>228</v>
      </c>
      <c r="D57" s="572">
        <f>SUM(D17:M26)</f>
        <v>0</v>
      </c>
      <c r="E57" s="248"/>
      <c r="G57" s="317"/>
      <c r="I57" s="317"/>
      <c r="J57" s="317"/>
      <c r="Q57" s="312"/>
      <c r="R57" s="314"/>
      <c r="S57" s="314"/>
      <c r="T57" s="314"/>
      <c r="U57" s="314"/>
      <c r="V57" s="314"/>
      <c r="W57" s="314"/>
      <c r="X57" s="314"/>
    </row>
    <row r="58" spans="3:24" ht="15">
      <c r="C58" s="299"/>
      <c r="D58" s="299"/>
      <c r="R58" s="314"/>
      <c r="S58" s="314"/>
      <c r="T58" s="314"/>
      <c r="U58" s="314"/>
      <c r="V58" s="314"/>
      <c r="W58" s="314"/>
      <c r="X58" s="314"/>
    </row>
    <row r="59" spans="5:6" ht="15">
      <c r="E59" s="161" t="s">
        <v>262</v>
      </c>
      <c r="F59" s="161" t="s">
        <v>665</v>
      </c>
    </row>
    <row r="60" spans="3:13" ht="15">
      <c r="C60" s="299" t="s">
        <v>664</v>
      </c>
      <c r="D60" s="209">
        <v>1</v>
      </c>
      <c r="E60" s="209">
        <v>0.5</v>
      </c>
      <c r="F60" s="209">
        <v>0.2</v>
      </c>
      <c r="G60" s="209">
        <v>0.1</v>
      </c>
      <c r="H60" s="209">
        <v>0.04</v>
      </c>
      <c r="I60" s="209">
        <v>0.02</v>
      </c>
      <c r="J60" s="411">
        <v>0.0133</v>
      </c>
      <c r="K60" s="209">
        <v>0.01</v>
      </c>
      <c r="L60" s="210">
        <v>0.005</v>
      </c>
      <c r="M60" s="210">
        <v>0.001</v>
      </c>
    </row>
    <row r="61" spans="3:13" ht="15">
      <c r="C61" s="209">
        <v>1</v>
      </c>
      <c r="D61" s="224">
        <f>IF($D51-D51&lt;0,0,$D51-D51)</f>
        <v>0</v>
      </c>
      <c r="E61" s="224">
        <f aca="true" t="shared" si="9" ref="E61:M61">IF($D51-E51&lt;0,0,$D51-E51)</f>
        <v>0</v>
      </c>
      <c r="F61" s="224">
        <f t="shared" si="9"/>
        <v>127782.0544738872</v>
      </c>
      <c r="G61" s="224">
        <f t="shared" si="9"/>
        <v>1445551.3884353954</v>
      </c>
      <c r="H61" s="224">
        <f t="shared" si="9"/>
        <v>4137457.452667759</v>
      </c>
      <c r="I61" s="224">
        <f t="shared" si="9"/>
        <v>5821943.368597109</v>
      </c>
      <c r="J61" s="224">
        <f t="shared" si="9"/>
        <v>6572916.98220717</v>
      </c>
      <c r="K61" s="224">
        <f t="shared" si="9"/>
        <v>6946458.0596838705</v>
      </c>
      <c r="L61" s="224">
        <f t="shared" si="9"/>
        <v>7149134.8244213145</v>
      </c>
      <c r="M61" s="224">
        <f t="shared" si="9"/>
        <v>7327782.054473887</v>
      </c>
    </row>
    <row r="62" spans="2:13" ht="15">
      <c r="B62" s="723" t="s">
        <v>295</v>
      </c>
      <c r="C62" s="209">
        <v>0.5</v>
      </c>
      <c r="D62" s="224">
        <f>IF($E51-D51&gt;0,0,$E51-D51)</f>
        <v>0</v>
      </c>
      <c r="E62" s="224">
        <f aca="true" t="shared" si="10" ref="E62">$E51-E51</f>
        <v>0</v>
      </c>
      <c r="F62" s="224">
        <f>IF($E51-F51&lt;0,0,$E51-F51)</f>
        <v>127782.0544738872</v>
      </c>
      <c r="G62" s="224">
        <f aca="true" t="shared" si="11" ref="G62:M62">IF($E51-G51&lt;0,0,$E51-G51)</f>
        <v>1445551.3884353954</v>
      </c>
      <c r="H62" s="224">
        <f t="shared" si="11"/>
        <v>4137457.452667759</v>
      </c>
      <c r="I62" s="224">
        <f t="shared" si="11"/>
        <v>5821943.368597109</v>
      </c>
      <c r="J62" s="224">
        <f t="shared" si="11"/>
        <v>6572916.98220717</v>
      </c>
      <c r="K62" s="224">
        <f t="shared" si="11"/>
        <v>6946458.0596838705</v>
      </c>
      <c r="L62" s="224">
        <f t="shared" si="11"/>
        <v>7149134.8244213145</v>
      </c>
      <c r="M62" s="224">
        <f t="shared" si="11"/>
        <v>7327782.054473887</v>
      </c>
    </row>
    <row r="63" spans="2:13" ht="15">
      <c r="B63" s="723"/>
      <c r="C63" s="209">
        <v>0.2</v>
      </c>
      <c r="D63" s="224">
        <f>IF($F51-D51&gt;0,0,$F51-D51)</f>
        <v>-127782.0544738872</v>
      </c>
      <c r="E63" s="224">
        <f>IF($F51-E51&gt;0,0,$F51-E51)</f>
        <v>-127782.0544738872</v>
      </c>
      <c r="F63" s="224">
        <f aca="true" t="shared" si="12" ref="F63">$F51-F51</f>
        <v>0</v>
      </c>
      <c r="G63" s="224">
        <f>IF($F51-G51&lt;0,0,$F51-G51)</f>
        <v>1317769.3339615082</v>
      </c>
      <c r="H63" s="224">
        <f aca="true" t="shared" si="13" ref="H63:M63">IF($F51-H51&lt;0,0,$F51-H51)</f>
        <v>4009675.3981938716</v>
      </c>
      <c r="I63" s="224">
        <f t="shared" si="13"/>
        <v>5694161.314123223</v>
      </c>
      <c r="J63" s="224">
        <f t="shared" si="13"/>
        <v>6445134.927733283</v>
      </c>
      <c r="K63" s="224">
        <f t="shared" si="13"/>
        <v>6818676.005209983</v>
      </c>
      <c r="L63" s="224">
        <f t="shared" si="13"/>
        <v>7021352.769947427</v>
      </c>
      <c r="M63" s="224">
        <f t="shared" si="13"/>
        <v>7200000</v>
      </c>
    </row>
    <row r="64" spans="3:13" ht="15">
      <c r="C64" s="209">
        <v>0.1</v>
      </c>
      <c r="D64" s="224">
        <f>IF($G51-D51&gt;0,0,$G51-D51)</f>
        <v>-1445551.3884353954</v>
      </c>
      <c r="E64" s="224">
        <f aca="true" t="shared" si="14" ref="E64:F64">IF($G51-E51&gt;0,0,$G51-E51)</f>
        <v>-1445551.3884353954</v>
      </c>
      <c r="F64" s="224">
        <f t="shared" si="14"/>
        <v>-1317769.3339615082</v>
      </c>
      <c r="G64" s="224">
        <f aca="true" t="shared" si="15" ref="G64">$G51-G51</f>
        <v>0</v>
      </c>
      <c r="H64" s="224">
        <f>IF($G51-H51&lt;0,0,$G51-H51)</f>
        <v>2691906.0642323634</v>
      </c>
      <c r="I64" s="224">
        <f aca="true" t="shared" si="16" ref="I64:M64">IF($G51-I51&lt;0,0,$G51-I51)</f>
        <v>4376391.980161713</v>
      </c>
      <c r="J64" s="224">
        <f t="shared" si="16"/>
        <v>5127365.593771774</v>
      </c>
      <c r="K64" s="224">
        <f t="shared" si="16"/>
        <v>5500906.671248475</v>
      </c>
      <c r="L64" s="224">
        <f t="shared" si="16"/>
        <v>5703583.435985919</v>
      </c>
      <c r="M64" s="224">
        <f t="shared" si="16"/>
        <v>5882230.666038492</v>
      </c>
    </row>
    <row r="65" spans="3:13" ht="15">
      <c r="C65" s="209">
        <v>0.04</v>
      </c>
      <c r="D65" s="224">
        <f>IF($H51-D51&gt;0,0,$H51-D51)</f>
        <v>-4137457.452667759</v>
      </c>
      <c r="E65" s="224">
        <f aca="true" t="shared" si="17" ref="E65:G65">IF($H51-E51&gt;0,0,$H51-E51)</f>
        <v>-4137457.452667759</v>
      </c>
      <c r="F65" s="224">
        <f t="shared" si="17"/>
        <v>-4009675.3981938716</v>
      </c>
      <c r="G65" s="224">
        <f t="shared" si="17"/>
        <v>-2691906.0642323634</v>
      </c>
      <c r="H65" s="224">
        <f aca="true" t="shared" si="18" ref="H65">$H51-H51</f>
        <v>0</v>
      </c>
      <c r="I65" s="224">
        <f>IF($H51-I51&lt;0,0,$H51-I51)</f>
        <v>1684485.9159293505</v>
      </c>
      <c r="J65" s="224">
        <f aca="true" t="shared" si="19" ref="J65:M65">IF($H51-J51&lt;0,0,$H51-J51)</f>
        <v>2435459.529539411</v>
      </c>
      <c r="K65" s="224">
        <f t="shared" si="19"/>
        <v>2809000.6070161117</v>
      </c>
      <c r="L65" s="224">
        <f t="shared" si="19"/>
        <v>3011677.3717535553</v>
      </c>
      <c r="M65" s="224">
        <f t="shared" si="19"/>
        <v>3190324.6018061284</v>
      </c>
    </row>
    <row r="66" spans="3:13" ht="15">
      <c r="C66" s="209">
        <v>0.02</v>
      </c>
      <c r="D66" s="224">
        <f>IF($I51-D51&gt;0,0,$I51-D51)</f>
        <v>-5821943.368597109</v>
      </c>
      <c r="E66" s="224">
        <f aca="true" t="shared" si="20" ref="E66:H66">IF($I51-E51&gt;0,0,$I51-E51)</f>
        <v>-5821943.368597109</v>
      </c>
      <c r="F66" s="224">
        <f t="shared" si="20"/>
        <v>-5694161.314123223</v>
      </c>
      <c r="G66" s="224">
        <f t="shared" si="20"/>
        <v>-4376391.980161713</v>
      </c>
      <c r="H66" s="224">
        <f t="shared" si="20"/>
        <v>-1684485.9159293505</v>
      </c>
      <c r="I66" s="224">
        <f aca="true" t="shared" si="21" ref="I66">$I51-I51</f>
        <v>0</v>
      </c>
      <c r="J66" s="224">
        <f>IF($I51-J51&lt;0,0,$I51-J51)</f>
        <v>750973.6136100602</v>
      </c>
      <c r="K66" s="224">
        <f aca="true" t="shared" si="22" ref="K66:M66">IF($I51-K51&lt;0,0,$I51-K51)</f>
        <v>1124514.691086761</v>
      </c>
      <c r="L66" s="224">
        <f t="shared" si="22"/>
        <v>1327191.455824205</v>
      </c>
      <c r="M66" s="224">
        <f t="shared" si="22"/>
        <v>1505838.6858767779</v>
      </c>
    </row>
    <row r="67" spans="3:13" ht="15">
      <c r="C67" s="411">
        <v>0.0133</v>
      </c>
      <c r="D67" s="224">
        <f>IF($J51-D51&gt;0,0,$J51-D51)</f>
        <v>-6572916.98220717</v>
      </c>
      <c r="E67" s="224">
        <f aca="true" t="shared" si="23" ref="E67:I67">IF($J51-E51&gt;0,0,$J51-E51)</f>
        <v>-6572916.98220717</v>
      </c>
      <c r="F67" s="224">
        <f t="shared" si="23"/>
        <v>-6445134.927733283</v>
      </c>
      <c r="G67" s="224">
        <f t="shared" si="23"/>
        <v>-5127365.593771774</v>
      </c>
      <c r="H67" s="224">
        <f t="shared" si="23"/>
        <v>-2435459.529539411</v>
      </c>
      <c r="I67" s="224">
        <f t="shared" si="23"/>
        <v>-750973.6136100602</v>
      </c>
      <c r="J67" s="224">
        <f aca="true" t="shared" si="24" ref="J67">$J51-J51</f>
        <v>0</v>
      </c>
      <c r="K67" s="224">
        <f>IF($J51-K51&lt;0,0,$J51-K51)</f>
        <v>373541.07747670077</v>
      </c>
      <c r="L67" s="224">
        <f aca="true" t="shared" si="25" ref="L67:M67">IF($J51-L51&lt;0,0,$J51-L51)</f>
        <v>576217.8422141448</v>
      </c>
      <c r="M67" s="224">
        <f t="shared" si="25"/>
        <v>754865.0722667177</v>
      </c>
    </row>
    <row r="68" spans="3:13" ht="15">
      <c r="C68" s="209">
        <v>0.01</v>
      </c>
      <c r="D68" s="224">
        <f>IF($K51-D51&gt;0,0,$K51-D51)</f>
        <v>-6946458.0596838705</v>
      </c>
      <c r="E68" s="224">
        <f aca="true" t="shared" si="26" ref="E68:J68">IF($K51-E51&gt;0,0,$K51-E51)</f>
        <v>-6946458.0596838705</v>
      </c>
      <c r="F68" s="224">
        <f t="shared" si="26"/>
        <v>-6818676.005209983</v>
      </c>
      <c r="G68" s="224">
        <f t="shared" si="26"/>
        <v>-5500906.671248475</v>
      </c>
      <c r="H68" s="224">
        <f t="shared" si="26"/>
        <v>-2809000.6070161117</v>
      </c>
      <c r="I68" s="224">
        <f t="shared" si="26"/>
        <v>-1124514.691086761</v>
      </c>
      <c r="J68" s="224">
        <f t="shared" si="26"/>
        <v>-373541.07747670077</v>
      </c>
      <c r="K68" s="224">
        <f aca="true" t="shared" si="27" ref="K68">$K51-K51</f>
        <v>0</v>
      </c>
      <c r="L68" s="224">
        <f>IF($K51-L51&lt;0,0,$K51-L51)</f>
        <v>202676.76473744397</v>
      </c>
      <c r="M68" s="224">
        <f>IF($K51-M51&lt;0,0,$K51-M51)</f>
        <v>381323.9947900169</v>
      </c>
    </row>
    <row r="69" spans="3:13" ht="15">
      <c r="C69" s="210">
        <v>0.005</v>
      </c>
      <c r="D69" s="224">
        <f>IF($L51-D51&gt;0,0,$L51-D51)</f>
        <v>-7149134.8244213145</v>
      </c>
      <c r="E69" s="224">
        <f aca="true" t="shared" si="28" ref="E69:K69">IF($L51-E51&gt;0,0,$L51-E51)</f>
        <v>-7149134.8244213145</v>
      </c>
      <c r="F69" s="224">
        <f t="shared" si="28"/>
        <v>-7021352.769947427</v>
      </c>
      <c r="G69" s="224">
        <f t="shared" si="28"/>
        <v>-5703583.435985919</v>
      </c>
      <c r="H69" s="224">
        <f t="shared" si="28"/>
        <v>-3011677.3717535553</v>
      </c>
      <c r="I69" s="224">
        <f t="shared" si="28"/>
        <v>-1327191.455824205</v>
      </c>
      <c r="J69" s="224">
        <f t="shared" si="28"/>
        <v>-576217.8422141448</v>
      </c>
      <c r="K69" s="224">
        <f t="shared" si="28"/>
        <v>-202676.76473744397</v>
      </c>
      <c r="L69" s="224">
        <f aca="true" t="shared" si="29" ref="L69">$L51-L51</f>
        <v>0</v>
      </c>
      <c r="M69" s="224">
        <f>IF($L51-M51&lt;0,0,$L51-M51)</f>
        <v>178647.23005257294</v>
      </c>
    </row>
    <row r="70" spans="3:13" ht="15">
      <c r="C70" s="210">
        <v>0.001</v>
      </c>
      <c r="D70" s="224">
        <f>IF($M51-D51&gt;0,0,$M51-D51)</f>
        <v>-7327782.054473887</v>
      </c>
      <c r="E70" s="224">
        <f aca="true" t="shared" si="30" ref="E70:L70">IF($M51-E51&gt;0,0,$M51-E51)</f>
        <v>-7327782.054473887</v>
      </c>
      <c r="F70" s="224">
        <f t="shared" si="30"/>
        <v>-7200000</v>
      </c>
      <c r="G70" s="224">
        <f t="shared" si="30"/>
        <v>-5882230.666038492</v>
      </c>
      <c r="H70" s="224">
        <f t="shared" si="30"/>
        <v>-3190324.6018061284</v>
      </c>
      <c r="I70" s="224">
        <f t="shared" si="30"/>
        <v>-1505838.6858767779</v>
      </c>
      <c r="J70" s="224">
        <f t="shared" si="30"/>
        <v>-754865.0722667177</v>
      </c>
      <c r="K70" s="224">
        <f t="shared" si="30"/>
        <v>-381323.9947900169</v>
      </c>
      <c r="L70" s="224">
        <f t="shared" si="30"/>
        <v>-178647.23005257294</v>
      </c>
      <c r="M70" s="224">
        <f aca="true" t="shared" si="31" ref="M70">$M51-M51</f>
        <v>0</v>
      </c>
    </row>
    <row r="71" spans="5:6" ht="15">
      <c r="E71" s="161" t="s">
        <v>262</v>
      </c>
      <c r="F71" s="161" t="s">
        <v>667</v>
      </c>
    </row>
    <row r="72" spans="3:13" ht="15">
      <c r="C72" s="299" t="s">
        <v>666</v>
      </c>
      <c r="D72" s="209">
        <v>1</v>
      </c>
      <c r="E72" s="209">
        <v>0.5</v>
      </c>
      <c r="F72" s="209">
        <v>0.2</v>
      </c>
      <c r="G72" s="209">
        <v>0.1</v>
      </c>
      <c r="H72" s="209">
        <v>0.04</v>
      </c>
      <c r="I72" s="209">
        <v>0.02</v>
      </c>
      <c r="J72" s="411">
        <v>0.0133</v>
      </c>
      <c r="K72" s="209">
        <v>0.01</v>
      </c>
      <c r="L72" s="210">
        <v>0.005</v>
      </c>
      <c r="M72" s="210">
        <v>0.001</v>
      </c>
    </row>
    <row r="73" spans="3:13" ht="15">
      <c r="C73" s="209">
        <v>1</v>
      </c>
      <c r="D73" s="224">
        <f>IF($D52-D52&lt;0,0,$D52-D52)</f>
        <v>0</v>
      </c>
      <c r="E73" s="224">
        <f aca="true" t="shared" si="32" ref="E73:M73">IF($D52-E52&lt;0,0,$D52-E52)</f>
        <v>0</v>
      </c>
      <c r="F73" s="224">
        <f t="shared" si="32"/>
        <v>39833.46163421663</v>
      </c>
      <c r="G73" s="224">
        <f t="shared" si="32"/>
        <v>72777.69498325433</v>
      </c>
      <c r="H73" s="224">
        <f t="shared" si="32"/>
        <v>140075.3465890634</v>
      </c>
      <c r="I73" s="224">
        <f t="shared" si="32"/>
        <v>182187.4944872972</v>
      </c>
      <c r="J73" s="224">
        <f t="shared" si="32"/>
        <v>200961.83482754868</v>
      </c>
      <c r="K73" s="224">
        <f t="shared" si="32"/>
        <v>210300.36176446622</v>
      </c>
      <c r="L73" s="224">
        <f t="shared" si="32"/>
        <v>215367.2808829023</v>
      </c>
      <c r="M73" s="224">
        <f t="shared" si="32"/>
        <v>219833.46163421663</v>
      </c>
    </row>
    <row r="74" spans="2:13" ht="15">
      <c r="B74" s="723" t="s">
        <v>295</v>
      </c>
      <c r="C74" s="209">
        <v>0.5</v>
      </c>
      <c r="D74" s="224">
        <f>IF($E52-D52&gt;0,0,$E52-D52)</f>
        <v>0</v>
      </c>
      <c r="E74" s="224">
        <f aca="true" t="shared" si="33" ref="E74">$E52-E52</f>
        <v>0</v>
      </c>
      <c r="F74" s="224">
        <f>IF($E52-F52&lt;0,0,$E52-F52)</f>
        <v>39833.46163421663</v>
      </c>
      <c r="G74" s="224">
        <f aca="true" t="shared" si="34" ref="G74:M74">IF($E52-G52&lt;0,0,$E52-G52)</f>
        <v>72777.69498325433</v>
      </c>
      <c r="H74" s="224">
        <f t="shared" si="34"/>
        <v>140075.3465890634</v>
      </c>
      <c r="I74" s="224">
        <f t="shared" si="34"/>
        <v>182187.4944872972</v>
      </c>
      <c r="J74" s="224">
        <f t="shared" si="34"/>
        <v>200961.83482754868</v>
      </c>
      <c r="K74" s="224">
        <f t="shared" si="34"/>
        <v>210300.36176446622</v>
      </c>
      <c r="L74" s="224">
        <f t="shared" si="34"/>
        <v>215367.2808829023</v>
      </c>
      <c r="M74" s="224">
        <f t="shared" si="34"/>
        <v>219833.46163421663</v>
      </c>
    </row>
    <row r="75" spans="2:13" ht="15">
      <c r="B75" s="723"/>
      <c r="C75" s="209">
        <v>0.2</v>
      </c>
      <c r="D75" s="224">
        <f>IF($F52-D52&gt;0,0,$F52-D52)</f>
        <v>-39833.46163421663</v>
      </c>
      <c r="E75" s="224">
        <f>IF($F52-E52&gt;0,0,$F52-E52)</f>
        <v>-39833.46163421663</v>
      </c>
      <c r="F75" s="224">
        <f aca="true" t="shared" si="35" ref="F75">$F52-F52</f>
        <v>0</v>
      </c>
      <c r="G75" s="224">
        <f>IF($F52-G52&lt;0,0,$F52-G52)</f>
        <v>32944.233349037706</v>
      </c>
      <c r="H75" s="224">
        <f aca="true" t="shared" si="36" ref="H75:M75">IF($F52-H52&lt;0,0,$F52-H52)</f>
        <v>100241.8849548468</v>
      </c>
      <c r="I75" s="224">
        <f t="shared" si="36"/>
        <v>142354.03285308054</v>
      </c>
      <c r="J75" s="224">
        <f t="shared" si="36"/>
        <v>161128.37319333205</v>
      </c>
      <c r="K75" s="224">
        <f t="shared" si="36"/>
        <v>170466.9001302496</v>
      </c>
      <c r="L75" s="224">
        <f t="shared" si="36"/>
        <v>175533.81924868567</v>
      </c>
      <c r="M75" s="224">
        <f t="shared" si="36"/>
        <v>180000</v>
      </c>
    </row>
    <row r="76" spans="3:13" ht="15">
      <c r="C76" s="209">
        <v>0.1</v>
      </c>
      <c r="D76" s="224">
        <f>IF($G52-D52&gt;0,0,$G52-D52)</f>
        <v>-72777.69498325433</v>
      </c>
      <c r="E76" s="224">
        <f aca="true" t="shared" si="37" ref="E76:F76">IF($G52-E52&gt;0,0,$G52-E52)</f>
        <v>-72777.69498325433</v>
      </c>
      <c r="F76" s="224">
        <f t="shared" si="37"/>
        <v>-32944.233349037706</v>
      </c>
      <c r="G76" s="224">
        <f aca="true" t="shared" si="38" ref="G76">$G52-G52</f>
        <v>0</v>
      </c>
      <c r="H76" s="224">
        <f>IF($G52-H52&lt;0,0,$G52-H52)</f>
        <v>67297.6516058091</v>
      </c>
      <c r="I76" s="224">
        <f aca="true" t="shared" si="39" ref="I76:M76">IF($G52-I52&lt;0,0,$G52-I52)</f>
        <v>109409.79950404285</v>
      </c>
      <c r="J76" s="224">
        <f t="shared" si="39"/>
        <v>128184.13984429435</v>
      </c>
      <c r="K76" s="224">
        <f t="shared" si="39"/>
        <v>137522.66678121188</v>
      </c>
      <c r="L76" s="224">
        <f t="shared" si="39"/>
        <v>142589.58589964797</v>
      </c>
      <c r="M76" s="224">
        <f t="shared" si="39"/>
        <v>147055.7666509623</v>
      </c>
    </row>
    <row r="77" spans="3:13" ht="15">
      <c r="C77" s="209">
        <v>0.04</v>
      </c>
      <c r="D77" s="224">
        <f>IF($H52-D52&gt;0,0,$H52-D52)</f>
        <v>-140075.3465890634</v>
      </c>
      <c r="E77" s="224">
        <f aca="true" t="shared" si="40" ref="E77:G77">IF($H52-E52&gt;0,0,$H52-E52)</f>
        <v>-140075.3465890634</v>
      </c>
      <c r="F77" s="224">
        <f t="shared" si="40"/>
        <v>-100241.8849548468</v>
      </c>
      <c r="G77" s="224">
        <f t="shared" si="40"/>
        <v>-67297.6516058091</v>
      </c>
      <c r="H77" s="224">
        <f aca="true" t="shared" si="41" ref="H77">$H52-H52</f>
        <v>0</v>
      </c>
      <c r="I77" s="224">
        <f>IF($H52-I52&lt;0,0,$H52-I52)</f>
        <v>42112.14789823376</v>
      </c>
      <c r="J77" s="224">
        <f aca="true" t="shared" si="42" ref="J77:M77">IF($H52-J52&lt;0,0,$H52-J52)</f>
        <v>60886.48823848525</v>
      </c>
      <c r="K77" s="224">
        <f t="shared" si="42"/>
        <v>70225.01517540278</v>
      </c>
      <c r="L77" s="224">
        <f t="shared" si="42"/>
        <v>75291.93429383887</v>
      </c>
      <c r="M77" s="224">
        <f t="shared" si="42"/>
        <v>79758.1150451532</v>
      </c>
    </row>
    <row r="78" spans="3:13" ht="15">
      <c r="C78" s="209">
        <v>0.02</v>
      </c>
      <c r="D78" s="224">
        <f>IF($I52-D52&gt;0,0,$I52-D52)</f>
        <v>-182187.4944872972</v>
      </c>
      <c r="E78" s="224">
        <f aca="true" t="shared" si="43" ref="E78:H78">IF($I52-E52&gt;0,0,$I52-E52)</f>
        <v>-182187.4944872972</v>
      </c>
      <c r="F78" s="224">
        <f t="shared" si="43"/>
        <v>-142354.03285308054</v>
      </c>
      <c r="G78" s="224">
        <f t="shared" si="43"/>
        <v>-109409.79950404285</v>
      </c>
      <c r="H78" s="224">
        <f t="shared" si="43"/>
        <v>-42112.14789823376</v>
      </c>
      <c r="I78" s="224">
        <f aca="true" t="shared" si="44" ref="I78">$I52-I52</f>
        <v>0</v>
      </c>
      <c r="J78" s="224">
        <f>IF($I52-J52&lt;0,0,$I52-J52)</f>
        <v>18774.3403402515</v>
      </c>
      <c r="K78" s="224">
        <f aca="true" t="shared" si="45" ref="K78:M78">IF($I52-K52&lt;0,0,$I52-K52)</f>
        <v>28112.86727716902</v>
      </c>
      <c r="L78" s="224">
        <f t="shared" si="45"/>
        <v>33179.78639560512</v>
      </c>
      <c r="M78" s="224">
        <f t="shared" si="45"/>
        <v>37645.96714691944</v>
      </c>
    </row>
    <row r="79" spans="3:13" ht="15">
      <c r="C79" s="411">
        <v>0.0133</v>
      </c>
      <c r="D79" s="224">
        <f>IF($J52-D52&gt;0,0,$J52-D52)</f>
        <v>-200961.83482754868</v>
      </c>
      <c r="E79" s="224">
        <f aca="true" t="shared" si="46" ref="E79:I79">IF($J52-E52&gt;0,0,$J52-E52)</f>
        <v>-200961.83482754868</v>
      </c>
      <c r="F79" s="224">
        <f t="shared" si="46"/>
        <v>-161128.37319333205</v>
      </c>
      <c r="G79" s="224">
        <f t="shared" si="46"/>
        <v>-128184.13984429435</v>
      </c>
      <c r="H79" s="224">
        <f t="shared" si="46"/>
        <v>-60886.48823848525</v>
      </c>
      <c r="I79" s="224">
        <f t="shared" si="46"/>
        <v>-18774.3403402515</v>
      </c>
      <c r="J79" s="224">
        <f aca="true" t="shared" si="47" ref="J79">$J52-J52</f>
        <v>0</v>
      </c>
      <c r="K79" s="224">
        <f>IF($J52-K52&lt;0,0,$J52-K52)</f>
        <v>9338.526936917522</v>
      </c>
      <c r="L79" s="224">
        <f aca="true" t="shared" si="48" ref="L79:M79">IF($J52-L52&lt;0,0,$J52-L52)</f>
        <v>14405.446055353621</v>
      </c>
      <c r="M79" s="224">
        <f t="shared" si="48"/>
        <v>18871.626806667944</v>
      </c>
    </row>
    <row r="80" spans="3:13" ht="15">
      <c r="C80" s="209">
        <v>0.01</v>
      </c>
      <c r="D80" s="224">
        <f>IF($K52-D52&gt;0,0,$K52-D52)</f>
        <v>-210300.36176446622</v>
      </c>
      <c r="E80" s="224">
        <f aca="true" t="shared" si="49" ref="E80:J80">IF($K52-E52&gt;0,0,$K52-E52)</f>
        <v>-210300.36176446622</v>
      </c>
      <c r="F80" s="224">
        <f t="shared" si="49"/>
        <v>-170466.9001302496</v>
      </c>
      <c r="G80" s="224">
        <f t="shared" si="49"/>
        <v>-137522.66678121188</v>
      </c>
      <c r="H80" s="224">
        <f t="shared" si="49"/>
        <v>-70225.01517540278</v>
      </c>
      <c r="I80" s="224">
        <f t="shared" si="49"/>
        <v>-28112.86727716902</v>
      </c>
      <c r="J80" s="224">
        <f t="shared" si="49"/>
        <v>-9338.526936917522</v>
      </c>
      <c r="K80" s="224">
        <f aca="true" t="shared" si="50" ref="K80">$K52-K52</f>
        <v>0</v>
      </c>
      <c r="L80" s="224">
        <f>IF($K52-L52&lt;0,0,$K52-L52)</f>
        <v>5066.919118436099</v>
      </c>
      <c r="M80" s="224">
        <f>IF($K52-M52&lt;0,0,$K52-M52)</f>
        <v>9533.099869750422</v>
      </c>
    </row>
    <row r="81" spans="3:13" ht="15">
      <c r="C81" s="210">
        <v>0.005</v>
      </c>
      <c r="D81" s="224">
        <f>IF($L52-D52&gt;0,0,$L52-D52)</f>
        <v>-215367.2808829023</v>
      </c>
      <c r="E81" s="224">
        <f aca="true" t="shared" si="51" ref="E81:K81">IF($L52-E52&gt;0,0,$L52-E52)</f>
        <v>-215367.2808829023</v>
      </c>
      <c r="F81" s="224">
        <f t="shared" si="51"/>
        <v>-175533.81924868567</v>
      </c>
      <c r="G81" s="224">
        <f t="shared" si="51"/>
        <v>-142589.58589964797</v>
      </c>
      <c r="H81" s="224">
        <f t="shared" si="51"/>
        <v>-75291.93429383887</v>
      </c>
      <c r="I81" s="224">
        <f t="shared" si="51"/>
        <v>-33179.78639560512</v>
      </c>
      <c r="J81" s="224">
        <f t="shared" si="51"/>
        <v>-14405.446055353621</v>
      </c>
      <c r="K81" s="224">
        <f t="shared" si="51"/>
        <v>-5066.919118436099</v>
      </c>
      <c r="L81" s="224">
        <f aca="true" t="shared" si="52" ref="L81">$L52-L52</f>
        <v>0</v>
      </c>
      <c r="M81" s="224">
        <f>IF($L52-M52&lt;0,0,$L52-M52)</f>
        <v>4466.180751314323</v>
      </c>
    </row>
    <row r="82" spans="3:13" ht="15">
      <c r="C82" s="210">
        <v>0.001</v>
      </c>
      <c r="D82" s="224">
        <f>IF($M52-D52&gt;0,0,$M52-D52)</f>
        <v>-219833.46163421663</v>
      </c>
      <c r="E82" s="224">
        <f aca="true" t="shared" si="53" ref="E82:L82">IF($M52-E52&gt;0,0,$M52-E52)</f>
        <v>-219833.46163421663</v>
      </c>
      <c r="F82" s="224">
        <f t="shared" si="53"/>
        <v>-180000</v>
      </c>
      <c r="G82" s="224">
        <f t="shared" si="53"/>
        <v>-147055.7666509623</v>
      </c>
      <c r="H82" s="224">
        <f t="shared" si="53"/>
        <v>-79758.1150451532</v>
      </c>
      <c r="I82" s="224">
        <f t="shared" si="53"/>
        <v>-37645.96714691944</v>
      </c>
      <c r="J82" s="224">
        <f t="shared" si="53"/>
        <v>-18871.626806667944</v>
      </c>
      <c r="K82" s="224">
        <f t="shared" si="53"/>
        <v>-9533.099869750422</v>
      </c>
      <c r="L82" s="224">
        <f t="shared" si="53"/>
        <v>-4466.180751314323</v>
      </c>
      <c r="M82" s="224">
        <f aca="true" t="shared" si="54" ref="M82">$M52-M52</f>
        <v>0</v>
      </c>
    </row>
    <row r="83" spans="5:24" ht="15">
      <c r="E83" s="161" t="s">
        <v>262</v>
      </c>
      <c r="F83" s="161" t="s">
        <v>280</v>
      </c>
      <c r="R83" s="312"/>
      <c r="S83" s="312"/>
      <c r="T83" s="312"/>
      <c r="U83" s="312"/>
      <c r="V83" s="312"/>
      <c r="W83" s="312"/>
      <c r="X83" s="312"/>
    </row>
    <row r="84" spans="3:13" ht="15">
      <c r="C84" s="299" t="s">
        <v>657</v>
      </c>
      <c r="D84" s="209">
        <v>1</v>
      </c>
      <c r="E84" s="209">
        <v>0.5</v>
      </c>
      <c r="F84" s="209">
        <v>0.2</v>
      </c>
      <c r="G84" s="209">
        <v>0.1</v>
      </c>
      <c r="H84" s="209">
        <v>0.04</v>
      </c>
      <c r="I84" s="209">
        <v>0.02</v>
      </c>
      <c r="J84" s="411">
        <v>0.0133</v>
      </c>
      <c r="K84" s="209">
        <v>0.01</v>
      </c>
      <c r="L84" s="210">
        <v>0.005</v>
      </c>
      <c r="M84" s="210">
        <v>0.001</v>
      </c>
    </row>
    <row r="85" spans="3:13" ht="15">
      <c r="C85" s="209">
        <v>1</v>
      </c>
      <c r="D85" s="224">
        <f>D61*D4+D17*D73</f>
        <v>0</v>
      </c>
      <c r="E85" s="224">
        <f aca="true" t="shared" si="55" ref="E85:M85">E61*E4+E17*E73</f>
        <v>0</v>
      </c>
      <c r="F85" s="224">
        <f t="shared" si="55"/>
        <v>0</v>
      </c>
      <c r="G85" s="224">
        <f t="shared" si="55"/>
        <v>0</v>
      </c>
      <c r="H85" s="224">
        <f t="shared" si="55"/>
        <v>0</v>
      </c>
      <c r="I85" s="224">
        <f t="shared" si="55"/>
        <v>0</v>
      </c>
      <c r="J85" s="224">
        <f t="shared" si="55"/>
        <v>0</v>
      </c>
      <c r="K85" s="224">
        <f t="shared" si="55"/>
        <v>0</v>
      </c>
      <c r="L85" s="224">
        <f t="shared" si="55"/>
        <v>0</v>
      </c>
      <c r="M85" s="224">
        <f t="shared" si="55"/>
        <v>0</v>
      </c>
    </row>
    <row r="86" spans="2:13" ht="15">
      <c r="B86" s="161" t="s">
        <v>261</v>
      </c>
      <c r="C86" s="209">
        <v>0.5</v>
      </c>
      <c r="D86" s="224">
        <f aca="true" t="shared" si="56" ref="D86:M94">D62*D5+D18*D74</f>
        <v>0</v>
      </c>
      <c r="E86" s="224">
        <f t="shared" si="56"/>
        <v>0</v>
      </c>
      <c r="F86" s="224">
        <f t="shared" si="56"/>
        <v>0</v>
      </c>
      <c r="G86" s="224">
        <f t="shared" si="56"/>
        <v>0</v>
      </c>
      <c r="H86" s="224">
        <f t="shared" si="56"/>
        <v>0</v>
      </c>
      <c r="I86" s="224">
        <f t="shared" si="56"/>
        <v>0</v>
      </c>
      <c r="J86" s="224">
        <f t="shared" si="56"/>
        <v>0</v>
      </c>
      <c r="K86" s="224">
        <f t="shared" si="56"/>
        <v>0</v>
      </c>
      <c r="L86" s="224">
        <f t="shared" si="56"/>
        <v>0</v>
      </c>
      <c r="M86" s="224">
        <f t="shared" si="56"/>
        <v>0</v>
      </c>
    </row>
    <row r="87" spans="2:13" ht="15">
      <c r="B87" s="725" t="s">
        <v>281</v>
      </c>
      <c r="C87" s="209">
        <v>0.2</v>
      </c>
      <c r="D87" s="224">
        <f t="shared" si="56"/>
        <v>0</v>
      </c>
      <c r="E87" s="224">
        <f t="shared" si="56"/>
        <v>0</v>
      </c>
      <c r="F87" s="224">
        <f t="shared" si="56"/>
        <v>0</v>
      </c>
      <c r="G87" s="224">
        <f t="shared" si="56"/>
        <v>0</v>
      </c>
      <c r="H87" s="224">
        <f t="shared" si="56"/>
        <v>0</v>
      </c>
      <c r="I87" s="224">
        <f t="shared" si="56"/>
        <v>0</v>
      </c>
      <c r="J87" s="224">
        <f t="shared" si="56"/>
        <v>0</v>
      </c>
      <c r="K87" s="224">
        <f t="shared" si="56"/>
        <v>0</v>
      </c>
      <c r="L87" s="224">
        <f t="shared" si="56"/>
        <v>0</v>
      </c>
      <c r="M87" s="224">
        <f t="shared" si="56"/>
        <v>0</v>
      </c>
    </row>
    <row r="88" spans="2:13" ht="15">
      <c r="B88" s="725"/>
      <c r="C88" s="209">
        <v>0.1</v>
      </c>
      <c r="D88" s="224">
        <f t="shared" si="56"/>
        <v>0</v>
      </c>
      <c r="E88" s="224">
        <f t="shared" si="56"/>
        <v>0</v>
      </c>
      <c r="F88" s="224">
        <f t="shared" si="56"/>
        <v>0</v>
      </c>
      <c r="G88" s="224">
        <f t="shared" si="56"/>
        <v>0</v>
      </c>
      <c r="H88" s="224">
        <f t="shared" si="56"/>
        <v>0</v>
      </c>
      <c r="I88" s="224">
        <f t="shared" si="56"/>
        <v>0</v>
      </c>
      <c r="J88" s="224">
        <f t="shared" si="56"/>
        <v>0</v>
      </c>
      <c r="K88" s="224">
        <f t="shared" si="56"/>
        <v>0</v>
      </c>
      <c r="L88" s="224">
        <f t="shared" si="56"/>
        <v>0</v>
      </c>
      <c r="M88" s="224">
        <f t="shared" si="56"/>
        <v>0</v>
      </c>
    </row>
    <row r="89" spans="2:13" ht="15">
      <c r="B89" s="725"/>
      <c r="C89" s="209">
        <v>0.04</v>
      </c>
      <c r="D89" s="224">
        <f t="shared" si="56"/>
        <v>0</v>
      </c>
      <c r="E89" s="224">
        <f t="shared" si="56"/>
        <v>0</v>
      </c>
      <c r="F89" s="224">
        <f t="shared" si="56"/>
        <v>0</v>
      </c>
      <c r="G89" s="224">
        <f t="shared" si="56"/>
        <v>0</v>
      </c>
      <c r="H89" s="224">
        <f t="shared" si="56"/>
        <v>0</v>
      </c>
      <c r="I89" s="224">
        <f t="shared" si="56"/>
        <v>0</v>
      </c>
      <c r="J89" s="224">
        <f t="shared" si="56"/>
        <v>0</v>
      </c>
      <c r="K89" s="224">
        <f t="shared" si="56"/>
        <v>0</v>
      </c>
      <c r="L89" s="224">
        <f t="shared" si="56"/>
        <v>0</v>
      </c>
      <c r="M89" s="224">
        <f t="shared" si="56"/>
        <v>0</v>
      </c>
    </row>
    <row r="90" spans="2:13" ht="15">
      <c r="B90" s="725"/>
      <c r="C90" s="209">
        <v>0.02</v>
      </c>
      <c r="D90" s="224">
        <f t="shared" si="56"/>
        <v>0</v>
      </c>
      <c r="E90" s="224">
        <f t="shared" si="56"/>
        <v>0</v>
      </c>
      <c r="F90" s="224">
        <f t="shared" si="56"/>
        <v>0</v>
      </c>
      <c r="G90" s="224">
        <f t="shared" si="56"/>
        <v>0</v>
      </c>
      <c r="H90" s="224">
        <f t="shared" si="56"/>
        <v>0</v>
      </c>
      <c r="I90" s="224">
        <f t="shared" si="56"/>
        <v>0</v>
      </c>
      <c r="J90" s="224">
        <f t="shared" si="56"/>
        <v>0</v>
      </c>
      <c r="K90" s="224">
        <f t="shared" si="56"/>
        <v>0</v>
      </c>
      <c r="L90" s="224">
        <f t="shared" si="56"/>
        <v>0</v>
      </c>
      <c r="M90" s="224">
        <f t="shared" si="56"/>
        <v>0</v>
      </c>
    </row>
    <row r="91" spans="2:13" ht="15">
      <c r="B91" s="725"/>
      <c r="C91" s="411">
        <v>0.0133</v>
      </c>
      <c r="D91" s="224">
        <f t="shared" si="56"/>
        <v>0</v>
      </c>
      <c r="E91" s="224">
        <f t="shared" si="56"/>
        <v>0</v>
      </c>
      <c r="F91" s="224">
        <f t="shared" si="56"/>
        <v>0</v>
      </c>
      <c r="G91" s="224">
        <f t="shared" si="56"/>
        <v>0</v>
      </c>
      <c r="H91" s="224">
        <f t="shared" si="56"/>
        <v>0</v>
      </c>
      <c r="I91" s="224">
        <f t="shared" si="56"/>
        <v>0</v>
      </c>
      <c r="J91" s="224">
        <f t="shared" si="56"/>
        <v>0</v>
      </c>
      <c r="K91" s="224">
        <f t="shared" si="56"/>
        <v>0</v>
      </c>
      <c r="L91" s="224">
        <f t="shared" si="56"/>
        <v>0</v>
      </c>
      <c r="M91" s="224">
        <f t="shared" si="56"/>
        <v>0</v>
      </c>
    </row>
    <row r="92" spans="2:13" ht="15">
      <c r="B92" s="725"/>
      <c r="C92" s="209">
        <v>0.01</v>
      </c>
      <c r="D92" s="224">
        <f t="shared" si="56"/>
        <v>0</v>
      </c>
      <c r="E92" s="224">
        <f t="shared" si="56"/>
        <v>0</v>
      </c>
      <c r="F92" s="224">
        <f t="shared" si="56"/>
        <v>0</v>
      </c>
      <c r="G92" s="224">
        <f t="shared" si="56"/>
        <v>0</v>
      </c>
      <c r="H92" s="224">
        <f t="shared" si="56"/>
        <v>0</v>
      </c>
      <c r="I92" s="224">
        <f t="shared" si="56"/>
        <v>0</v>
      </c>
      <c r="J92" s="224">
        <f t="shared" si="56"/>
        <v>0</v>
      </c>
      <c r="K92" s="224">
        <f t="shared" si="56"/>
        <v>0</v>
      </c>
      <c r="L92" s="224">
        <f t="shared" si="56"/>
        <v>0</v>
      </c>
      <c r="M92" s="224">
        <f t="shared" si="56"/>
        <v>0</v>
      </c>
    </row>
    <row r="93" spans="2:13" ht="15">
      <c r="B93" s="725"/>
      <c r="C93" s="210">
        <v>0.005</v>
      </c>
      <c r="D93" s="224">
        <f t="shared" si="56"/>
        <v>0</v>
      </c>
      <c r="E93" s="224">
        <f t="shared" si="56"/>
        <v>0</v>
      </c>
      <c r="F93" s="224">
        <f t="shared" si="56"/>
        <v>0</v>
      </c>
      <c r="G93" s="224">
        <f t="shared" si="56"/>
        <v>0</v>
      </c>
      <c r="H93" s="224">
        <f t="shared" si="56"/>
        <v>0</v>
      </c>
      <c r="I93" s="224">
        <f t="shared" si="56"/>
        <v>0</v>
      </c>
      <c r="J93" s="224">
        <f t="shared" si="56"/>
        <v>0</v>
      </c>
      <c r="K93" s="224">
        <f t="shared" si="56"/>
        <v>0</v>
      </c>
      <c r="L93" s="224">
        <f t="shared" si="56"/>
        <v>0</v>
      </c>
      <c r="M93" s="224">
        <f t="shared" si="56"/>
        <v>0</v>
      </c>
    </row>
    <row r="94" spans="2:13" ht="15">
      <c r="B94" s="725"/>
      <c r="C94" s="210">
        <v>0.001</v>
      </c>
      <c r="D94" s="224">
        <f t="shared" si="56"/>
        <v>0</v>
      </c>
      <c r="E94" s="224">
        <f t="shared" si="56"/>
        <v>0</v>
      </c>
      <c r="F94" s="224">
        <f t="shared" si="56"/>
        <v>0</v>
      </c>
      <c r="G94" s="224">
        <f t="shared" si="56"/>
        <v>0</v>
      </c>
      <c r="H94" s="224">
        <f t="shared" si="56"/>
        <v>0</v>
      </c>
      <c r="I94" s="224">
        <f t="shared" si="56"/>
        <v>0</v>
      </c>
      <c r="J94" s="224">
        <f t="shared" si="56"/>
        <v>0</v>
      </c>
      <c r="K94" s="224">
        <f t="shared" si="56"/>
        <v>0</v>
      </c>
      <c r="L94" s="224">
        <f t="shared" si="56"/>
        <v>0</v>
      </c>
      <c r="M94" s="224">
        <f t="shared" si="56"/>
        <v>0</v>
      </c>
    </row>
    <row r="95" ht="15.75" thickBot="1"/>
    <row r="96" spans="4:15" ht="16.5" thickBot="1" thickTop="1">
      <c r="D96" s="726" t="str">
        <f>IF(SUM(D85:M94)=0,"Enter number of power stations and/or length of power lines","Total annual impacts (indirect)")</f>
        <v>Enter number of power stations and/or length of power lines</v>
      </c>
      <c r="E96" s="727"/>
      <c r="F96" s="727"/>
      <c r="G96" s="727"/>
      <c r="H96" s="223">
        <f>SUM(D85:M94)</f>
        <v>0</v>
      </c>
      <c r="I96" s="367" t="s">
        <v>804</v>
      </c>
      <c r="J96" s="410"/>
      <c r="K96" s="718" t="s">
        <v>811</v>
      </c>
      <c r="L96" s="718"/>
      <c r="M96" s="719"/>
      <c r="N96" s="719"/>
      <c r="O96" s="720"/>
    </row>
    <row r="97" ht="15.75" thickTop="1"/>
  </sheetData>
  <sheetProtection sheet="1" objects="1" scenarios="1"/>
  <mergeCells count="14">
    <mergeCell ref="K96:O96"/>
    <mergeCell ref="I1:K1"/>
    <mergeCell ref="A31:C31"/>
    <mergeCell ref="A32:C32"/>
    <mergeCell ref="O35:Y35"/>
    <mergeCell ref="A43:C43"/>
    <mergeCell ref="O36:Y36"/>
    <mergeCell ref="B49:C49"/>
    <mergeCell ref="B62:B63"/>
    <mergeCell ref="B87:B94"/>
    <mergeCell ref="D96:G96"/>
    <mergeCell ref="B74:B75"/>
    <mergeCell ref="A3:C3"/>
    <mergeCell ref="P1:T1"/>
  </mergeCells>
  <dataValidations count="2">
    <dataValidation type="list" allowBlank="1" showInputMessage="1" showErrorMessage="1" sqref="D35:M36">
      <formula1>"Permanent loss, One-off loss"</formula1>
    </dataValidation>
    <dataValidation type="list" allowBlank="1" showInputMessage="1" showErrorMessage="1" sqref="K96:O96">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68"/>
  <headerFooter>
    <oddHeader>&amp;C&amp;A</oddHead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T169"/>
  <sheetViews>
    <sheetView zoomScale="85" zoomScaleNormal="85" workbookViewId="0" topLeftCell="A1"/>
  </sheetViews>
  <sheetFormatPr defaultColWidth="9.140625" defaultRowHeight="15"/>
  <cols>
    <col min="1" max="1" width="9.140625" style="161" customWidth="1"/>
    <col min="2" max="2" width="11.00390625" style="161" customWidth="1"/>
    <col min="3" max="3" width="9.140625" style="161" customWidth="1"/>
    <col min="4" max="4" width="13.00390625" style="161" customWidth="1"/>
    <col min="5" max="5" width="14.28125" style="161" customWidth="1"/>
    <col min="6" max="13" width="13.00390625" style="161" customWidth="1"/>
    <col min="14" max="16384" width="9.140625" style="161" customWidth="1"/>
  </cols>
  <sheetData>
    <row r="1" spans="1:20" ht="15">
      <c r="A1" s="158" t="s">
        <v>371</v>
      </c>
      <c r="B1" s="156"/>
      <c r="C1" s="156"/>
      <c r="E1" s="157"/>
      <c r="F1" s="157" t="s">
        <v>260</v>
      </c>
      <c r="I1" s="721" t="s">
        <v>822</v>
      </c>
      <c r="J1" s="721"/>
      <c r="K1" s="721"/>
      <c r="L1" s="399"/>
      <c r="M1" s="215" t="s">
        <v>992</v>
      </c>
      <c r="N1" s="215">
        <v>10</v>
      </c>
      <c r="O1" s="215" t="s">
        <v>991</v>
      </c>
      <c r="P1" s="724"/>
      <c r="Q1" s="724"/>
      <c r="R1" s="724"/>
      <c r="S1" s="724"/>
      <c r="T1" s="724"/>
    </row>
    <row r="3" ht="15">
      <c r="D3" s="161" t="s">
        <v>761</v>
      </c>
    </row>
    <row r="4" spans="4:5" ht="15">
      <c r="D4" s="211">
        <v>120000</v>
      </c>
      <c r="E4" s="161" t="s">
        <v>757</v>
      </c>
    </row>
    <row r="5" spans="4:5" ht="15">
      <c r="D5" s="211">
        <v>28000</v>
      </c>
      <c r="E5" s="161" t="s">
        <v>758</v>
      </c>
    </row>
    <row r="6" spans="4:5" ht="15">
      <c r="D6" s="211">
        <v>6000</v>
      </c>
      <c r="E6" s="161" t="s">
        <v>759</v>
      </c>
    </row>
    <row r="7" spans="4:5" ht="15">
      <c r="D7" s="160">
        <v>150</v>
      </c>
      <c r="E7" s="161" t="s">
        <v>760</v>
      </c>
    </row>
    <row r="8" ht="15">
      <c r="D8" s="161" t="s">
        <v>762</v>
      </c>
    </row>
    <row r="9" spans="4:5" ht="15">
      <c r="D9" s="573">
        <v>0.9</v>
      </c>
      <c r="E9" s="161" t="s">
        <v>743</v>
      </c>
    </row>
    <row r="10" spans="4:5" ht="15">
      <c r="D10" s="573">
        <v>0.09</v>
      </c>
      <c r="E10" s="161" t="s">
        <v>744</v>
      </c>
    </row>
    <row r="11" spans="4:5" ht="15">
      <c r="D11" s="573">
        <v>0.01</v>
      </c>
      <c r="E11" s="161" t="s">
        <v>745</v>
      </c>
    </row>
    <row r="13" spans="3:6" ht="15">
      <c r="C13" s="334"/>
      <c r="E13" s="161" t="s">
        <v>262</v>
      </c>
      <c r="F13" s="161" t="str">
        <f>"Number of "&amp;C14&amp;" whose risk changes due to changes in water levels"</f>
        <v>Number of Grid supply points whose risk changes due to changes in water levels</v>
      </c>
    </row>
    <row r="14" spans="3:13" ht="15">
      <c r="C14" s="334" t="str">
        <f>E4</f>
        <v>Grid supply points</v>
      </c>
      <c r="D14" s="209">
        <v>1</v>
      </c>
      <c r="E14" s="209">
        <v>0.5</v>
      </c>
      <c r="F14" s="209">
        <v>0.2</v>
      </c>
      <c r="G14" s="209">
        <v>0.1</v>
      </c>
      <c r="H14" s="209">
        <v>0.04</v>
      </c>
      <c r="I14" s="209">
        <v>0.02</v>
      </c>
      <c r="J14" s="411">
        <v>0.0133</v>
      </c>
      <c r="K14" s="209">
        <v>0.01</v>
      </c>
      <c r="L14" s="210">
        <v>0.005</v>
      </c>
      <c r="M14" s="210">
        <v>0.001</v>
      </c>
    </row>
    <row r="15" spans="3:15" ht="15">
      <c r="C15" s="209">
        <v>1</v>
      </c>
      <c r="D15" s="571">
        <f>IF('Water levels-Residential'!D4/'Energy (indirect)'!$D$4&lt;1,0,'Water levels-Residential'!D4/'Energy (indirect)'!$D$4)</f>
        <v>0</v>
      </c>
      <c r="E15" s="571">
        <f>IF('Water levels-Residential'!E4/'Energy (indirect)'!$D$4&lt;1,0,'Water levels-Residential'!E4/'Energy (indirect)'!$D$4)</f>
        <v>0</v>
      </c>
      <c r="F15" s="571">
        <f>IF('Water levels-Residential'!F4/'Energy (indirect)'!$D$4&lt;1,0,'Water levels-Residential'!F4/'Energy (indirect)'!$D$4)</f>
        <v>0</v>
      </c>
      <c r="G15" s="571">
        <f>IF('Water levels-Residential'!G4/'Energy (indirect)'!$D$4&lt;1,0,'Water levels-Residential'!G4/'Energy (indirect)'!$D$4)</f>
        <v>0</v>
      </c>
      <c r="H15" s="571">
        <f>IF('Water levels-Residential'!H4/'Energy (indirect)'!$D$4&lt;1,0,'Water levels-Residential'!H4/'Energy (indirect)'!$D$4)</f>
        <v>0</v>
      </c>
      <c r="I15" s="571">
        <f>IF('Water levels-Residential'!I4/'Energy (indirect)'!$D$4&lt;1,0,'Water levels-Residential'!I4/'Energy (indirect)'!$D$4)</f>
        <v>0</v>
      </c>
      <c r="J15" s="571">
        <f>IF('Water levels-Residential'!J4/'Energy (indirect)'!$D$4&lt;1,0,'Water levels-Residential'!J4/'Energy (indirect)'!$D$4)</f>
        <v>0</v>
      </c>
      <c r="K15" s="571">
        <f>IF('Water levels-Residential'!K4/'Energy (indirect)'!$D$4&lt;1,0,'Water levels-Residential'!K4/'Energy (indirect)'!$D$4)</f>
        <v>0</v>
      </c>
      <c r="L15" s="571">
        <f>IF('Water levels-Residential'!L4/'Energy (indirect)'!$D$4&lt;1,0,'Water levels-Residential'!L4/'Energy (indirect)'!$D$4)</f>
        <v>0</v>
      </c>
      <c r="M15" s="571">
        <f>IF('Water levels-Residential'!M4/'Energy (indirect)'!$D$4&lt;1,0,'Water levels-Residential'!M4/'Energy (indirect)'!$D$4)</f>
        <v>0</v>
      </c>
      <c r="O15" s="161" t="s">
        <v>763</v>
      </c>
    </row>
    <row r="16" spans="3:13" ht="15">
      <c r="C16" s="209">
        <v>0.5</v>
      </c>
      <c r="D16" s="571">
        <f>IF('Water levels-Residential'!D5/'Energy (indirect)'!$D$4&lt;1,0,'Water levels-Residential'!D5/'Energy (indirect)'!$D$4)</f>
        <v>0</v>
      </c>
      <c r="E16" s="571">
        <f>IF('Water levels-Residential'!E5/'Energy (indirect)'!$D$4&lt;1,0,'Water levels-Residential'!E5/'Energy (indirect)'!$D$4)</f>
        <v>0</v>
      </c>
      <c r="F16" s="571">
        <f>IF('Water levels-Residential'!F5/'Energy (indirect)'!$D$4&lt;1,0,'Water levels-Residential'!F5/'Energy (indirect)'!$D$4)</f>
        <v>0</v>
      </c>
      <c r="G16" s="571">
        <f>IF('Water levels-Residential'!G5/'Energy (indirect)'!$D$4&lt;1,0,'Water levels-Residential'!G5/'Energy (indirect)'!$D$4)</f>
        <v>0</v>
      </c>
      <c r="H16" s="571">
        <f>IF('Water levels-Residential'!H5/'Energy (indirect)'!$D$4&lt;1,0,'Water levels-Residential'!H5/'Energy (indirect)'!$D$4)</f>
        <v>0</v>
      </c>
      <c r="I16" s="571">
        <f>IF('Water levels-Residential'!I5/'Energy (indirect)'!$D$4&lt;1,0,'Water levels-Residential'!I5/'Energy (indirect)'!$D$4)</f>
        <v>0</v>
      </c>
      <c r="J16" s="571">
        <f>IF('Water levels-Residential'!J5/'Energy (indirect)'!$D$4&lt;1,0,'Water levels-Residential'!J5/'Energy (indirect)'!$D$4)</f>
        <v>0</v>
      </c>
      <c r="K16" s="571">
        <f>IF('Water levels-Residential'!K5/'Energy (indirect)'!$D$4&lt;1,0,'Water levels-Residential'!K5/'Energy (indirect)'!$D$4)</f>
        <v>0</v>
      </c>
      <c r="L16" s="571">
        <f>IF('Water levels-Residential'!L5/'Energy (indirect)'!$D$4&lt;1,0,'Water levels-Residential'!L5/'Energy (indirect)'!$D$4)</f>
        <v>0</v>
      </c>
      <c r="M16" s="571">
        <f>IF('Water levels-Residential'!M5/'Energy (indirect)'!$D$4&lt;1,0,'Water levels-Residential'!M5/'Energy (indirect)'!$D$4)</f>
        <v>0</v>
      </c>
    </row>
    <row r="17" spans="3:13" ht="15">
      <c r="C17" s="209">
        <v>0.2</v>
      </c>
      <c r="D17" s="571">
        <f>IF('Water levels-Residential'!D6/'Energy (indirect)'!$D$4&lt;1,0,'Water levels-Residential'!D6/'Energy (indirect)'!$D$4)</f>
        <v>0</v>
      </c>
      <c r="E17" s="571">
        <f>IF('Water levels-Residential'!E6/'Energy (indirect)'!$D$4&lt;1,0,'Water levels-Residential'!E6/'Energy (indirect)'!$D$4)</f>
        <v>0</v>
      </c>
      <c r="F17" s="571">
        <f>IF('Water levels-Residential'!F6/'Energy (indirect)'!$D$4&lt;1,0,'Water levels-Residential'!F6/'Energy (indirect)'!$D$4)</f>
        <v>0</v>
      </c>
      <c r="G17" s="571">
        <f>IF('Water levels-Residential'!G6/'Energy (indirect)'!$D$4&lt;1,0,'Water levels-Residential'!G6/'Energy (indirect)'!$D$4)</f>
        <v>0</v>
      </c>
      <c r="H17" s="571">
        <f>IF('Water levels-Residential'!H6/'Energy (indirect)'!$D$4&lt;1,0,'Water levels-Residential'!H6/'Energy (indirect)'!$D$4)</f>
        <v>0</v>
      </c>
      <c r="I17" s="571">
        <f>IF('Water levels-Residential'!I6/'Energy (indirect)'!$D$4&lt;1,0,'Water levels-Residential'!I6/'Energy (indirect)'!$D$4)</f>
        <v>0</v>
      </c>
      <c r="J17" s="571">
        <f>IF('Water levels-Residential'!J6/'Energy (indirect)'!$D$4&lt;1,0,'Water levels-Residential'!J6/'Energy (indirect)'!$D$4)</f>
        <v>0</v>
      </c>
      <c r="K17" s="571">
        <f>IF('Water levels-Residential'!K6/'Energy (indirect)'!$D$4&lt;1,0,'Water levels-Residential'!K6/'Energy (indirect)'!$D$4)</f>
        <v>0</v>
      </c>
      <c r="L17" s="571">
        <f>IF('Water levels-Residential'!L6/'Energy (indirect)'!$D$4&lt;1,0,'Water levels-Residential'!L6/'Energy (indirect)'!$D$4)</f>
        <v>0</v>
      </c>
      <c r="M17" s="571">
        <f>IF('Water levels-Residential'!M6/'Energy (indirect)'!$D$4&lt;1,0,'Water levels-Residential'!M6/'Energy (indirect)'!$D$4)</f>
        <v>0</v>
      </c>
    </row>
    <row r="18" spans="3:13" ht="15">
      <c r="C18" s="209">
        <v>0.1</v>
      </c>
      <c r="D18" s="571">
        <f>IF('Water levels-Residential'!D7/'Energy (indirect)'!$D$4&lt;1,0,'Water levels-Residential'!D7/'Energy (indirect)'!$D$4)</f>
        <v>0</v>
      </c>
      <c r="E18" s="571">
        <f>IF('Water levels-Residential'!E7/'Energy (indirect)'!$D$4&lt;1,0,'Water levels-Residential'!E7/'Energy (indirect)'!$D$4)</f>
        <v>0</v>
      </c>
      <c r="F18" s="571">
        <f>IF('Water levels-Residential'!F7/'Energy (indirect)'!$D$4&lt;1,0,'Water levels-Residential'!F7/'Energy (indirect)'!$D$4)</f>
        <v>0</v>
      </c>
      <c r="G18" s="571">
        <f>IF('Water levels-Residential'!G7/'Energy (indirect)'!$D$4&lt;1,0,'Water levels-Residential'!G7/'Energy (indirect)'!$D$4)</f>
        <v>0</v>
      </c>
      <c r="H18" s="571">
        <f>IF('Water levels-Residential'!H7/'Energy (indirect)'!$D$4&lt;1,0,'Water levels-Residential'!H7/'Energy (indirect)'!$D$4)</f>
        <v>0</v>
      </c>
      <c r="I18" s="571">
        <f>IF('Water levels-Residential'!I7/'Energy (indirect)'!$D$4&lt;1,0,'Water levels-Residential'!I7/'Energy (indirect)'!$D$4)</f>
        <v>0</v>
      </c>
      <c r="J18" s="571">
        <f>IF('Water levels-Residential'!J7/'Energy (indirect)'!$D$4&lt;1,0,'Water levels-Residential'!J7/'Energy (indirect)'!$D$4)</f>
        <v>0</v>
      </c>
      <c r="K18" s="571">
        <f>IF('Water levels-Residential'!K7/'Energy (indirect)'!$D$4&lt;1,0,'Water levels-Residential'!K7/'Energy (indirect)'!$D$4)</f>
        <v>0</v>
      </c>
      <c r="L18" s="571">
        <f>IF('Water levels-Residential'!L7/'Energy (indirect)'!$D$4&lt;1,0,'Water levels-Residential'!L7/'Energy (indirect)'!$D$4)</f>
        <v>0</v>
      </c>
      <c r="M18" s="571">
        <f>IF('Water levels-Residential'!M7/'Energy (indirect)'!$D$4&lt;1,0,'Water levels-Residential'!M7/'Energy (indirect)'!$D$4)</f>
        <v>0</v>
      </c>
    </row>
    <row r="19" spans="3:13" ht="15">
      <c r="C19" s="209">
        <v>0.04</v>
      </c>
      <c r="D19" s="571">
        <f>IF('Water levels-Residential'!D8/'Energy (indirect)'!$D$4&lt;1,0,'Water levels-Residential'!D8/'Energy (indirect)'!$D$4)</f>
        <v>0</v>
      </c>
      <c r="E19" s="571">
        <f>IF('Water levels-Residential'!E8/'Energy (indirect)'!$D$4&lt;1,0,'Water levels-Residential'!E8/'Energy (indirect)'!$D$4)</f>
        <v>0</v>
      </c>
      <c r="F19" s="571">
        <f>IF('Water levels-Residential'!F8/'Energy (indirect)'!$D$4&lt;1,0,'Water levels-Residential'!F8/'Energy (indirect)'!$D$4)</f>
        <v>0</v>
      </c>
      <c r="G19" s="571">
        <f>IF('Water levels-Residential'!G8/'Energy (indirect)'!$D$4&lt;1,0,'Water levels-Residential'!G8/'Energy (indirect)'!$D$4)</f>
        <v>0</v>
      </c>
      <c r="H19" s="571">
        <f>IF('Water levels-Residential'!H8/'Energy (indirect)'!$D$4&lt;1,0,'Water levels-Residential'!H8/'Energy (indirect)'!$D$4)</f>
        <v>0</v>
      </c>
      <c r="I19" s="571">
        <f>IF('Water levels-Residential'!I8/'Energy (indirect)'!$D$4&lt;1,0,'Water levels-Residential'!I8/'Energy (indirect)'!$D$4)</f>
        <v>0</v>
      </c>
      <c r="J19" s="571">
        <f>IF('Water levels-Residential'!J8/'Energy (indirect)'!$D$4&lt;1,0,'Water levels-Residential'!J8/'Energy (indirect)'!$D$4)</f>
        <v>0</v>
      </c>
      <c r="K19" s="571">
        <f>IF('Water levels-Residential'!K8/'Energy (indirect)'!$D$4&lt;1,0,'Water levels-Residential'!K8/'Energy (indirect)'!$D$4)</f>
        <v>0</v>
      </c>
      <c r="L19" s="571">
        <f>IF('Water levels-Residential'!L8/'Energy (indirect)'!$D$4&lt;1,0,'Water levels-Residential'!L8/'Energy (indirect)'!$D$4)</f>
        <v>0</v>
      </c>
      <c r="M19" s="571">
        <f>IF('Water levels-Residential'!M8/'Energy (indirect)'!$D$4&lt;1,0,'Water levels-Residential'!M8/'Energy (indirect)'!$D$4)</f>
        <v>0</v>
      </c>
    </row>
    <row r="20" spans="3:13" ht="15">
      <c r="C20" s="209">
        <v>0.02</v>
      </c>
      <c r="D20" s="571">
        <f>IF('Water levels-Residential'!D9/'Energy (indirect)'!$D$4&lt;1,0,'Water levels-Residential'!D9/'Energy (indirect)'!$D$4)</f>
        <v>0</v>
      </c>
      <c r="E20" s="571">
        <f>IF('Water levels-Residential'!E9/'Energy (indirect)'!$D$4&lt;1,0,'Water levels-Residential'!E9/'Energy (indirect)'!$D$4)</f>
        <v>0</v>
      </c>
      <c r="F20" s="571">
        <f>IF('Water levels-Residential'!F9/'Energy (indirect)'!$D$4&lt;1,0,'Water levels-Residential'!F9/'Energy (indirect)'!$D$4)</f>
        <v>0</v>
      </c>
      <c r="G20" s="571">
        <f>IF('Water levels-Residential'!G9/'Energy (indirect)'!$D$4&lt;1,0,'Water levels-Residential'!G9/'Energy (indirect)'!$D$4)</f>
        <v>0</v>
      </c>
      <c r="H20" s="571">
        <f>IF('Water levels-Residential'!H9/'Energy (indirect)'!$D$4&lt;1,0,'Water levels-Residential'!H9/'Energy (indirect)'!$D$4)</f>
        <v>0</v>
      </c>
      <c r="I20" s="571">
        <f>IF('Water levels-Residential'!I9/'Energy (indirect)'!$D$4&lt;1,0,'Water levels-Residential'!I9/'Energy (indirect)'!$D$4)</f>
        <v>0</v>
      </c>
      <c r="J20" s="571">
        <f>IF('Water levels-Residential'!J9/'Energy (indirect)'!$D$4&lt;1,0,'Water levels-Residential'!J9/'Energy (indirect)'!$D$4)</f>
        <v>0</v>
      </c>
      <c r="K20" s="571">
        <f>IF('Water levels-Residential'!K9/'Energy (indirect)'!$D$4&lt;1,0,'Water levels-Residential'!K9/'Energy (indirect)'!$D$4)</f>
        <v>0</v>
      </c>
      <c r="L20" s="571">
        <f>IF('Water levels-Residential'!L9/'Energy (indirect)'!$D$4&lt;1,0,'Water levels-Residential'!L9/'Energy (indirect)'!$D$4)</f>
        <v>0</v>
      </c>
      <c r="M20" s="571">
        <f>IF('Water levels-Residential'!M9/'Energy (indirect)'!$D$4&lt;1,0,'Water levels-Residential'!M9/'Energy (indirect)'!$D$4)</f>
        <v>0</v>
      </c>
    </row>
    <row r="21" spans="3:13" ht="15">
      <c r="C21" s="411">
        <v>0.0133</v>
      </c>
      <c r="D21" s="571">
        <f>IF('Water levels-Residential'!D10/'Energy (indirect)'!$D$4&lt;1,0,'Water levels-Residential'!D10/'Energy (indirect)'!$D$4)</f>
        <v>0</v>
      </c>
      <c r="E21" s="571">
        <f>IF('Water levels-Residential'!E10/'Energy (indirect)'!$D$4&lt;1,0,'Water levels-Residential'!E10/'Energy (indirect)'!$D$4)</f>
        <v>0</v>
      </c>
      <c r="F21" s="571">
        <f>IF('Water levels-Residential'!F10/'Energy (indirect)'!$D$4&lt;1,0,'Water levels-Residential'!F10/'Energy (indirect)'!$D$4)</f>
        <v>0</v>
      </c>
      <c r="G21" s="571">
        <f>IF('Water levels-Residential'!G10/'Energy (indirect)'!$D$4&lt;1,0,'Water levels-Residential'!G10/'Energy (indirect)'!$D$4)</f>
        <v>0</v>
      </c>
      <c r="H21" s="571">
        <f>IF('Water levels-Residential'!H10/'Energy (indirect)'!$D$4&lt;1,0,'Water levels-Residential'!H10/'Energy (indirect)'!$D$4)</f>
        <v>0</v>
      </c>
      <c r="I21" s="571">
        <f>IF('Water levels-Residential'!I10/'Energy (indirect)'!$D$4&lt;1,0,'Water levels-Residential'!I10/'Energy (indirect)'!$D$4)</f>
        <v>0</v>
      </c>
      <c r="J21" s="571">
        <f>IF('Water levels-Residential'!J10/'Energy (indirect)'!$D$4&lt;1,0,'Water levels-Residential'!J10/'Energy (indirect)'!$D$4)</f>
        <v>0</v>
      </c>
      <c r="K21" s="571">
        <f>IF('Water levels-Residential'!K10/'Energy (indirect)'!$D$4&lt;1,0,'Water levels-Residential'!K10/'Energy (indirect)'!$D$4)</f>
        <v>0</v>
      </c>
      <c r="L21" s="571">
        <f>IF('Water levels-Residential'!L10/'Energy (indirect)'!$D$4&lt;1,0,'Water levels-Residential'!L10/'Energy (indirect)'!$D$4)</f>
        <v>0</v>
      </c>
      <c r="M21" s="571">
        <f>IF('Water levels-Residential'!M10/'Energy (indirect)'!$D$4&lt;1,0,'Water levels-Residential'!M10/'Energy (indirect)'!$D$4)</f>
        <v>0</v>
      </c>
    </row>
    <row r="22" spans="3:13" ht="15">
      <c r="C22" s="209">
        <v>0.01</v>
      </c>
      <c r="D22" s="571">
        <f>IF('Water levels-Residential'!D11/'Energy (indirect)'!$D$4&lt;1,0,'Water levels-Residential'!D11/'Energy (indirect)'!$D$4)</f>
        <v>0</v>
      </c>
      <c r="E22" s="571">
        <f>IF('Water levels-Residential'!E11/'Energy (indirect)'!$D$4&lt;1,0,'Water levels-Residential'!E11/'Energy (indirect)'!$D$4)</f>
        <v>0</v>
      </c>
      <c r="F22" s="571">
        <f>IF('Water levels-Residential'!F11/'Energy (indirect)'!$D$4&lt;1,0,'Water levels-Residential'!F11/'Energy (indirect)'!$D$4)</f>
        <v>0</v>
      </c>
      <c r="G22" s="571">
        <f>IF('Water levels-Residential'!G11/'Energy (indirect)'!$D$4&lt;1,0,'Water levels-Residential'!G11/'Energy (indirect)'!$D$4)</f>
        <v>0</v>
      </c>
      <c r="H22" s="571">
        <f>IF('Water levels-Residential'!H11/'Energy (indirect)'!$D$4&lt;1,0,'Water levels-Residential'!H11/'Energy (indirect)'!$D$4)</f>
        <v>0</v>
      </c>
      <c r="I22" s="571">
        <f>IF('Water levels-Residential'!I11/'Energy (indirect)'!$D$4&lt;1,0,'Water levels-Residential'!I11/'Energy (indirect)'!$D$4)</f>
        <v>0</v>
      </c>
      <c r="J22" s="571">
        <f>IF('Water levels-Residential'!J11/'Energy (indirect)'!$D$4&lt;1,0,'Water levels-Residential'!J11/'Energy (indirect)'!$D$4)</f>
        <v>0</v>
      </c>
      <c r="K22" s="571">
        <f>IF('Water levels-Residential'!K11/'Energy (indirect)'!$D$4&lt;1,0,'Water levels-Residential'!K11/'Energy (indirect)'!$D$4)</f>
        <v>0</v>
      </c>
      <c r="L22" s="571">
        <f>IF('Water levels-Residential'!L11/'Energy (indirect)'!$D$4&lt;1,0,'Water levels-Residential'!L11/'Energy (indirect)'!$D$4)</f>
        <v>0</v>
      </c>
      <c r="M22" s="571">
        <f>IF('Water levels-Residential'!M11/'Energy (indirect)'!$D$4&lt;1,0,'Water levels-Residential'!M11/'Energy (indirect)'!$D$4)</f>
        <v>0</v>
      </c>
    </row>
    <row r="23" spans="3:13" ht="15">
      <c r="C23" s="210">
        <v>0.005</v>
      </c>
      <c r="D23" s="571">
        <f>IF('Water levels-Residential'!D13/'Energy (indirect)'!$D$4&lt;1,0,'Water levels-Residential'!D13/'Energy (indirect)'!$D$4)</f>
        <v>0</v>
      </c>
      <c r="E23" s="571">
        <f>IF('Water levels-Residential'!E13/'Energy (indirect)'!$D$4&lt;1,0,'Water levels-Residential'!E13/'Energy (indirect)'!$D$4)</f>
        <v>0</v>
      </c>
      <c r="F23" s="571">
        <f>IF('Water levels-Residential'!F13/'Energy (indirect)'!$D$4&lt;1,0,'Water levels-Residential'!F13/'Energy (indirect)'!$D$4)</f>
        <v>0</v>
      </c>
      <c r="G23" s="571">
        <f>IF('Water levels-Residential'!G13/'Energy (indirect)'!$D$4&lt;1,0,'Water levels-Residential'!G13/'Energy (indirect)'!$D$4)</f>
        <v>0</v>
      </c>
      <c r="H23" s="571">
        <f>IF('Water levels-Residential'!H13/'Energy (indirect)'!$D$4&lt;1,0,'Water levels-Residential'!H13/'Energy (indirect)'!$D$4)</f>
        <v>0</v>
      </c>
      <c r="I23" s="571">
        <f>IF('Water levels-Residential'!I13/'Energy (indirect)'!$D$4&lt;1,0,'Water levels-Residential'!I13/'Energy (indirect)'!$D$4)</f>
        <v>0</v>
      </c>
      <c r="J23" s="571">
        <f>IF('Water levels-Residential'!J13/'Energy (indirect)'!$D$4&lt;1,0,'Water levels-Residential'!J13/'Energy (indirect)'!$D$4)</f>
        <v>0</v>
      </c>
      <c r="K23" s="571">
        <f>IF('Water levels-Residential'!K13/'Energy (indirect)'!$D$4&lt;1,0,'Water levels-Residential'!K13/'Energy (indirect)'!$D$4)</f>
        <v>0</v>
      </c>
      <c r="L23" s="571">
        <f>IF('Water levels-Residential'!L13/'Energy (indirect)'!$D$4&lt;1,0,'Water levels-Residential'!L13/'Energy (indirect)'!$D$4)</f>
        <v>0</v>
      </c>
      <c r="M23" s="571">
        <f>IF('Water levels-Residential'!M13/'Energy (indirect)'!$D$4&lt;1,0,'Water levels-Residential'!M13/'Energy (indirect)'!$D$4)</f>
        <v>0</v>
      </c>
    </row>
    <row r="24" spans="3:13" ht="15">
      <c r="C24" s="210">
        <v>0.001</v>
      </c>
      <c r="D24" s="571">
        <f>IF('Water levels-Residential'!D14/'Energy (indirect)'!$D$4&lt;1,0,'Water levels-Residential'!D14/'Energy (indirect)'!$D$4)</f>
        <v>0</v>
      </c>
      <c r="E24" s="571">
        <f>IF('Water levels-Residential'!E14/'Energy (indirect)'!$D$4&lt;1,0,'Water levels-Residential'!E14/'Energy (indirect)'!$D$4)</f>
        <v>0</v>
      </c>
      <c r="F24" s="571">
        <f>IF('Water levels-Residential'!F14/'Energy (indirect)'!$D$4&lt;1,0,'Water levels-Residential'!F14/'Energy (indirect)'!$D$4)</f>
        <v>0</v>
      </c>
      <c r="G24" s="571">
        <f>IF('Water levels-Residential'!G14/'Energy (indirect)'!$D$4&lt;1,0,'Water levels-Residential'!G14/'Energy (indirect)'!$D$4)</f>
        <v>0</v>
      </c>
      <c r="H24" s="571">
        <f>IF('Water levels-Residential'!H14/'Energy (indirect)'!$D$4&lt;1,0,'Water levels-Residential'!H14/'Energy (indirect)'!$D$4)</f>
        <v>0</v>
      </c>
      <c r="I24" s="571">
        <f>IF('Water levels-Residential'!I14/'Energy (indirect)'!$D$4&lt;1,0,'Water levels-Residential'!I14/'Energy (indirect)'!$D$4)</f>
        <v>0</v>
      </c>
      <c r="J24" s="571">
        <f>IF('Water levels-Residential'!J14/'Energy (indirect)'!$D$4&lt;1,0,'Water levels-Residential'!J14/'Energy (indirect)'!$D$4)</f>
        <v>0</v>
      </c>
      <c r="K24" s="571">
        <f>IF('Water levels-Residential'!K14/'Energy (indirect)'!$D$4&lt;1,0,'Water levels-Residential'!K14/'Energy (indirect)'!$D$4)</f>
        <v>0</v>
      </c>
      <c r="L24" s="571">
        <f>IF('Water levels-Residential'!L14/'Energy (indirect)'!$D$4&lt;1,0,'Water levels-Residential'!L14/'Energy (indirect)'!$D$4)</f>
        <v>0</v>
      </c>
      <c r="M24" s="571">
        <f>IF('Water levels-Residential'!M14/'Energy (indirect)'!$D$4&lt;1,0,'Water levels-Residential'!M14/'Energy (indirect)'!$D$4)</f>
        <v>0</v>
      </c>
    </row>
    <row r="26" spans="3:6" ht="15">
      <c r="C26" s="334"/>
      <c r="E26" s="161" t="s">
        <v>262</v>
      </c>
      <c r="F26" s="161" t="str">
        <f>"Number of "&amp;C27&amp;" whose risk changes due to changes in water levels"</f>
        <v>Number of Transformation sub-stations whose risk changes due to changes in water levels</v>
      </c>
    </row>
    <row r="27" spans="3:13" ht="15">
      <c r="C27" s="334" t="str">
        <f>E5</f>
        <v>Transformation sub-stations</v>
      </c>
      <c r="D27" s="209">
        <v>1</v>
      </c>
      <c r="E27" s="209">
        <v>0.5</v>
      </c>
      <c r="F27" s="209">
        <v>0.2</v>
      </c>
      <c r="G27" s="209">
        <v>0.1</v>
      </c>
      <c r="H27" s="209">
        <v>0.04</v>
      </c>
      <c r="I27" s="209">
        <v>0.02</v>
      </c>
      <c r="J27" s="411">
        <v>0.0133</v>
      </c>
      <c r="K27" s="209">
        <v>0.01</v>
      </c>
      <c r="L27" s="210">
        <v>0.005</v>
      </c>
      <c r="M27" s="210">
        <v>0.001</v>
      </c>
    </row>
    <row r="28" spans="3:15" ht="15">
      <c r="C28" s="209">
        <v>1</v>
      </c>
      <c r="D28" s="571">
        <f>IF('Water levels-Residential'!D4/'Energy (indirect)'!$D$5&lt;1,0,'Water levels-Residential'!D4/'Energy (indirect)'!$D$5)</f>
        <v>0</v>
      </c>
      <c r="E28" s="571">
        <f>IF('Water levels-Residential'!E4/'Energy (indirect)'!$D$5&lt;1,0,'Water levels-Residential'!E4/'Energy (indirect)'!$D$5)</f>
        <v>0</v>
      </c>
      <c r="F28" s="571">
        <f>IF('Water levels-Residential'!F4/'Energy (indirect)'!$D$5&lt;1,0,'Water levels-Residential'!F4/'Energy (indirect)'!$D$5)</f>
        <v>0</v>
      </c>
      <c r="G28" s="571">
        <f>IF('Water levels-Residential'!G4/'Energy (indirect)'!$D$5&lt;1,0,'Water levels-Residential'!G4/'Energy (indirect)'!$D$5)</f>
        <v>0</v>
      </c>
      <c r="H28" s="571">
        <f>IF('Water levels-Residential'!H4/'Energy (indirect)'!$D$5&lt;1,0,'Water levels-Residential'!H4/'Energy (indirect)'!$D$5)</f>
        <v>0</v>
      </c>
      <c r="I28" s="571">
        <f>IF('Water levels-Residential'!I4/'Energy (indirect)'!$D$5&lt;1,0,'Water levels-Residential'!I4/'Energy (indirect)'!$D$5)</f>
        <v>0</v>
      </c>
      <c r="J28" s="571">
        <f>IF('Water levels-Residential'!J4/'Energy (indirect)'!$D$5&lt;1,0,'Water levels-Residential'!J4/'Energy (indirect)'!$D$5)</f>
        <v>0</v>
      </c>
      <c r="K28" s="571">
        <f>IF('Water levels-Residential'!K4/'Energy (indirect)'!$D$5&lt;1,0,'Water levels-Residential'!K4/'Energy (indirect)'!$D$5)</f>
        <v>0</v>
      </c>
      <c r="L28" s="571">
        <f>IF('Water levels-Residential'!L4/'Energy (indirect)'!$D$5&lt;1,0,'Water levels-Residential'!L4/'Energy (indirect)'!$D$5)</f>
        <v>0</v>
      </c>
      <c r="M28" s="571">
        <f>IF('Water levels-Residential'!M4/'Energy (indirect)'!$D$5&lt;1,0,'Water levels-Residential'!M4/'Energy (indirect)'!$D$5)</f>
        <v>0</v>
      </c>
      <c r="O28" s="161" t="s">
        <v>763</v>
      </c>
    </row>
    <row r="29" spans="3:13" ht="15">
      <c r="C29" s="209">
        <v>0.5</v>
      </c>
      <c r="D29" s="571">
        <f>IF('Water levels-Residential'!D5/'Energy (indirect)'!$D$5&lt;1,0,'Water levels-Residential'!D5/'Energy (indirect)'!$D$5)</f>
        <v>0</v>
      </c>
      <c r="E29" s="571">
        <f>IF('Water levels-Residential'!E5/'Energy (indirect)'!$D$5&lt;1,0,'Water levels-Residential'!E5/'Energy (indirect)'!$D$5)</f>
        <v>0</v>
      </c>
      <c r="F29" s="571">
        <f>IF('Water levels-Residential'!F5/'Energy (indirect)'!$D$5&lt;1,0,'Water levels-Residential'!F5/'Energy (indirect)'!$D$5)</f>
        <v>0</v>
      </c>
      <c r="G29" s="571">
        <f>IF('Water levels-Residential'!G5/'Energy (indirect)'!$D$5&lt;1,0,'Water levels-Residential'!G5/'Energy (indirect)'!$D$5)</f>
        <v>0</v>
      </c>
      <c r="H29" s="571">
        <f>IF('Water levels-Residential'!H5/'Energy (indirect)'!$D$5&lt;1,0,'Water levels-Residential'!H5/'Energy (indirect)'!$D$5)</f>
        <v>0</v>
      </c>
      <c r="I29" s="571">
        <f>IF('Water levels-Residential'!I5/'Energy (indirect)'!$D$5&lt;1,0,'Water levels-Residential'!I5/'Energy (indirect)'!$D$5)</f>
        <v>0</v>
      </c>
      <c r="J29" s="571">
        <f>IF('Water levels-Residential'!J5/'Energy (indirect)'!$D$5&lt;1,0,'Water levels-Residential'!J5/'Energy (indirect)'!$D$5)</f>
        <v>0</v>
      </c>
      <c r="K29" s="571">
        <f>IF('Water levels-Residential'!K5/'Energy (indirect)'!$D$5&lt;1,0,'Water levels-Residential'!K5/'Energy (indirect)'!$D$5)</f>
        <v>0</v>
      </c>
      <c r="L29" s="571">
        <f>IF('Water levels-Residential'!L5/'Energy (indirect)'!$D$5&lt;1,0,'Water levels-Residential'!L5/'Energy (indirect)'!$D$5)</f>
        <v>0</v>
      </c>
      <c r="M29" s="571">
        <f>IF('Water levels-Residential'!M5/'Energy (indirect)'!$D$5&lt;1,0,'Water levels-Residential'!M5/'Energy (indirect)'!$D$5)</f>
        <v>0</v>
      </c>
    </row>
    <row r="30" spans="3:13" ht="15">
      <c r="C30" s="209">
        <v>0.2</v>
      </c>
      <c r="D30" s="571">
        <f>IF('Water levels-Residential'!D6/'Energy (indirect)'!$D$5&lt;1,0,'Water levels-Residential'!D6/'Energy (indirect)'!$D$5)</f>
        <v>0</v>
      </c>
      <c r="E30" s="571">
        <f>IF('Water levels-Residential'!E6/'Energy (indirect)'!$D$5&lt;1,0,'Water levels-Residential'!E6/'Energy (indirect)'!$D$5)</f>
        <v>0</v>
      </c>
      <c r="F30" s="571">
        <f>IF('Water levels-Residential'!F6/'Energy (indirect)'!$D$5&lt;1,0,'Water levels-Residential'!F6/'Energy (indirect)'!$D$5)</f>
        <v>0</v>
      </c>
      <c r="G30" s="571">
        <f>IF('Water levels-Residential'!G6/'Energy (indirect)'!$D$5&lt;1,0,'Water levels-Residential'!G6/'Energy (indirect)'!$D$5)</f>
        <v>0</v>
      </c>
      <c r="H30" s="571">
        <f>IF('Water levels-Residential'!H6/'Energy (indirect)'!$D$5&lt;1,0,'Water levels-Residential'!H6/'Energy (indirect)'!$D$5)</f>
        <v>0</v>
      </c>
      <c r="I30" s="571">
        <f>IF('Water levels-Residential'!I6/'Energy (indirect)'!$D$5&lt;1,0,'Water levels-Residential'!I6/'Energy (indirect)'!$D$5)</f>
        <v>0</v>
      </c>
      <c r="J30" s="571">
        <f>IF('Water levels-Residential'!J6/'Energy (indirect)'!$D$5&lt;1,0,'Water levels-Residential'!J6/'Energy (indirect)'!$D$5)</f>
        <v>0</v>
      </c>
      <c r="K30" s="571">
        <f>IF('Water levels-Residential'!K6/'Energy (indirect)'!$D$5&lt;1,0,'Water levels-Residential'!K6/'Energy (indirect)'!$D$5)</f>
        <v>0</v>
      </c>
      <c r="L30" s="571">
        <f>IF('Water levels-Residential'!L6/'Energy (indirect)'!$D$5&lt;1,0,'Water levels-Residential'!L6/'Energy (indirect)'!$D$5)</f>
        <v>0</v>
      </c>
      <c r="M30" s="571">
        <f>IF('Water levels-Residential'!M6/'Energy (indirect)'!$D$5&lt;1,0,'Water levels-Residential'!M6/'Energy (indirect)'!$D$5)</f>
        <v>0</v>
      </c>
    </row>
    <row r="31" spans="3:13" ht="15">
      <c r="C31" s="209">
        <v>0.1</v>
      </c>
      <c r="D31" s="571">
        <f>IF('Water levels-Residential'!D7/'Energy (indirect)'!$D$5&lt;1,0,'Water levels-Residential'!D7/'Energy (indirect)'!$D$5)</f>
        <v>0</v>
      </c>
      <c r="E31" s="571">
        <f>IF('Water levels-Residential'!E7/'Energy (indirect)'!$D$5&lt;1,0,'Water levels-Residential'!E7/'Energy (indirect)'!$D$5)</f>
        <v>0</v>
      </c>
      <c r="F31" s="571">
        <f>IF('Water levels-Residential'!F7/'Energy (indirect)'!$D$5&lt;1,0,'Water levels-Residential'!F7/'Energy (indirect)'!$D$5)</f>
        <v>0</v>
      </c>
      <c r="G31" s="571">
        <f>IF('Water levels-Residential'!G7/'Energy (indirect)'!$D$5&lt;1,0,'Water levels-Residential'!G7/'Energy (indirect)'!$D$5)</f>
        <v>0</v>
      </c>
      <c r="H31" s="571">
        <f>IF('Water levels-Residential'!H7/'Energy (indirect)'!$D$5&lt;1,0,'Water levels-Residential'!H7/'Energy (indirect)'!$D$5)</f>
        <v>0</v>
      </c>
      <c r="I31" s="571">
        <f>IF('Water levels-Residential'!I7/'Energy (indirect)'!$D$5&lt;1,0,'Water levels-Residential'!I7/'Energy (indirect)'!$D$5)</f>
        <v>0</v>
      </c>
      <c r="J31" s="571">
        <f>IF('Water levels-Residential'!J7/'Energy (indirect)'!$D$5&lt;1,0,'Water levels-Residential'!J7/'Energy (indirect)'!$D$5)</f>
        <v>0</v>
      </c>
      <c r="K31" s="571">
        <f>IF('Water levels-Residential'!K7/'Energy (indirect)'!$D$5&lt;1,0,'Water levels-Residential'!K7/'Energy (indirect)'!$D$5)</f>
        <v>0</v>
      </c>
      <c r="L31" s="571">
        <f>IF('Water levels-Residential'!L7/'Energy (indirect)'!$D$5&lt;1,0,'Water levels-Residential'!L7/'Energy (indirect)'!$D$5)</f>
        <v>0</v>
      </c>
      <c r="M31" s="571">
        <f>IF('Water levels-Residential'!M7/'Energy (indirect)'!$D$5&lt;1,0,'Water levels-Residential'!M7/'Energy (indirect)'!$D$5)</f>
        <v>0</v>
      </c>
    </row>
    <row r="32" spans="3:13" ht="15">
      <c r="C32" s="209">
        <v>0.04</v>
      </c>
      <c r="D32" s="571">
        <f>IF('Water levels-Residential'!D8/'Energy (indirect)'!$D$5&lt;1,0,'Water levels-Residential'!D8/'Energy (indirect)'!$D$5)</f>
        <v>0</v>
      </c>
      <c r="E32" s="571">
        <f>IF('Water levels-Residential'!E8/'Energy (indirect)'!$D$5&lt;1,0,'Water levels-Residential'!E8/'Energy (indirect)'!$D$5)</f>
        <v>0</v>
      </c>
      <c r="F32" s="571">
        <f>IF('Water levels-Residential'!F8/'Energy (indirect)'!$D$5&lt;1,0,'Water levels-Residential'!F8/'Energy (indirect)'!$D$5)</f>
        <v>0</v>
      </c>
      <c r="G32" s="571">
        <f>IF('Water levels-Residential'!G8/'Energy (indirect)'!$D$5&lt;1,0,'Water levels-Residential'!G8/'Energy (indirect)'!$D$5)</f>
        <v>0</v>
      </c>
      <c r="H32" s="571">
        <f>IF('Water levels-Residential'!H8/'Energy (indirect)'!$D$5&lt;1,0,'Water levels-Residential'!H8/'Energy (indirect)'!$D$5)</f>
        <v>0</v>
      </c>
      <c r="I32" s="571">
        <f>IF('Water levels-Residential'!I8/'Energy (indirect)'!$D$5&lt;1,0,'Water levels-Residential'!I8/'Energy (indirect)'!$D$5)</f>
        <v>0</v>
      </c>
      <c r="J32" s="571">
        <f>IF('Water levels-Residential'!J8/'Energy (indirect)'!$D$5&lt;1,0,'Water levels-Residential'!J8/'Energy (indirect)'!$D$5)</f>
        <v>0</v>
      </c>
      <c r="K32" s="571">
        <f>IF('Water levels-Residential'!K8/'Energy (indirect)'!$D$5&lt;1,0,'Water levels-Residential'!K8/'Energy (indirect)'!$D$5)</f>
        <v>0</v>
      </c>
      <c r="L32" s="571">
        <f>IF('Water levels-Residential'!L8/'Energy (indirect)'!$D$5&lt;1,0,'Water levels-Residential'!L8/'Energy (indirect)'!$D$5)</f>
        <v>0</v>
      </c>
      <c r="M32" s="571">
        <f>IF('Water levels-Residential'!M8/'Energy (indirect)'!$D$5&lt;1,0,'Water levels-Residential'!M8/'Energy (indirect)'!$D$5)</f>
        <v>0</v>
      </c>
    </row>
    <row r="33" spans="3:13" ht="15">
      <c r="C33" s="209">
        <v>0.02</v>
      </c>
      <c r="D33" s="571">
        <f>IF('Water levels-Residential'!D9/'Energy (indirect)'!$D$5&lt;1,0,'Water levels-Residential'!D9/'Energy (indirect)'!$D$5)</f>
        <v>0</v>
      </c>
      <c r="E33" s="571">
        <f>IF('Water levels-Residential'!E9/'Energy (indirect)'!$D$5&lt;1,0,'Water levels-Residential'!E9/'Energy (indirect)'!$D$5)</f>
        <v>0</v>
      </c>
      <c r="F33" s="571">
        <f>IF('Water levels-Residential'!F9/'Energy (indirect)'!$D$5&lt;1,0,'Water levels-Residential'!F9/'Energy (indirect)'!$D$5)</f>
        <v>0</v>
      </c>
      <c r="G33" s="571">
        <f>IF('Water levels-Residential'!G9/'Energy (indirect)'!$D$5&lt;1,0,'Water levels-Residential'!G9/'Energy (indirect)'!$D$5)</f>
        <v>0</v>
      </c>
      <c r="H33" s="571">
        <f>IF('Water levels-Residential'!H9/'Energy (indirect)'!$D$5&lt;1,0,'Water levels-Residential'!H9/'Energy (indirect)'!$D$5)</f>
        <v>0</v>
      </c>
      <c r="I33" s="571">
        <f>IF('Water levels-Residential'!I9/'Energy (indirect)'!$D$5&lt;1,0,'Water levels-Residential'!I9/'Energy (indirect)'!$D$5)</f>
        <v>0</v>
      </c>
      <c r="J33" s="571">
        <f>IF('Water levels-Residential'!J9/'Energy (indirect)'!$D$5&lt;1,0,'Water levels-Residential'!J9/'Energy (indirect)'!$D$5)</f>
        <v>0</v>
      </c>
      <c r="K33" s="571">
        <f>IF('Water levels-Residential'!K9/'Energy (indirect)'!$D$5&lt;1,0,'Water levels-Residential'!K9/'Energy (indirect)'!$D$5)</f>
        <v>0</v>
      </c>
      <c r="L33" s="571">
        <f>IF('Water levels-Residential'!L9/'Energy (indirect)'!$D$5&lt;1,0,'Water levels-Residential'!L9/'Energy (indirect)'!$D$5)</f>
        <v>0</v>
      </c>
      <c r="M33" s="571">
        <f>IF('Water levels-Residential'!M9/'Energy (indirect)'!$D$5&lt;1,0,'Water levels-Residential'!M9/'Energy (indirect)'!$D$5)</f>
        <v>0</v>
      </c>
    </row>
    <row r="34" spans="3:13" ht="15">
      <c r="C34" s="411">
        <v>0.0133</v>
      </c>
      <c r="D34" s="571">
        <f>IF('Water levels-Residential'!D10/'Energy (indirect)'!$D$5&lt;1,0,'Water levels-Residential'!D10/'Energy (indirect)'!$D$5)</f>
        <v>0</v>
      </c>
      <c r="E34" s="571">
        <f>IF('Water levels-Residential'!E10/'Energy (indirect)'!$D$5&lt;1,0,'Water levels-Residential'!E10/'Energy (indirect)'!$D$5)</f>
        <v>0</v>
      </c>
      <c r="F34" s="571">
        <f>IF('Water levels-Residential'!F10/'Energy (indirect)'!$D$5&lt;1,0,'Water levels-Residential'!F10/'Energy (indirect)'!$D$5)</f>
        <v>0</v>
      </c>
      <c r="G34" s="571">
        <f>IF('Water levels-Residential'!G10/'Energy (indirect)'!$D$5&lt;1,0,'Water levels-Residential'!G10/'Energy (indirect)'!$D$5)</f>
        <v>0</v>
      </c>
      <c r="H34" s="571">
        <f>IF('Water levels-Residential'!H10/'Energy (indirect)'!$D$5&lt;1,0,'Water levels-Residential'!H10/'Energy (indirect)'!$D$5)</f>
        <v>0</v>
      </c>
      <c r="I34" s="571">
        <f>IF('Water levels-Residential'!I10/'Energy (indirect)'!$D$5&lt;1,0,'Water levels-Residential'!I10/'Energy (indirect)'!$D$5)</f>
        <v>0</v>
      </c>
      <c r="J34" s="571">
        <f>IF('Water levels-Residential'!J10/'Energy (indirect)'!$D$5&lt;1,0,'Water levels-Residential'!J10/'Energy (indirect)'!$D$5)</f>
        <v>0</v>
      </c>
      <c r="K34" s="571">
        <f>IF('Water levels-Residential'!K10/'Energy (indirect)'!$D$5&lt;1,0,'Water levels-Residential'!K10/'Energy (indirect)'!$D$5)</f>
        <v>0</v>
      </c>
      <c r="L34" s="571">
        <f>IF('Water levels-Residential'!L10/'Energy (indirect)'!$D$5&lt;1,0,'Water levels-Residential'!L10/'Energy (indirect)'!$D$5)</f>
        <v>0</v>
      </c>
      <c r="M34" s="571">
        <f>IF('Water levels-Residential'!M10/'Energy (indirect)'!$D$5&lt;1,0,'Water levels-Residential'!M10/'Energy (indirect)'!$D$5)</f>
        <v>0</v>
      </c>
    </row>
    <row r="35" spans="3:13" ht="15">
      <c r="C35" s="209">
        <v>0.01</v>
      </c>
      <c r="D35" s="571">
        <f>IF('Water levels-Residential'!D11/'Energy (indirect)'!$D$5&lt;1,0,'Water levels-Residential'!D11/'Energy (indirect)'!$D$5)</f>
        <v>0</v>
      </c>
      <c r="E35" s="571">
        <f>IF('Water levels-Residential'!E11/'Energy (indirect)'!$D$5&lt;1,0,'Water levels-Residential'!E11/'Energy (indirect)'!$D$5)</f>
        <v>0</v>
      </c>
      <c r="F35" s="571">
        <f>IF('Water levels-Residential'!F11/'Energy (indirect)'!$D$5&lt;1,0,'Water levels-Residential'!F11/'Energy (indirect)'!$D$5)</f>
        <v>0</v>
      </c>
      <c r="G35" s="571">
        <f>IF('Water levels-Residential'!G11/'Energy (indirect)'!$D$5&lt;1,0,'Water levels-Residential'!G11/'Energy (indirect)'!$D$5)</f>
        <v>0</v>
      </c>
      <c r="H35" s="571">
        <f>IF('Water levels-Residential'!H11/'Energy (indirect)'!$D$5&lt;1,0,'Water levels-Residential'!H11/'Energy (indirect)'!$D$5)</f>
        <v>0</v>
      </c>
      <c r="I35" s="571">
        <f>IF('Water levels-Residential'!I11/'Energy (indirect)'!$D$5&lt;1,0,'Water levels-Residential'!I11/'Energy (indirect)'!$D$5)</f>
        <v>0</v>
      </c>
      <c r="J35" s="571">
        <f>IF('Water levels-Residential'!J11/'Energy (indirect)'!$D$5&lt;1,0,'Water levels-Residential'!J11/'Energy (indirect)'!$D$5)</f>
        <v>0</v>
      </c>
      <c r="K35" s="571">
        <f>IF('Water levels-Residential'!K11/'Energy (indirect)'!$D$5&lt;1,0,'Water levels-Residential'!K11/'Energy (indirect)'!$D$5)</f>
        <v>0</v>
      </c>
      <c r="L35" s="571">
        <f>IF('Water levels-Residential'!L11/'Energy (indirect)'!$D$5&lt;1,0,'Water levels-Residential'!L11/'Energy (indirect)'!$D$5)</f>
        <v>0</v>
      </c>
      <c r="M35" s="571">
        <f>IF('Water levels-Residential'!M11/'Energy (indirect)'!$D$5&lt;1,0,'Water levels-Residential'!M11/'Energy (indirect)'!$D$5)</f>
        <v>0</v>
      </c>
    </row>
    <row r="36" spans="3:13" ht="15">
      <c r="C36" s="210">
        <v>0.005</v>
      </c>
      <c r="D36" s="571">
        <f>IF('Water levels-Residential'!D13/'Energy (indirect)'!$D$5&lt;1,0,'Water levels-Residential'!D13/'Energy (indirect)'!$D$5)</f>
        <v>0</v>
      </c>
      <c r="E36" s="571">
        <f>IF('Water levels-Residential'!E13/'Energy (indirect)'!$D$5&lt;1,0,'Water levels-Residential'!E13/'Energy (indirect)'!$D$5)</f>
        <v>0</v>
      </c>
      <c r="F36" s="571">
        <f>IF('Water levels-Residential'!F13/'Energy (indirect)'!$D$5&lt;1,0,'Water levels-Residential'!F13/'Energy (indirect)'!$D$5)</f>
        <v>0</v>
      </c>
      <c r="G36" s="571">
        <f>IF('Water levels-Residential'!G13/'Energy (indirect)'!$D$5&lt;1,0,'Water levels-Residential'!G13/'Energy (indirect)'!$D$5)</f>
        <v>0</v>
      </c>
      <c r="H36" s="571">
        <f>IF('Water levels-Residential'!H13/'Energy (indirect)'!$D$5&lt;1,0,'Water levels-Residential'!H13/'Energy (indirect)'!$D$5)</f>
        <v>0</v>
      </c>
      <c r="I36" s="571">
        <f>IF('Water levels-Residential'!I13/'Energy (indirect)'!$D$5&lt;1,0,'Water levels-Residential'!I13/'Energy (indirect)'!$D$5)</f>
        <v>0</v>
      </c>
      <c r="J36" s="571">
        <f>IF('Water levels-Residential'!J13/'Energy (indirect)'!$D$5&lt;1,0,'Water levels-Residential'!J13/'Energy (indirect)'!$D$5)</f>
        <v>0</v>
      </c>
      <c r="K36" s="571">
        <f>IF('Water levels-Residential'!K13/'Energy (indirect)'!$D$5&lt;1,0,'Water levels-Residential'!K13/'Energy (indirect)'!$D$5)</f>
        <v>0</v>
      </c>
      <c r="L36" s="571">
        <f>IF('Water levels-Residential'!L13/'Energy (indirect)'!$D$5&lt;1,0,'Water levels-Residential'!L13/'Energy (indirect)'!$D$5)</f>
        <v>0</v>
      </c>
      <c r="M36" s="571">
        <f>IF('Water levels-Residential'!M13/'Energy (indirect)'!$D$5&lt;1,0,'Water levels-Residential'!M13/'Energy (indirect)'!$D$5)</f>
        <v>0</v>
      </c>
    </row>
    <row r="37" spans="3:13" ht="15">
      <c r="C37" s="210">
        <v>0.001</v>
      </c>
      <c r="D37" s="571">
        <f>IF('Water levels-Residential'!D14/'Energy (indirect)'!$D$5&lt;1,0,'Water levels-Residential'!D14/'Energy (indirect)'!$D$5)</f>
        <v>0</v>
      </c>
      <c r="E37" s="571">
        <f>IF('Water levels-Residential'!E14/'Energy (indirect)'!$D$5&lt;1,0,'Water levels-Residential'!E14/'Energy (indirect)'!$D$5)</f>
        <v>0</v>
      </c>
      <c r="F37" s="571">
        <f>IF('Water levels-Residential'!F14/'Energy (indirect)'!$D$5&lt;1,0,'Water levels-Residential'!F14/'Energy (indirect)'!$D$5)</f>
        <v>0</v>
      </c>
      <c r="G37" s="571">
        <f>IF('Water levels-Residential'!G14/'Energy (indirect)'!$D$5&lt;1,0,'Water levels-Residential'!G14/'Energy (indirect)'!$D$5)</f>
        <v>0</v>
      </c>
      <c r="H37" s="571">
        <f>IF('Water levels-Residential'!H14/'Energy (indirect)'!$D$5&lt;1,0,'Water levels-Residential'!H14/'Energy (indirect)'!$D$5)</f>
        <v>0</v>
      </c>
      <c r="I37" s="571">
        <f>IF('Water levels-Residential'!I14/'Energy (indirect)'!$D$5&lt;1,0,'Water levels-Residential'!I14/'Energy (indirect)'!$D$5)</f>
        <v>0</v>
      </c>
      <c r="J37" s="571">
        <f>IF('Water levels-Residential'!J14/'Energy (indirect)'!$D$5&lt;1,0,'Water levels-Residential'!J14/'Energy (indirect)'!$D$5)</f>
        <v>0</v>
      </c>
      <c r="K37" s="571">
        <f>IF('Water levels-Residential'!K14/'Energy (indirect)'!$D$5&lt;1,0,'Water levels-Residential'!K14/'Energy (indirect)'!$D$5)</f>
        <v>0</v>
      </c>
      <c r="L37" s="571">
        <f>IF('Water levels-Residential'!L14/'Energy (indirect)'!$D$5&lt;1,0,'Water levels-Residential'!L14/'Energy (indirect)'!$D$5)</f>
        <v>0</v>
      </c>
      <c r="M37" s="571">
        <f>IF('Water levels-Residential'!M14/'Energy (indirect)'!$D$5&lt;1,0,'Water levels-Residential'!M14/'Energy (indirect)'!$D$5)</f>
        <v>0</v>
      </c>
    </row>
    <row r="39" spans="3:6" ht="15">
      <c r="C39" s="334"/>
      <c r="E39" s="161" t="s">
        <v>262</v>
      </c>
      <c r="F39" s="161" t="str">
        <f>"Number of "&amp;C40&amp;" whose risk changes due to changes in water levels"</f>
        <v>Number of Primary sub-stations whose risk changes due to changes in water levels</v>
      </c>
    </row>
    <row r="40" spans="3:13" ht="15">
      <c r="C40" s="334" t="str">
        <f>E6</f>
        <v>Primary sub-stations</v>
      </c>
      <c r="D40" s="209">
        <v>1</v>
      </c>
      <c r="E40" s="209">
        <v>0.5</v>
      </c>
      <c r="F40" s="209">
        <v>0.2</v>
      </c>
      <c r="G40" s="209">
        <v>0.1</v>
      </c>
      <c r="H40" s="209">
        <v>0.04</v>
      </c>
      <c r="I40" s="209">
        <v>0.02</v>
      </c>
      <c r="J40" s="411">
        <v>0.0133</v>
      </c>
      <c r="K40" s="209">
        <v>0.01</v>
      </c>
      <c r="L40" s="210">
        <v>0.005</v>
      </c>
      <c r="M40" s="210">
        <v>0.001</v>
      </c>
    </row>
    <row r="41" spans="3:15" ht="15">
      <c r="C41" s="209">
        <v>1</v>
      </c>
      <c r="D41" s="571">
        <f>IF('Water levels-Residential'!D4/'Energy (indirect)'!$D$6&lt;1,0,'Water levels-Residential'!D4/'Energy (indirect)'!$D$6)</f>
        <v>0</v>
      </c>
      <c r="E41" s="571">
        <f>IF('Water levels-Residential'!E4/'Energy (indirect)'!$D$6&lt;1,0,'Water levels-Residential'!E4/'Energy (indirect)'!$D$6)</f>
        <v>0</v>
      </c>
      <c r="F41" s="571">
        <f>IF('Water levels-Residential'!F4/'Energy (indirect)'!$D$6&lt;1,0,'Water levels-Residential'!F4/'Energy (indirect)'!$D$6)</f>
        <v>0</v>
      </c>
      <c r="G41" s="571">
        <f>IF('Water levels-Residential'!G4/'Energy (indirect)'!$D$6&lt;1,0,'Water levels-Residential'!G4/'Energy (indirect)'!$D$6)</f>
        <v>0</v>
      </c>
      <c r="H41" s="571">
        <f>IF('Water levels-Residential'!H4/'Energy (indirect)'!$D$6&lt;1,0,'Water levels-Residential'!H4/'Energy (indirect)'!$D$6)</f>
        <v>0</v>
      </c>
      <c r="I41" s="571">
        <f>IF('Water levels-Residential'!I4/'Energy (indirect)'!$D$6&lt;1,0,'Water levels-Residential'!I4/'Energy (indirect)'!$D$6)</f>
        <v>0</v>
      </c>
      <c r="J41" s="571">
        <f>IF('Water levels-Residential'!J4/'Energy (indirect)'!$D$6&lt;1,0,'Water levels-Residential'!J4/'Energy (indirect)'!$D$6)</f>
        <v>0</v>
      </c>
      <c r="K41" s="571">
        <f>IF('Water levels-Residential'!K4/'Energy (indirect)'!$D$6&lt;1,0,'Water levels-Residential'!K4/'Energy (indirect)'!$D$6)</f>
        <v>0</v>
      </c>
      <c r="L41" s="571">
        <f>IF('Water levels-Residential'!L4/'Energy (indirect)'!$D$6&lt;1,0,'Water levels-Residential'!L4/'Energy (indirect)'!$D$6)</f>
        <v>0</v>
      </c>
      <c r="M41" s="571">
        <f>IF('Water levels-Residential'!M4/'Energy (indirect)'!$D$6&lt;1,0,'Water levels-Residential'!M4/'Energy (indirect)'!$D$6)</f>
        <v>0</v>
      </c>
      <c r="O41" s="161" t="s">
        <v>763</v>
      </c>
    </row>
    <row r="42" spans="3:13" ht="15">
      <c r="C42" s="209">
        <v>0.5</v>
      </c>
      <c r="D42" s="571">
        <f>IF('Water levels-Residential'!D5/'Energy (indirect)'!$D$6&lt;1,0,'Water levels-Residential'!D5/'Energy (indirect)'!$D$6)</f>
        <v>0</v>
      </c>
      <c r="E42" s="571">
        <f>IF('Water levels-Residential'!E5/'Energy (indirect)'!$D$6&lt;1,0,'Water levels-Residential'!E5/'Energy (indirect)'!$D$6)</f>
        <v>0</v>
      </c>
      <c r="F42" s="571">
        <f>IF('Water levels-Residential'!F5/'Energy (indirect)'!$D$6&lt;1,0,'Water levels-Residential'!F5/'Energy (indirect)'!$D$6)</f>
        <v>0</v>
      </c>
      <c r="G42" s="571">
        <f>IF('Water levels-Residential'!G5/'Energy (indirect)'!$D$6&lt;1,0,'Water levels-Residential'!G5/'Energy (indirect)'!$D$6)</f>
        <v>0</v>
      </c>
      <c r="H42" s="571">
        <f>IF('Water levels-Residential'!H5/'Energy (indirect)'!$D$6&lt;1,0,'Water levels-Residential'!H5/'Energy (indirect)'!$D$6)</f>
        <v>0</v>
      </c>
      <c r="I42" s="571">
        <f>IF('Water levels-Residential'!I5/'Energy (indirect)'!$D$6&lt;1,0,'Water levels-Residential'!I5/'Energy (indirect)'!$D$6)</f>
        <v>0</v>
      </c>
      <c r="J42" s="571">
        <f>IF('Water levels-Residential'!J5/'Energy (indirect)'!$D$6&lt;1,0,'Water levels-Residential'!J5/'Energy (indirect)'!$D$6)</f>
        <v>0</v>
      </c>
      <c r="K42" s="571">
        <f>IF('Water levels-Residential'!K5/'Energy (indirect)'!$D$6&lt;1,0,'Water levels-Residential'!K5/'Energy (indirect)'!$D$6)</f>
        <v>0</v>
      </c>
      <c r="L42" s="571">
        <f>IF('Water levels-Residential'!L5/'Energy (indirect)'!$D$6&lt;1,0,'Water levels-Residential'!L5/'Energy (indirect)'!$D$6)</f>
        <v>0</v>
      </c>
      <c r="M42" s="571">
        <f>IF('Water levels-Residential'!M5/'Energy (indirect)'!$D$6&lt;1,0,'Water levels-Residential'!M5/'Energy (indirect)'!$D$6)</f>
        <v>0</v>
      </c>
    </row>
    <row r="43" spans="3:13" ht="15">
      <c r="C43" s="209">
        <v>0.2</v>
      </c>
      <c r="D43" s="571">
        <f>IF('Water levels-Residential'!D6/'Energy (indirect)'!$D$6&lt;1,0,'Water levels-Residential'!D6/'Energy (indirect)'!$D$6)</f>
        <v>0</v>
      </c>
      <c r="E43" s="571">
        <f>IF('Water levels-Residential'!E6/'Energy (indirect)'!$D$6&lt;1,0,'Water levels-Residential'!E6/'Energy (indirect)'!$D$6)</f>
        <v>0</v>
      </c>
      <c r="F43" s="571">
        <f>IF('Water levels-Residential'!F6/'Energy (indirect)'!$D$6&lt;1,0,'Water levels-Residential'!F6/'Energy (indirect)'!$D$6)</f>
        <v>0</v>
      </c>
      <c r="G43" s="571">
        <f>IF('Water levels-Residential'!G6/'Energy (indirect)'!$D$6&lt;1,0,'Water levels-Residential'!G6/'Energy (indirect)'!$D$6)</f>
        <v>0</v>
      </c>
      <c r="H43" s="571">
        <f>IF('Water levels-Residential'!H6/'Energy (indirect)'!$D$6&lt;1,0,'Water levels-Residential'!H6/'Energy (indirect)'!$D$6)</f>
        <v>0</v>
      </c>
      <c r="I43" s="571">
        <f>IF('Water levels-Residential'!I6/'Energy (indirect)'!$D$6&lt;1,0,'Water levels-Residential'!I6/'Energy (indirect)'!$D$6)</f>
        <v>0</v>
      </c>
      <c r="J43" s="571">
        <f>IF('Water levels-Residential'!J6/'Energy (indirect)'!$D$6&lt;1,0,'Water levels-Residential'!J6/'Energy (indirect)'!$D$6)</f>
        <v>0</v>
      </c>
      <c r="K43" s="571">
        <f>IF('Water levels-Residential'!K6/'Energy (indirect)'!$D$6&lt;1,0,'Water levels-Residential'!K6/'Energy (indirect)'!$D$6)</f>
        <v>0</v>
      </c>
      <c r="L43" s="571">
        <f>IF('Water levels-Residential'!L6/'Energy (indirect)'!$D$6&lt;1,0,'Water levels-Residential'!L6/'Energy (indirect)'!$D$6)</f>
        <v>0</v>
      </c>
      <c r="M43" s="571">
        <f>IF('Water levels-Residential'!M6/'Energy (indirect)'!$D$6&lt;1,0,'Water levels-Residential'!M6/'Energy (indirect)'!$D$6)</f>
        <v>0</v>
      </c>
    </row>
    <row r="44" spans="3:13" ht="15">
      <c r="C44" s="209">
        <v>0.1</v>
      </c>
      <c r="D44" s="571">
        <f>IF('Water levels-Residential'!D7/'Energy (indirect)'!$D$6&lt;1,0,'Water levels-Residential'!D7/'Energy (indirect)'!$D$6)</f>
        <v>0</v>
      </c>
      <c r="E44" s="571">
        <f>IF('Water levels-Residential'!E7/'Energy (indirect)'!$D$6&lt;1,0,'Water levels-Residential'!E7/'Energy (indirect)'!$D$6)</f>
        <v>0</v>
      </c>
      <c r="F44" s="571">
        <f>IF('Water levels-Residential'!F7/'Energy (indirect)'!$D$6&lt;1,0,'Water levels-Residential'!F7/'Energy (indirect)'!$D$6)</f>
        <v>0</v>
      </c>
      <c r="G44" s="571">
        <f>IF('Water levels-Residential'!G7/'Energy (indirect)'!$D$6&lt;1,0,'Water levels-Residential'!G7/'Energy (indirect)'!$D$6)</f>
        <v>0</v>
      </c>
      <c r="H44" s="571">
        <f>IF('Water levels-Residential'!H7/'Energy (indirect)'!$D$6&lt;1,0,'Water levels-Residential'!H7/'Energy (indirect)'!$D$6)</f>
        <v>0</v>
      </c>
      <c r="I44" s="571">
        <f>IF('Water levels-Residential'!I7/'Energy (indirect)'!$D$6&lt;1,0,'Water levels-Residential'!I7/'Energy (indirect)'!$D$6)</f>
        <v>0</v>
      </c>
      <c r="J44" s="571">
        <f>IF('Water levels-Residential'!J7/'Energy (indirect)'!$D$6&lt;1,0,'Water levels-Residential'!J7/'Energy (indirect)'!$D$6)</f>
        <v>0</v>
      </c>
      <c r="K44" s="571">
        <f>IF('Water levels-Residential'!K7/'Energy (indirect)'!$D$6&lt;1,0,'Water levels-Residential'!K7/'Energy (indirect)'!$D$6)</f>
        <v>0</v>
      </c>
      <c r="L44" s="571">
        <f>IF('Water levels-Residential'!L7/'Energy (indirect)'!$D$6&lt;1,0,'Water levels-Residential'!L7/'Energy (indirect)'!$D$6)</f>
        <v>0</v>
      </c>
      <c r="M44" s="571">
        <f>IF('Water levels-Residential'!M7/'Energy (indirect)'!$D$6&lt;1,0,'Water levels-Residential'!M7/'Energy (indirect)'!$D$6)</f>
        <v>0</v>
      </c>
    </row>
    <row r="45" spans="3:13" ht="15">
      <c r="C45" s="209">
        <v>0.04</v>
      </c>
      <c r="D45" s="571">
        <f>IF('Water levels-Residential'!D8/'Energy (indirect)'!$D$6&lt;1,0,'Water levels-Residential'!D8/'Energy (indirect)'!$D$6)</f>
        <v>0</v>
      </c>
      <c r="E45" s="571">
        <f>IF('Water levels-Residential'!E8/'Energy (indirect)'!$D$6&lt;1,0,'Water levels-Residential'!E8/'Energy (indirect)'!$D$6)</f>
        <v>0</v>
      </c>
      <c r="F45" s="571">
        <f>IF('Water levels-Residential'!F8/'Energy (indirect)'!$D$6&lt;1,0,'Water levels-Residential'!F8/'Energy (indirect)'!$D$6)</f>
        <v>0</v>
      </c>
      <c r="G45" s="571">
        <f>IF('Water levels-Residential'!G8/'Energy (indirect)'!$D$6&lt;1,0,'Water levels-Residential'!G8/'Energy (indirect)'!$D$6)</f>
        <v>0</v>
      </c>
      <c r="H45" s="571">
        <f>IF('Water levels-Residential'!H8/'Energy (indirect)'!$D$6&lt;1,0,'Water levels-Residential'!H8/'Energy (indirect)'!$D$6)</f>
        <v>0</v>
      </c>
      <c r="I45" s="571">
        <f>IF('Water levels-Residential'!I8/'Energy (indirect)'!$D$6&lt;1,0,'Water levels-Residential'!I8/'Energy (indirect)'!$D$6)</f>
        <v>0</v>
      </c>
      <c r="J45" s="571">
        <f>IF('Water levels-Residential'!J8/'Energy (indirect)'!$D$6&lt;1,0,'Water levels-Residential'!J8/'Energy (indirect)'!$D$6)</f>
        <v>0</v>
      </c>
      <c r="K45" s="571">
        <f>IF('Water levels-Residential'!K8/'Energy (indirect)'!$D$6&lt;1,0,'Water levels-Residential'!K8/'Energy (indirect)'!$D$6)</f>
        <v>0</v>
      </c>
      <c r="L45" s="571">
        <f>IF('Water levels-Residential'!L8/'Energy (indirect)'!$D$6&lt;1,0,'Water levels-Residential'!L8/'Energy (indirect)'!$D$6)</f>
        <v>0</v>
      </c>
      <c r="M45" s="571">
        <f>IF('Water levels-Residential'!M8/'Energy (indirect)'!$D$6&lt;1,0,'Water levels-Residential'!M8/'Energy (indirect)'!$D$6)</f>
        <v>0</v>
      </c>
    </row>
    <row r="46" spans="3:13" ht="15">
      <c r="C46" s="209">
        <v>0.02</v>
      </c>
      <c r="D46" s="571">
        <f>IF('Water levels-Residential'!D9/'Energy (indirect)'!$D$6&lt;1,0,'Water levels-Residential'!D9/'Energy (indirect)'!$D$6)</f>
        <v>0</v>
      </c>
      <c r="E46" s="571">
        <f>IF('Water levels-Residential'!E9/'Energy (indirect)'!$D$6&lt;1,0,'Water levels-Residential'!E9/'Energy (indirect)'!$D$6)</f>
        <v>0</v>
      </c>
      <c r="F46" s="571">
        <f>IF('Water levels-Residential'!F9/'Energy (indirect)'!$D$6&lt;1,0,'Water levels-Residential'!F9/'Energy (indirect)'!$D$6)</f>
        <v>0</v>
      </c>
      <c r="G46" s="571">
        <f>IF('Water levels-Residential'!G9/'Energy (indirect)'!$D$6&lt;1,0,'Water levels-Residential'!G9/'Energy (indirect)'!$D$6)</f>
        <v>0</v>
      </c>
      <c r="H46" s="571">
        <f>IF('Water levels-Residential'!H9/'Energy (indirect)'!$D$6&lt;1,0,'Water levels-Residential'!H9/'Energy (indirect)'!$D$6)</f>
        <v>0</v>
      </c>
      <c r="I46" s="571">
        <f>IF('Water levels-Residential'!I9/'Energy (indirect)'!$D$6&lt;1,0,'Water levels-Residential'!I9/'Energy (indirect)'!$D$6)</f>
        <v>0</v>
      </c>
      <c r="J46" s="571">
        <f>IF('Water levels-Residential'!J9/'Energy (indirect)'!$D$6&lt;1,0,'Water levels-Residential'!J9/'Energy (indirect)'!$D$6)</f>
        <v>0</v>
      </c>
      <c r="K46" s="571">
        <f>IF('Water levels-Residential'!K9/'Energy (indirect)'!$D$6&lt;1,0,'Water levels-Residential'!K9/'Energy (indirect)'!$D$6)</f>
        <v>0</v>
      </c>
      <c r="L46" s="571">
        <f>IF('Water levels-Residential'!L9/'Energy (indirect)'!$D$6&lt;1,0,'Water levels-Residential'!L9/'Energy (indirect)'!$D$6)</f>
        <v>0</v>
      </c>
      <c r="M46" s="571">
        <f>IF('Water levels-Residential'!M9/'Energy (indirect)'!$D$6&lt;1,0,'Water levels-Residential'!M9/'Energy (indirect)'!$D$6)</f>
        <v>0</v>
      </c>
    </row>
    <row r="47" spans="3:13" ht="15">
      <c r="C47" s="411">
        <v>0.0133</v>
      </c>
      <c r="D47" s="571">
        <f>IF('Water levels-Residential'!D10/'Energy (indirect)'!$D$6&lt;1,0,'Water levels-Residential'!D10/'Energy (indirect)'!$D$6)</f>
        <v>0</v>
      </c>
      <c r="E47" s="571">
        <f>IF('Water levels-Residential'!E10/'Energy (indirect)'!$D$6&lt;1,0,'Water levels-Residential'!E10/'Energy (indirect)'!$D$6)</f>
        <v>0</v>
      </c>
      <c r="F47" s="571">
        <f>IF('Water levels-Residential'!F10/'Energy (indirect)'!$D$6&lt;1,0,'Water levels-Residential'!F10/'Energy (indirect)'!$D$6)</f>
        <v>0</v>
      </c>
      <c r="G47" s="571">
        <f>IF('Water levels-Residential'!G10/'Energy (indirect)'!$D$6&lt;1,0,'Water levels-Residential'!G10/'Energy (indirect)'!$D$6)</f>
        <v>0</v>
      </c>
      <c r="H47" s="571">
        <f>IF('Water levels-Residential'!H10/'Energy (indirect)'!$D$6&lt;1,0,'Water levels-Residential'!H10/'Energy (indirect)'!$D$6)</f>
        <v>0</v>
      </c>
      <c r="I47" s="571">
        <f>IF('Water levels-Residential'!I10/'Energy (indirect)'!$D$6&lt;1,0,'Water levels-Residential'!I10/'Energy (indirect)'!$D$6)</f>
        <v>0</v>
      </c>
      <c r="J47" s="571">
        <f>IF('Water levels-Residential'!J10/'Energy (indirect)'!$D$6&lt;1,0,'Water levels-Residential'!J10/'Energy (indirect)'!$D$6)</f>
        <v>0</v>
      </c>
      <c r="K47" s="571">
        <f>IF('Water levels-Residential'!K10/'Energy (indirect)'!$D$6&lt;1,0,'Water levels-Residential'!K10/'Energy (indirect)'!$D$6)</f>
        <v>0</v>
      </c>
      <c r="L47" s="571">
        <f>IF('Water levels-Residential'!L10/'Energy (indirect)'!$D$6&lt;1,0,'Water levels-Residential'!L10/'Energy (indirect)'!$D$6)</f>
        <v>0</v>
      </c>
      <c r="M47" s="571">
        <f>IF('Water levels-Residential'!M10/'Energy (indirect)'!$D$6&lt;1,0,'Water levels-Residential'!M10/'Energy (indirect)'!$D$6)</f>
        <v>0</v>
      </c>
    </row>
    <row r="48" spans="3:13" ht="15">
      <c r="C48" s="209">
        <v>0.01</v>
      </c>
      <c r="D48" s="571">
        <f>IF('Water levels-Residential'!D11/'Energy (indirect)'!$D$6&lt;1,0,'Water levels-Residential'!D11/'Energy (indirect)'!$D$6)</f>
        <v>0</v>
      </c>
      <c r="E48" s="571">
        <f>IF('Water levels-Residential'!E11/'Energy (indirect)'!$D$6&lt;1,0,'Water levels-Residential'!E11/'Energy (indirect)'!$D$6)</f>
        <v>0</v>
      </c>
      <c r="F48" s="571">
        <f>IF('Water levels-Residential'!F11/'Energy (indirect)'!$D$6&lt;1,0,'Water levels-Residential'!F11/'Energy (indirect)'!$D$6)</f>
        <v>0</v>
      </c>
      <c r="G48" s="571">
        <f>IF('Water levels-Residential'!G11/'Energy (indirect)'!$D$6&lt;1,0,'Water levels-Residential'!G11/'Energy (indirect)'!$D$6)</f>
        <v>0</v>
      </c>
      <c r="H48" s="571">
        <f>IF('Water levels-Residential'!H11/'Energy (indirect)'!$D$6&lt;1,0,'Water levels-Residential'!H11/'Energy (indirect)'!$D$6)</f>
        <v>0</v>
      </c>
      <c r="I48" s="571">
        <f>IF('Water levels-Residential'!I11/'Energy (indirect)'!$D$6&lt;1,0,'Water levels-Residential'!I11/'Energy (indirect)'!$D$6)</f>
        <v>0</v>
      </c>
      <c r="J48" s="571">
        <f>IF('Water levels-Residential'!J11/'Energy (indirect)'!$D$6&lt;1,0,'Water levels-Residential'!J11/'Energy (indirect)'!$D$6)</f>
        <v>0</v>
      </c>
      <c r="K48" s="571">
        <f>IF('Water levels-Residential'!K11/'Energy (indirect)'!$D$6&lt;1,0,'Water levels-Residential'!K11/'Energy (indirect)'!$D$6)</f>
        <v>0</v>
      </c>
      <c r="L48" s="571">
        <f>IF('Water levels-Residential'!L11/'Energy (indirect)'!$D$6&lt;1,0,'Water levels-Residential'!L11/'Energy (indirect)'!$D$6)</f>
        <v>0</v>
      </c>
      <c r="M48" s="571">
        <f>IF('Water levels-Residential'!M11/'Energy (indirect)'!$D$6&lt;1,0,'Water levels-Residential'!M11/'Energy (indirect)'!$D$6)</f>
        <v>0</v>
      </c>
    </row>
    <row r="49" spans="3:13" ht="15">
      <c r="C49" s="210">
        <v>0.005</v>
      </c>
      <c r="D49" s="571">
        <f>IF('Water levels-Residential'!D13/'Energy (indirect)'!$D$6&lt;1,0,'Water levels-Residential'!D13/'Energy (indirect)'!$D$6)</f>
        <v>0</v>
      </c>
      <c r="E49" s="571">
        <f>IF('Water levels-Residential'!E13/'Energy (indirect)'!$D$6&lt;1,0,'Water levels-Residential'!E13/'Energy (indirect)'!$D$6)</f>
        <v>0</v>
      </c>
      <c r="F49" s="571">
        <f>IF('Water levels-Residential'!F13/'Energy (indirect)'!$D$6&lt;1,0,'Water levels-Residential'!F13/'Energy (indirect)'!$D$6)</f>
        <v>0</v>
      </c>
      <c r="G49" s="571">
        <f>IF('Water levels-Residential'!G13/'Energy (indirect)'!$D$6&lt;1,0,'Water levels-Residential'!G13/'Energy (indirect)'!$D$6)</f>
        <v>0</v>
      </c>
      <c r="H49" s="571">
        <f>IF('Water levels-Residential'!H13/'Energy (indirect)'!$D$6&lt;1,0,'Water levels-Residential'!H13/'Energy (indirect)'!$D$6)</f>
        <v>0</v>
      </c>
      <c r="I49" s="571">
        <f>IF('Water levels-Residential'!I13/'Energy (indirect)'!$D$6&lt;1,0,'Water levels-Residential'!I13/'Energy (indirect)'!$D$6)</f>
        <v>0</v>
      </c>
      <c r="J49" s="571">
        <f>IF('Water levels-Residential'!J13/'Energy (indirect)'!$D$6&lt;1,0,'Water levels-Residential'!J13/'Energy (indirect)'!$D$6)</f>
        <v>0</v>
      </c>
      <c r="K49" s="571">
        <f>IF('Water levels-Residential'!K13/'Energy (indirect)'!$D$6&lt;1,0,'Water levels-Residential'!K13/'Energy (indirect)'!$D$6)</f>
        <v>0</v>
      </c>
      <c r="L49" s="571">
        <f>IF('Water levels-Residential'!L13/'Energy (indirect)'!$D$6&lt;1,0,'Water levels-Residential'!L13/'Energy (indirect)'!$D$6)</f>
        <v>0</v>
      </c>
      <c r="M49" s="571">
        <f>IF('Water levels-Residential'!M13/'Energy (indirect)'!$D$6&lt;1,0,'Water levels-Residential'!M13/'Energy (indirect)'!$D$6)</f>
        <v>0</v>
      </c>
    </row>
    <row r="50" spans="3:13" ht="15">
      <c r="C50" s="210">
        <v>0.001</v>
      </c>
      <c r="D50" s="571">
        <f>IF('Water levels-Residential'!D14/'Energy (indirect)'!$D$6&lt;1,0,'Water levels-Residential'!D14/'Energy (indirect)'!$D$6)</f>
        <v>0</v>
      </c>
      <c r="E50" s="571">
        <f>IF('Water levels-Residential'!E14/'Energy (indirect)'!$D$6&lt;1,0,'Water levels-Residential'!E14/'Energy (indirect)'!$D$6)</f>
        <v>0</v>
      </c>
      <c r="F50" s="571">
        <f>IF('Water levels-Residential'!F14/'Energy (indirect)'!$D$6&lt;1,0,'Water levels-Residential'!F14/'Energy (indirect)'!$D$6)</f>
        <v>0</v>
      </c>
      <c r="G50" s="571">
        <f>IF('Water levels-Residential'!G14/'Energy (indirect)'!$D$6&lt;1,0,'Water levels-Residential'!G14/'Energy (indirect)'!$D$6)</f>
        <v>0</v>
      </c>
      <c r="H50" s="571">
        <f>IF('Water levels-Residential'!H14/'Energy (indirect)'!$D$6&lt;1,0,'Water levels-Residential'!H14/'Energy (indirect)'!$D$6)</f>
        <v>0</v>
      </c>
      <c r="I50" s="571">
        <f>IF('Water levels-Residential'!I14/'Energy (indirect)'!$D$6&lt;1,0,'Water levels-Residential'!I14/'Energy (indirect)'!$D$6)</f>
        <v>0</v>
      </c>
      <c r="J50" s="571">
        <f>IF('Water levels-Residential'!J14/'Energy (indirect)'!$D$6&lt;1,0,'Water levels-Residential'!J14/'Energy (indirect)'!$D$6)</f>
        <v>0</v>
      </c>
      <c r="K50" s="571">
        <f>IF('Water levels-Residential'!K14/'Energy (indirect)'!$D$6&lt;1,0,'Water levels-Residential'!K14/'Energy (indirect)'!$D$6)</f>
        <v>0</v>
      </c>
      <c r="L50" s="571">
        <f>IF('Water levels-Residential'!L14/'Energy (indirect)'!$D$6&lt;1,0,'Water levels-Residential'!L14/'Energy (indirect)'!$D$6)</f>
        <v>0</v>
      </c>
      <c r="M50" s="571">
        <f>IF('Water levels-Residential'!M14/'Energy (indirect)'!$D$6&lt;1,0,'Water levels-Residential'!M14/'Energy (indirect)'!$D$6)</f>
        <v>0</v>
      </c>
    </row>
    <row r="52" spans="3:6" ht="15">
      <c r="C52" s="334"/>
      <c r="E52" s="161" t="s">
        <v>262</v>
      </c>
      <c r="F52" s="161" t="str">
        <f>"Number of "&amp;C53&amp;" whose risk changes due to changes in water levels"</f>
        <v>Number of Distribution sub-stations whose risk changes due to changes in water levels</v>
      </c>
    </row>
    <row r="53" spans="3:13" ht="15">
      <c r="C53" s="334" t="str">
        <f>E7</f>
        <v>Distribution sub-stations</v>
      </c>
      <c r="D53" s="209">
        <v>1</v>
      </c>
      <c r="E53" s="209">
        <v>0.5</v>
      </c>
      <c r="F53" s="209">
        <v>0.2</v>
      </c>
      <c r="G53" s="209">
        <v>0.1</v>
      </c>
      <c r="H53" s="209">
        <v>0.04</v>
      </c>
      <c r="I53" s="209">
        <v>0.02</v>
      </c>
      <c r="J53" s="411">
        <v>0.0133</v>
      </c>
      <c r="K53" s="209">
        <v>0.01</v>
      </c>
      <c r="L53" s="210">
        <v>0.005</v>
      </c>
      <c r="M53" s="210">
        <v>0.001</v>
      </c>
    </row>
    <row r="54" spans="3:15" ht="15">
      <c r="C54" s="209">
        <v>1</v>
      </c>
      <c r="D54" s="571">
        <f>IF('Water levels-Residential'!D4/'Energy (indirect)'!$D$7&lt;1,0,'Water levels-Residential'!D4/'Energy (indirect)'!$D$7)</f>
        <v>0</v>
      </c>
      <c r="E54" s="571">
        <f>IF('Water levels-Residential'!E4/'Energy (indirect)'!$D$7&lt;1,0,'Water levels-Residential'!E4/'Energy (indirect)'!$D$7)</f>
        <v>0</v>
      </c>
      <c r="F54" s="571">
        <f>IF('Water levels-Residential'!F4/'Energy (indirect)'!$D$7&lt;1,0,'Water levels-Residential'!F4/'Energy (indirect)'!$D$7)</f>
        <v>0</v>
      </c>
      <c r="G54" s="571">
        <f>IF('Water levels-Residential'!G4/'Energy (indirect)'!$D$7&lt;1,0,'Water levels-Residential'!G4/'Energy (indirect)'!$D$7)</f>
        <v>0</v>
      </c>
      <c r="H54" s="571">
        <f>IF('Water levels-Residential'!H4/'Energy (indirect)'!$D$7&lt;1,0,'Water levels-Residential'!H4/'Energy (indirect)'!$D$7)</f>
        <v>0</v>
      </c>
      <c r="I54" s="571">
        <f>IF('Water levels-Residential'!I4/'Energy (indirect)'!$D$7&lt;1,0,'Water levels-Residential'!I4/'Energy (indirect)'!$D$7)</f>
        <v>0</v>
      </c>
      <c r="J54" s="571">
        <f>IF('Water levels-Residential'!J4/'Energy (indirect)'!$D$7&lt;1,0,'Water levels-Residential'!J4/'Energy (indirect)'!$D$7)</f>
        <v>0</v>
      </c>
      <c r="K54" s="571">
        <f>IF('Water levels-Residential'!K4/'Energy (indirect)'!$D$7&lt;1,0,'Water levels-Residential'!K4/'Energy (indirect)'!$D$7)</f>
        <v>0</v>
      </c>
      <c r="L54" s="571">
        <f>IF('Water levels-Residential'!L4/'Energy (indirect)'!$D$7&lt;1,0,'Water levels-Residential'!L4/'Energy (indirect)'!$D$7)</f>
        <v>0</v>
      </c>
      <c r="M54" s="571">
        <f>IF('Water levels-Residential'!M4/'Energy (indirect)'!$D$7&lt;1,0,'Water levels-Residential'!M4/'Energy (indirect)'!$D$7)</f>
        <v>0</v>
      </c>
      <c r="O54" s="161" t="s">
        <v>763</v>
      </c>
    </row>
    <row r="55" spans="3:13" ht="15">
      <c r="C55" s="209">
        <v>0.5</v>
      </c>
      <c r="D55" s="571">
        <f>IF('Water levels-Residential'!D5/'Energy (indirect)'!$D$7&lt;1,0,'Water levels-Residential'!D5/'Energy (indirect)'!$D$7)</f>
        <v>0</v>
      </c>
      <c r="E55" s="571">
        <f>IF('Water levels-Residential'!E5/'Energy (indirect)'!$D$7&lt;1,0,'Water levels-Residential'!E5/'Energy (indirect)'!$D$7)</f>
        <v>0</v>
      </c>
      <c r="F55" s="571">
        <f>IF('Water levels-Residential'!F5/'Energy (indirect)'!$D$7&lt;1,0,'Water levels-Residential'!F5/'Energy (indirect)'!$D$7)</f>
        <v>0</v>
      </c>
      <c r="G55" s="571">
        <f>IF('Water levels-Residential'!G5/'Energy (indirect)'!$D$7&lt;1,0,'Water levels-Residential'!G5/'Energy (indirect)'!$D$7)</f>
        <v>0</v>
      </c>
      <c r="H55" s="571">
        <f>IF('Water levels-Residential'!H5/'Energy (indirect)'!$D$7&lt;1,0,'Water levels-Residential'!H5/'Energy (indirect)'!$D$7)</f>
        <v>0</v>
      </c>
      <c r="I55" s="571">
        <f>IF('Water levels-Residential'!I5/'Energy (indirect)'!$D$7&lt;1,0,'Water levels-Residential'!I5/'Energy (indirect)'!$D$7)</f>
        <v>0</v>
      </c>
      <c r="J55" s="571">
        <f>IF('Water levels-Residential'!J5/'Energy (indirect)'!$D$7&lt;1,0,'Water levels-Residential'!J5/'Energy (indirect)'!$D$7)</f>
        <v>0</v>
      </c>
      <c r="K55" s="571">
        <f>IF('Water levels-Residential'!K5/'Energy (indirect)'!$D$7&lt;1,0,'Water levels-Residential'!K5/'Energy (indirect)'!$D$7)</f>
        <v>0</v>
      </c>
      <c r="L55" s="571">
        <f>IF('Water levels-Residential'!L5/'Energy (indirect)'!$D$7&lt;1,0,'Water levels-Residential'!L5/'Energy (indirect)'!$D$7)</f>
        <v>0</v>
      </c>
      <c r="M55" s="571">
        <f>IF('Water levels-Residential'!M5/'Energy (indirect)'!$D$7&lt;1,0,'Water levels-Residential'!M5/'Energy (indirect)'!$D$7)</f>
        <v>0</v>
      </c>
    </row>
    <row r="56" spans="3:13" ht="15">
      <c r="C56" s="209">
        <v>0.2</v>
      </c>
      <c r="D56" s="571">
        <f>IF('Water levels-Residential'!D6/'Energy (indirect)'!$D$7&lt;1,0,'Water levels-Residential'!D6/'Energy (indirect)'!$D$7)</f>
        <v>0</v>
      </c>
      <c r="E56" s="571">
        <f>IF('Water levels-Residential'!E6/'Energy (indirect)'!$D$7&lt;1,0,'Water levels-Residential'!E6/'Energy (indirect)'!$D$7)</f>
        <v>0</v>
      </c>
      <c r="F56" s="571">
        <f>IF('Water levels-Residential'!F6/'Energy (indirect)'!$D$7&lt;1,0,'Water levels-Residential'!F6/'Energy (indirect)'!$D$7)</f>
        <v>0</v>
      </c>
      <c r="G56" s="571">
        <f>IF('Water levels-Residential'!G6/'Energy (indirect)'!$D$7&lt;1,0,'Water levels-Residential'!G6/'Energy (indirect)'!$D$7)</f>
        <v>0</v>
      </c>
      <c r="H56" s="571">
        <f>IF('Water levels-Residential'!H6/'Energy (indirect)'!$D$7&lt;1,0,'Water levels-Residential'!H6/'Energy (indirect)'!$D$7)</f>
        <v>0</v>
      </c>
      <c r="I56" s="571">
        <f>IF('Water levels-Residential'!I6/'Energy (indirect)'!$D$7&lt;1,0,'Water levels-Residential'!I6/'Energy (indirect)'!$D$7)</f>
        <v>0</v>
      </c>
      <c r="J56" s="571">
        <f>IF('Water levels-Residential'!J6/'Energy (indirect)'!$D$7&lt;1,0,'Water levels-Residential'!J6/'Energy (indirect)'!$D$7)</f>
        <v>0</v>
      </c>
      <c r="K56" s="571">
        <f>IF('Water levels-Residential'!K6/'Energy (indirect)'!$D$7&lt;1,0,'Water levels-Residential'!K6/'Energy (indirect)'!$D$7)</f>
        <v>0</v>
      </c>
      <c r="L56" s="571">
        <f>IF('Water levels-Residential'!L6/'Energy (indirect)'!$D$7&lt;1,0,'Water levels-Residential'!L6/'Energy (indirect)'!$D$7)</f>
        <v>0</v>
      </c>
      <c r="M56" s="571">
        <f>IF('Water levels-Residential'!M6/'Energy (indirect)'!$D$7&lt;1,0,'Water levels-Residential'!M6/'Energy (indirect)'!$D$7)</f>
        <v>0</v>
      </c>
    </row>
    <row r="57" spans="3:13" ht="15">
      <c r="C57" s="209">
        <v>0.1</v>
      </c>
      <c r="D57" s="571">
        <f>IF('Water levels-Residential'!D7/'Energy (indirect)'!$D$7&lt;1,0,'Water levels-Residential'!D7/'Energy (indirect)'!$D$7)</f>
        <v>0</v>
      </c>
      <c r="E57" s="571">
        <f>IF('Water levels-Residential'!E7/'Energy (indirect)'!$D$7&lt;1,0,'Water levels-Residential'!E7/'Energy (indirect)'!$D$7)</f>
        <v>0</v>
      </c>
      <c r="F57" s="571">
        <f>IF('Water levels-Residential'!F7/'Energy (indirect)'!$D$7&lt;1,0,'Water levels-Residential'!F7/'Energy (indirect)'!$D$7)</f>
        <v>0</v>
      </c>
      <c r="G57" s="571">
        <f>IF('Water levels-Residential'!G7/'Energy (indirect)'!$D$7&lt;1,0,'Water levels-Residential'!G7/'Energy (indirect)'!$D$7)</f>
        <v>0</v>
      </c>
      <c r="H57" s="571">
        <f>IF('Water levels-Residential'!H7/'Energy (indirect)'!$D$7&lt;1,0,'Water levels-Residential'!H7/'Energy (indirect)'!$D$7)</f>
        <v>0</v>
      </c>
      <c r="I57" s="571">
        <f>IF('Water levels-Residential'!I7/'Energy (indirect)'!$D$7&lt;1,0,'Water levels-Residential'!I7/'Energy (indirect)'!$D$7)</f>
        <v>0</v>
      </c>
      <c r="J57" s="571">
        <f>IF('Water levels-Residential'!J7/'Energy (indirect)'!$D$7&lt;1,0,'Water levels-Residential'!J7/'Energy (indirect)'!$D$7)</f>
        <v>0</v>
      </c>
      <c r="K57" s="571">
        <f>IF('Water levels-Residential'!K7/'Energy (indirect)'!$D$7&lt;1,0,'Water levels-Residential'!K7/'Energy (indirect)'!$D$7)</f>
        <v>0</v>
      </c>
      <c r="L57" s="571">
        <f>IF('Water levels-Residential'!L7/'Energy (indirect)'!$D$7&lt;1,0,'Water levels-Residential'!L7/'Energy (indirect)'!$D$7)</f>
        <v>0</v>
      </c>
      <c r="M57" s="571">
        <f>IF('Water levels-Residential'!M7/'Energy (indirect)'!$D$7&lt;1,0,'Water levels-Residential'!M7/'Energy (indirect)'!$D$7)</f>
        <v>0</v>
      </c>
    </row>
    <row r="58" spans="3:13" ht="15">
      <c r="C58" s="209">
        <v>0.04</v>
      </c>
      <c r="D58" s="571">
        <f>IF('Water levels-Residential'!D8/'Energy (indirect)'!$D$7&lt;1,0,'Water levels-Residential'!D8/'Energy (indirect)'!$D$7)</f>
        <v>0</v>
      </c>
      <c r="E58" s="571">
        <f>IF('Water levels-Residential'!E8/'Energy (indirect)'!$D$7&lt;1,0,'Water levels-Residential'!E8/'Energy (indirect)'!$D$7)</f>
        <v>0</v>
      </c>
      <c r="F58" s="571">
        <f>IF('Water levels-Residential'!F8/'Energy (indirect)'!$D$7&lt;1,0,'Water levels-Residential'!F8/'Energy (indirect)'!$D$7)</f>
        <v>0</v>
      </c>
      <c r="G58" s="571">
        <f>IF('Water levels-Residential'!G8/'Energy (indirect)'!$D$7&lt;1,0,'Water levels-Residential'!G8/'Energy (indirect)'!$D$7)</f>
        <v>0</v>
      </c>
      <c r="H58" s="571">
        <f>IF('Water levels-Residential'!H8/'Energy (indirect)'!$D$7&lt;1,0,'Water levels-Residential'!H8/'Energy (indirect)'!$D$7)</f>
        <v>0</v>
      </c>
      <c r="I58" s="571">
        <f>IF('Water levels-Residential'!I8/'Energy (indirect)'!$D$7&lt;1,0,'Water levels-Residential'!I8/'Energy (indirect)'!$D$7)</f>
        <v>0</v>
      </c>
      <c r="J58" s="571">
        <f>IF('Water levels-Residential'!J8/'Energy (indirect)'!$D$7&lt;1,0,'Water levels-Residential'!J8/'Energy (indirect)'!$D$7)</f>
        <v>0</v>
      </c>
      <c r="K58" s="571">
        <f>IF('Water levels-Residential'!K8/'Energy (indirect)'!$D$7&lt;1,0,'Water levels-Residential'!K8/'Energy (indirect)'!$D$7)</f>
        <v>0</v>
      </c>
      <c r="L58" s="571">
        <f>IF('Water levels-Residential'!L8/'Energy (indirect)'!$D$7&lt;1,0,'Water levels-Residential'!L8/'Energy (indirect)'!$D$7)</f>
        <v>0</v>
      </c>
      <c r="M58" s="571">
        <f>IF('Water levels-Residential'!M8/'Energy (indirect)'!$D$7&lt;1,0,'Water levels-Residential'!M8/'Energy (indirect)'!$D$7)</f>
        <v>0</v>
      </c>
    </row>
    <row r="59" spans="3:13" ht="15">
      <c r="C59" s="209">
        <v>0.02</v>
      </c>
      <c r="D59" s="571">
        <f>IF('Water levels-Residential'!D9/'Energy (indirect)'!$D$7&lt;1,0,'Water levels-Residential'!D9/'Energy (indirect)'!$D$7)</f>
        <v>0</v>
      </c>
      <c r="E59" s="571">
        <f>IF('Water levels-Residential'!E9/'Energy (indirect)'!$D$7&lt;1,0,'Water levels-Residential'!E9/'Energy (indirect)'!$D$7)</f>
        <v>0</v>
      </c>
      <c r="F59" s="571">
        <f>IF('Water levels-Residential'!F9/'Energy (indirect)'!$D$7&lt;1,0,'Water levels-Residential'!F9/'Energy (indirect)'!$D$7)</f>
        <v>0</v>
      </c>
      <c r="G59" s="571">
        <f>IF('Water levels-Residential'!G9/'Energy (indirect)'!$D$7&lt;1,0,'Water levels-Residential'!G9/'Energy (indirect)'!$D$7)</f>
        <v>0</v>
      </c>
      <c r="H59" s="571">
        <f>IF('Water levels-Residential'!H9/'Energy (indirect)'!$D$7&lt;1,0,'Water levels-Residential'!H9/'Energy (indirect)'!$D$7)</f>
        <v>0</v>
      </c>
      <c r="I59" s="571">
        <f>IF('Water levels-Residential'!I9/'Energy (indirect)'!$D$7&lt;1,0,'Water levels-Residential'!I9/'Energy (indirect)'!$D$7)</f>
        <v>0</v>
      </c>
      <c r="J59" s="571">
        <f>IF('Water levels-Residential'!J9/'Energy (indirect)'!$D$7&lt;1,0,'Water levels-Residential'!J9/'Energy (indirect)'!$D$7)</f>
        <v>0</v>
      </c>
      <c r="K59" s="571">
        <f>IF('Water levels-Residential'!K9/'Energy (indirect)'!$D$7&lt;1,0,'Water levels-Residential'!K9/'Energy (indirect)'!$D$7)</f>
        <v>0</v>
      </c>
      <c r="L59" s="571">
        <f>IF('Water levels-Residential'!L9/'Energy (indirect)'!$D$7&lt;1,0,'Water levels-Residential'!L9/'Energy (indirect)'!$D$7)</f>
        <v>0</v>
      </c>
      <c r="M59" s="571">
        <f>IF('Water levels-Residential'!M9/'Energy (indirect)'!$D$7&lt;1,0,'Water levels-Residential'!M9/'Energy (indirect)'!$D$7)</f>
        <v>0</v>
      </c>
    </row>
    <row r="60" spans="3:13" ht="15">
      <c r="C60" s="411">
        <v>0.0133</v>
      </c>
      <c r="D60" s="571">
        <f>IF('Water levels-Residential'!D10/'Energy (indirect)'!$D$7&lt;1,0,'Water levels-Residential'!D10/'Energy (indirect)'!$D$7)</f>
        <v>0</v>
      </c>
      <c r="E60" s="571">
        <f>IF('Water levels-Residential'!E10/'Energy (indirect)'!$D$7&lt;1,0,'Water levels-Residential'!E10/'Energy (indirect)'!$D$7)</f>
        <v>0</v>
      </c>
      <c r="F60" s="571">
        <f>IF('Water levels-Residential'!F10/'Energy (indirect)'!$D$7&lt;1,0,'Water levels-Residential'!F10/'Energy (indirect)'!$D$7)</f>
        <v>0</v>
      </c>
      <c r="G60" s="571">
        <f>IF('Water levels-Residential'!G10/'Energy (indirect)'!$D$7&lt;1,0,'Water levels-Residential'!G10/'Energy (indirect)'!$D$7)</f>
        <v>0</v>
      </c>
      <c r="H60" s="571">
        <f>IF('Water levels-Residential'!H10/'Energy (indirect)'!$D$7&lt;1,0,'Water levels-Residential'!H10/'Energy (indirect)'!$D$7)</f>
        <v>0</v>
      </c>
      <c r="I60" s="571">
        <f>IF('Water levels-Residential'!I10/'Energy (indirect)'!$D$7&lt;1,0,'Water levels-Residential'!I10/'Energy (indirect)'!$D$7)</f>
        <v>0</v>
      </c>
      <c r="J60" s="571">
        <f>IF('Water levels-Residential'!J10/'Energy (indirect)'!$D$7&lt;1,0,'Water levels-Residential'!J10/'Energy (indirect)'!$D$7)</f>
        <v>0</v>
      </c>
      <c r="K60" s="571">
        <f>IF('Water levels-Residential'!K10/'Energy (indirect)'!$D$7&lt;1,0,'Water levels-Residential'!K10/'Energy (indirect)'!$D$7)</f>
        <v>0</v>
      </c>
      <c r="L60" s="571">
        <f>IF('Water levels-Residential'!L10/'Energy (indirect)'!$D$7&lt;1,0,'Water levels-Residential'!L10/'Energy (indirect)'!$D$7)</f>
        <v>0</v>
      </c>
      <c r="M60" s="571">
        <f>IF('Water levels-Residential'!M10/'Energy (indirect)'!$D$7&lt;1,0,'Water levels-Residential'!M10/'Energy (indirect)'!$D$7)</f>
        <v>0</v>
      </c>
    </row>
    <row r="61" spans="3:13" ht="15">
      <c r="C61" s="209">
        <v>0.01</v>
      </c>
      <c r="D61" s="571">
        <f>IF('Water levels-Residential'!D11/'Energy (indirect)'!$D$7&lt;1,0,'Water levels-Residential'!D11/'Energy (indirect)'!$D$7)</f>
        <v>0</v>
      </c>
      <c r="E61" s="571">
        <f>IF('Water levels-Residential'!E11/'Energy (indirect)'!$D$7&lt;1,0,'Water levels-Residential'!E11/'Energy (indirect)'!$D$7)</f>
        <v>0</v>
      </c>
      <c r="F61" s="571">
        <f>IF('Water levels-Residential'!F11/'Energy (indirect)'!$D$7&lt;1,0,'Water levels-Residential'!F11/'Energy (indirect)'!$D$7)</f>
        <v>0</v>
      </c>
      <c r="G61" s="571">
        <f>IF('Water levels-Residential'!G11/'Energy (indirect)'!$D$7&lt;1,0,'Water levels-Residential'!G11/'Energy (indirect)'!$D$7)</f>
        <v>0</v>
      </c>
      <c r="H61" s="571">
        <f>IF('Water levels-Residential'!H11/'Energy (indirect)'!$D$7&lt;1,0,'Water levels-Residential'!H11/'Energy (indirect)'!$D$7)</f>
        <v>0</v>
      </c>
      <c r="I61" s="571">
        <f>IF('Water levels-Residential'!I11/'Energy (indirect)'!$D$7&lt;1,0,'Water levels-Residential'!I11/'Energy (indirect)'!$D$7)</f>
        <v>0</v>
      </c>
      <c r="J61" s="571">
        <f>IF('Water levels-Residential'!J11/'Energy (indirect)'!$D$7&lt;1,0,'Water levels-Residential'!J11/'Energy (indirect)'!$D$7)</f>
        <v>0</v>
      </c>
      <c r="K61" s="571">
        <f>IF('Water levels-Residential'!K11/'Energy (indirect)'!$D$7&lt;1,0,'Water levels-Residential'!K11/'Energy (indirect)'!$D$7)</f>
        <v>0</v>
      </c>
      <c r="L61" s="571">
        <f>IF('Water levels-Residential'!L11/'Energy (indirect)'!$D$7&lt;1,0,'Water levels-Residential'!L11/'Energy (indirect)'!$D$7)</f>
        <v>0</v>
      </c>
      <c r="M61" s="571">
        <f>IF('Water levels-Residential'!M11/'Energy (indirect)'!$D$7&lt;1,0,'Water levels-Residential'!M11/'Energy (indirect)'!$D$7)</f>
        <v>0</v>
      </c>
    </row>
    <row r="62" spans="3:13" ht="15">
      <c r="C62" s="210">
        <v>0.005</v>
      </c>
      <c r="D62" s="571">
        <f>IF('Water levels-Residential'!D13/'Energy (indirect)'!$D$7&lt;1,0,'Water levels-Residential'!D13/'Energy (indirect)'!$D$7)</f>
        <v>0</v>
      </c>
      <c r="E62" s="571">
        <f>IF('Water levels-Residential'!E13/'Energy (indirect)'!$D$7&lt;1,0,'Water levels-Residential'!E13/'Energy (indirect)'!$D$7)</f>
        <v>0</v>
      </c>
      <c r="F62" s="571">
        <f>IF('Water levels-Residential'!F13/'Energy (indirect)'!$D$7&lt;1,0,'Water levels-Residential'!F13/'Energy (indirect)'!$D$7)</f>
        <v>0</v>
      </c>
      <c r="G62" s="571">
        <f>IF('Water levels-Residential'!G13/'Energy (indirect)'!$D$7&lt;1,0,'Water levels-Residential'!G13/'Energy (indirect)'!$D$7)</f>
        <v>0</v>
      </c>
      <c r="H62" s="571">
        <f>IF('Water levels-Residential'!H13/'Energy (indirect)'!$D$7&lt;1,0,'Water levels-Residential'!H13/'Energy (indirect)'!$D$7)</f>
        <v>0</v>
      </c>
      <c r="I62" s="571">
        <f>IF('Water levels-Residential'!I13/'Energy (indirect)'!$D$7&lt;1,0,'Water levels-Residential'!I13/'Energy (indirect)'!$D$7)</f>
        <v>0</v>
      </c>
      <c r="J62" s="571">
        <f>IF('Water levels-Residential'!J13/'Energy (indirect)'!$D$7&lt;1,0,'Water levels-Residential'!J13/'Energy (indirect)'!$D$7)</f>
        <v>0</v>
      </c>
      <c r="K62" s="571">
        <f>IF('Water levels-Residential'!K13/'Energy (indirect)'!$D$7&lt;1,0,'Water levels-Residential'!K13/'Energy (indirect)'!$D$7)</f>
        <v>0</v>
      </c>
      <c r="L62" s="571">
        <f>IF('Water levels-Residential'!L13/'Energy (indirect)'!$D$7&lt;1,0,'Water levels-Residential'!L13/'Energy (indirect)'!$D$7)</f>
        <v>0</v>
      </c>
      <c r="M62" s="571">
        <f>IF('Water levels-Residential'!M13/'Energy (indirect)'!$D$7&lt;1,0,'Water levels-Residential'!M13/'Energy (indirect)'!$D$7)</f>
        <v>0</v>
      </c>
    </row>
    <row r="63" spans="3:13" ht="15">
      <c r="C63" s="210">
        <v>0.001</v>
      </c>
      <c r="D63" s="571">
        <f>IF('Water levels-Residential'!D14/'Energy (indirect)'!$D$7&lt;1,0,'Water levels-Residential'!D14/'Energy (indirect)'!$D$7)</f>
        <v>0</v>
      </c>
      <c r="E63" s="571">
        <f>IF('Water levels-Residential'!E14/'Energy (indirect)'!$D$7&lt;1,0,'Water levels-Residential'!E14/'Energy (indirect)'!$D$7)</f>
        <v>0</v>
      </c>
      <c r="F63" s="571">
        <f>IF('Water levels-Residential'!F14/'Energy (indirect)'!$D$7&lt;1,0,'Water levels-Residential'!F14/'Energy (indirect)'!$D$7)</f>
        <v>0</v>
      </c>
      <c r="G63" s="571">
        <f>IF('Water levels-Residential'!G14/'Energy (indirect)'!$D$7&lt;1,0,'Water levels-Residential'!G14/'Energy (indirect)'!$D$7)</f>
        <v>0</v>
      </c>
      <c r="H63" s="571">
        <f>IF('Water levels-Residential'!H14/'Energy (indirect)'!$D$7&lt;1,0,'Water levels-Residential'!H14/'Energy (indirect)'!$D$7)</f>
        <v>0</v>
      </c>
      <c r="I63" s="571">
        <f>IF('Water levels-Residential'!I14/'Energy (indirect)'!$D$7&lt;1,0,'Water levels-Residential'!I14/'Energy (indirect)'!$D$7)</f>
        <v>0</v>
      </c>
      <c r="J63" s="571">
        <f>IF('Water levels-Residential'!J14/'Energy (indirect)'!$D$7&lt;1,0,'Water levels-Residential'!J14/'Energy (indirect)'!$D$7)</f>
        <v>0</v>
      </c>
      <c r="K63" s="571">
        <f>IF('Water levels-Residential'!K14/'Energy (indirect)'!$D$7&lt;1,0,'Water levels-Residential'!K14/'Energy (indirect)'!$D$7)</f>
        <v>0</v>
      </c>
      <c r="L63" s="571">
        <f>IF('Water levels-Residential'!L14/'Energy (indirect)'!$D$7&lt;1,0,'Water levels-Residential'!L14/'Energy (indirect)'!$D$7)</f>
        <v>0</v>
      </c>
      <c r="M63" s="571">
        <f>IF('Water levels-Residential'!M14/'Energy (indirect)'!$D$7&lt;1,0,'Water levels-Residential'!M14/'Energy (indirect)'!$D$7)</f>
        <v>0</v>
      </c>
    </row>
    <row r="65" spans="3:6" ht="15">
      <c r="C65" s="208"/>
      <c r="E65" s="161" t="s">
        <v>262</v>
      </c>
      <c r="F65" s="161" t="str">
        <f>"Number of "&amp;C66&amp;" whose risk changes due to changes in water levels"</f>
        <v>Number of HOMES whose risk changes due to changes in water levels</v>
      </c>
    </row>
    <row r="66" spans="3:13" ht="15">
      <c r="C66" s="208" t="s">
        <v>737</v>
      </c>
      <c r="D66" s="209">
        <v>1</v>
      </c>
      <c r="E66" s="209">
        <v>0.5</v>
      </c>
      <c r="F66" s="209">
        <v>0.2</v>
      </c>
      <c r="G66" s="209">
        <v>0.1</v>
      </c>
      <c r="H66" s="209">
        <v>0.04</v>
      </c>
      <c r="I66" s="209">
        <v>0.02</v>
      </c>
      <c r="J66" s="411">
        <v>0.0133</v>
      </c>
      <c r="K66" s="209">
        <v>0.01</v>
      </c>
      <c r="L66" s="210">
        <v>0.005</v>
      </c>
      <c r="M66" s="210">
        <v>0.001</v>
      </c>
    </row>
    <row r="67" spans="3:15" ht="15">
      <c r="C67" s="209">
        <v>1</v>
      </c>
      <c r="D67" s="571">
        <f aca="true" t="shared" si="0" ref="D67:D72">D15*$D$4*$D$9+D28*$D$5*$D$9+D41*$D$6*$D$9+D54*$D$7*$D$9</f>
        <v>0</v>
      </c>
      <c r="E67" s="571">
        <f aca="true" t="shared" si="1" ref="E67:M67">E15*$D$4*$D$9+E28*$D$5*$D$9+E41*$D$6*$D$9+E54*$D$7*$D$9</f>
        <v>0</v>
      </c>
      <c r="F67" s="571">
        <f t="shared" si="1"/>
        <v>0</v>
      </c>
      <c r="G67" s="571">
        <f t="shared" si="1"/>
        <v>0</v>
      </c>
      <c r="H67" s="571">
        <f t="shared" si="1"/>
        <v>0</v>
      </c>
      <c r="I67" s="571">
        <f t="shared" si="1"/>
        <v>0</v>
      </c>
      <c r="J67" s="571">
        <f t="shared" si="1"/>
        <v>0</v>
      </c>
      <c r="K67" s="571">
        <f t="shared" si="1"/>
        <v>0</v>
      </c>
      <c r="L67" s="571">
        <f t="shared" si="1"/>
        <v>0</v>
      </c>
      <c r="M67" s="571">
        <f t="shared" si="1"/>
        <v>0</v>
      </c>
      <c r="O67" s="161" t="s">
        <v>739</v>
      </c>
    </row>
    <row r="68" spans="3:13" ht="15">
      <c r="C68" s="209">
        <v>0.5</v>
      </c>
      <c r="D68" s="571">
        <f t="shared" si="0"/>
        <v>0</v>
      </c>
      <c r="E68" s="571">
        <f aca="true" t="shared" si="2" ref="E68:M68">E16*$D$4*$D$9+E29*$D$5*$D$9+E42*$D$6*$D$9+E55*$D$7*$D$9</f>
        <v>0</v>
      </c>
      <c r="F68" s="571">
        <f t="shared" si="2"/>
        <v>0</v>
      </c>
      <c r="G68" s="571">
        <f t="shared" si="2"/>
        <v>0</v>
      </c>
      <c r="H68" s="571">
        <f t="shared" si="2"/>
        <v>0</v>
      </c>
      <c r="I68" s="571">
        <f t="shared" si="2"/>
        <v>0</v>
      </c>
      <c r="J68" s="571">
        <f t="shared" si="2"/>
        <v>0</v>
      </c>
      <c r="K68" s="571">
        <f t="shared" si="2"/>
        <v>0</v>
      </c>
      <c r="L68" s="571">
        <f t="shared" si="2"/>
        <v>0</v>
      </c>
      <c r="M68" s="571">
        <f t="shared" si="2"/>
        <v>0</v>
      </c>
    </row>
    <row r="69" spans="3:15" ht="15">
      <c r="C69" s="209">
        <v>0.2</v>
      </c>
      <c r="D69" s="571">
        <f t="shared" si="0"/>
        <v>0</v>
      </c>
      <c r="E69" s="571">
        <f aca="true" t="shared" si="3" ref="E69:M69">E17*$D$4*$D$9+E30*$D$5*$D$9+E43*$D$6*$D$9+E56*$D$7*$D$9</f>
        <v>0</v>
      </c>
      <c r="F69" s="571">
        <f t="shared" si="3"/>
        <v>0</v>
      </c>
      <c r="G69" s="571">
        <f t="shared" si="3"/>
        <v>0</v>
      </c>
      <c r="H69" s="571">
        <f t="shared" si="3"/>
        <v>0</v>
      </c>
      <c r="I69" s="571">
        <f t="shared" si="3"/>
        <v>0</v>
      </c>
      <c r="J69" s="571">
        <f t="shared" si="3"/>
        <v>0</v>
      </c>
      <c r="K69" s="571">
        <f t="shared" si="3"/>
        <v>0</v>
      </c>
      <c r="L69" s="571">
        <f t="shared" si="3"/>
        <v>0</v>
      </c>
      <c r="M69" s="571">
        <f t="shared" si="3"/>
        <v>0</v>
      </c>
      <c r="O69" s="161" t="s">
        <v>972</v>
      </c>
    </row>
    <row r="70" spans="3:15" ht="15">
      <c r="C70" s="209">
        <v>0.1</v>
      </c>
      <c r="D70" s="571">
        <f t="shared" si="0"/>
        <v>0</v>
      </c>
      <c r="E70" s="571">
        <f aca="true" t="shared" si="4" ref="E70:M70">E18*$D$4*$D$9+E31*$D$5*$D$9+E44*$D$6*$D$9+E57*$D$7*$D$9</f>
        <v>0</v>
      </c>
      <c r="F70" s="571">
        <f t="shared" si="4"/>
        <v>0</v>
      </c>
      <c r="G70" s="571">
        <f t="shared" si="4"/>
        <v>0</v>
      </c>
      <c r="H70" s="571">
        <f t="shared" si="4"/>
        <v>0</v>
      </c>
      <c r="I70" s="571">
        <f t="shared" si="4"/>
        <v>0</v>
      </c>
      <c r="J70" s="571">
        <f t="shared" si="4"/>
        <v>0</v>
      </c>
      <c r="K70" s="571">
        <f t="shared" si="4"/>
        <v>0</v>
      </c>
      <c r="L70" s="571">
        <f t="shared" si="4"/>
        <v>0</v>
      </c>
      <c r="M70" s="571">
        <f t="shared" si="4"/>
        <v>0</v>
      </c>
      <c r="O70" s="161" t="s">
        <v>297</v>
      </c>
    </row>
    <row r="71" spans="3:15" ht="15">
      <c r="C71" s="209">
        <v>0.04</v>
      </c>
      <c r="D71" s="571">
        <f t="shared" si="0"/>
        <v>0</v>
      </c>
      <c r="E71" s="571">
        <f aca="true" t="shared" si="5" ref="E71:M71">E19*$D$4*$D$9+E32*$D$5*$D$9+E45*$D$6*$D$9+E58*$D$7*$D$9</f>
        <v>0</v>
      </c>
      <c r="F71" s="571">
        <f t="shared" si="5"/>
        <v>0</v>
      </c>
      <c r="G71" s="571">
        <f t="shared" si="5"/>
        <v>0</v>
      </c>
      <c r="H71" s="571">
        <f t="shared" si="5"/>
        <v>0</v>
      </c>
      <c r="I71" s="571">
        <f t="shared" si="5"/>
        <v>0</v>
      </c>
      <c r="J71" s="571">
        <f t="shared" si="5"/>
        <v>0</v>
      </c>
      <c r="K71" s="571">
        <f t="shared" si="5"/>
        <v>0</v>
      </c>
      <c r="L71" s="571">
        <f t="shared" si="5"/>
        <v>0</v>
      </c>
      <c r="M71" s="571">
        <f t="shared" si="5"/>
        <v>0</v>
      </c>
      <c r="O71" s="161" t="s">
        <v>973</v>
      </c>
    </row>
    <row r="72" spans="3:13" ht="15">
      <c r="C72" s="209">
        <v>0.02</v>
      </c>
      <c r="D72" s="571">
        <f t="shared" si="0"/>
        <v>0</v>
      </c>
      <c r="E72" s="571">
        <f aca="true" t="shared" si="6" ref="E72:M72">E20*$D$4*$D$9+E33*$D$5*$D$9+E46*$D$6*$D$9+E59*$D$7*$D$9</f>
        <v>0</v>
      </c>
      <c r="F72" s="571">
        <f t="shared" si="6"/>
        <v>0</v>
      </c>
      <c r="G72" s="571">
        <f t="shared" si="6"/>
        <v>0</v>
      </c>
      <c r="H72" s="571">
        <f t="shared" si="6"/>
        <v>0</v>
      </c>
      <c r="I72" s="571">
        <f t="shared" si="6"/>
        <v>0</v>
      </c>
      <c r="J72" s="571">
        <f t="shared" si="6"/>
        <v>0</v>
      </c>
      <c r="K72" s="571">
        <f t="shared" si="6"/>
        <v>0</v>
      </c>
      <c r="L72" s="571">
        <f t="shared" si="6"/>
        <v>0</v>
      </c>
      <c r="M72" s="571">
        <f t="shared" si="6"/>
        <v>0</v>
      </c>
    </row>
    <row r="73" spans="3:13" ht="15">
      <c r="C73" s="411">
        <v>0.0133</v>
      </c>
      <c r="D73" s="571">
        <f aca="true" t="shared" si="7" ref="D73:M76">D21*$D$4*$D$9+D34*$D$5*$D$9+D47*$D$6*$D$9+D60*$D$7*$D$9</f>
        <v>0</v>
      </c>
      <c r="E73" s="571">
        <f t="shared" si="7"/>
        <v>0</v>
      </c>
      <c r="F73" s="571">
        <f t="shared" si="7"/>
        <v>0</v>
      </c>
      <c r="G73" s="571">
        <f t="shared" si="7"/>
        <v>0</v>
      </c>
      <c r="H73" s="571">
        <f t="shared" si="7"/>
        <v>0</v>
      </c>
      <c r="I73" s="571">
        <f t="shared" si="7"/>
        <v>0</v>
      </c>
      <c r="J73" s="571">
        <f t="shared" si="7"/>
        <v>0</v>
      </c>
      <c r="K73" s="571">
        <f t="shared" si="7"/>
        <v>0</v>
      </c>
      <c r="L73" s="571">
        <f t="shared" si="7"/>
        <v>0</v>
      </c>
      <c r="M73" s="571">
        <f t="shared" si="7"/>
        <v>0</v>
      </c>
    </row>
    <row r="74" spans="3:13" ht="15">
      <c r="C74" s="209">
        <v>0.01</v>
      </c>
      <c r="D74" s="571">
        <f t="shared" si="7"/>
        <v>0</v>
      </c>
      <c r="E74" s="571">
        <f t="shared" si="7"/>
        <v>0</v>
      </c>
      <c r="F74" s="571">
        <f t="shared" si="7"/>
        <v>0</v>
      </c>
      <c r="G74" s="571">
        <f t="shared" si="7"/>
        <v>0</v>
      </c>
      <c r="H74" s="571">
        <f t="shared" si="7"/>
        <v>0</v>
      </c>
      <c r="I74" s="571">
        <f t="shared" si="7"/>
        <v>0</v>
      </c>
      <c r="J74" s="571">
        <f t="shared" si="7"/>
        <v>0</v>
      </c>
      <c r="K74" s="571">
        <f t="shared" si="7"/>
        <v>0</v>
      </c>
      <c r="L74" s="571">
        <f t="shared" si="7"/>
        <v>0</v>
      </c>
      <c r="M74" s="571">
        <f t="shared" si="7"/>
        <v>0</v>
      </c>
    </row>
    <row r="75" spans="3:13" ht="15">
      <c r="C75" s="210">
        <v>0.005</v>
      </c>
      <c r="D75" s="571">
        <f t="shared" si="7"/>
        <v>0</v>
      </c>
      <c r="E75" s="571">
        <f t="shared" si="7"/>
        <v>0</v>
      </c>
      <c r="F75" s="571">
        <f t="shared" si="7"/>
        <v>0</v>
      </c>
      <c r="G75" s="571">
        <f t="shared" si="7"/>
        <v>0</v>
      </c>
      <c r="H75" s="571">
        <f t="shared" si="7"/>
        <v>0</v>
      </c>
      <c r="I75" s="571">
        <f t="shared" si="7"/>
        <v>0</v>
      </c>
      <c r="J75" s="571">
        <f t="shared" si="7"/>
        <v>0</v>
      </c>
      <c r="K75" s="571">
        <f t="shared" si="7"/>
        <v>0</v>
      </c>
      <c r="L75" s="571">
        <f t="shared" si="7"/>
        <v>0</v>
      </c>
      <c r="M75" s="571">
        <f t="shared" si="7"/>
        <v>0</v>
      </c>
    </row>
    <row r="76" spans="3:13" ht="15">
      <c r="C76" s="210">
        <v>0.001</v>
      </c>
      <c r="D76" s="571">
        <f t="shared" si="7"/>
        <v>0</v>
      </c>
      <c r="E76" s="571">
        <f t="shared" si="7"/>
        <v>0</v>
      </c>
      <c r="F76" s="571">
        <f t="shared" si="7"/>
        <v>0</v>
      </c>
      <c r="G76" s="571">
        <f t="shared" si="7"/>
        <v>0</v>
      </c>
      <c r="H76" s="571">
        <f t="shared" si="7"/>
        <v>0</v>
      </c>
      <c r="I76" s="571">
        <f t="shared" si="7"/>
        <v>0</v>
      </c>
      <c r="J76" s="571">
        <f t="shared" si="7"/>
        <v>0</v>
      </c>
      <c r="K76" s="571">
        <f t="shared" si="7"/>
        <v>0</v>
      </c>
      <c r="L76" s="571">
        <f t="shared" si="7"/>
        <v>0</v>
      </c>
      <c r="M76" s="571">
        <f t="shared" si="7"/>
        <v>0</v>
      </c>
    </row>
    <row r="78" spans="3:6" ht="15">
      <c r="C78" s="208"/>
      <c r="E78" s="161" t="s">
        <v>262</v>
      </c>
      <c r="F78" s="161" t="str">
        <f>"Number of "&amp;A79&amp;" whose risk changes due to changes in water levels"</f>
        <v>Number of SMALL/MEDIUM SIZED BUSINESSES whose risk changes due to changes in water levels</v>
      </c>
    </row>
    <row r="79" spans="1:13" ht="27.75" customHeight="1">
      <c r="A79" s="722" t="s">
        <v>736</v>
      </c>
      <c r="B79" s="590"/>
      <c r="C79" s="590"/>
      <c r="D79" s="209">
        <v>1</v>
      </c>
      <c r="E79" s="209">
        <v>0.5</v>
      </c>
      <c r="F79" s="209">
        <v>0.2</v>
      </c>
      <c r="G79" s="209">
        <v>0.1</v>
      </c>
      <c r="H79" s="209">
        <v>0.04</v>
      </c>
      <c r="I79" s="209">
        <v>0.02</v>
      </c>
      <c r="J79" s="411">
        <v>0.0133</v>
      </c>
      <c r="K79" s="209">
        <v>0.01</v>
      </c>
      <c r="L79" s="210">
        <v>0.005</v>
      </c>
      <c r="M79" s="210">
        <v>0.001</v>
      </c>
    </row>
    <row r="80" spans="3:15" ht="15">
      <c r="C80" s="209">
        <v>1</v>
      </c>
      <c r="D80" s="571">
        <f>IF((D15*$D$4*$D$10+D28*$D$5*$D$10+D41*$D$6*$D$10+D54*$D$7*$D$10)&gt;'Water levels-Business'!D4*$H$10,'Water levels-Business'!D4*$H$10,D15*$D$4*$D$10+D28*$D$5*$D$10+D41*$D$6*$D$10+D54*$D$7*$D$10)</f>
        <v>0</v>
      </c>
      <c r="E80" s="571">
        <f>IF((E15*$D$4*$D$10+E28*$D$5*$D$10+E41*$D$6*$D$10+E54*$D$7*$D$10)&gt;'Water levels-Business'!E4*$H$10,'Water levels-Business'!E4*$H$10,E15*$D$4*$D$10+E28*$D$5*$D$10+E41*$D$6*$D$10+E54*$D$7*$D$10)</f>
        <v>0</v>
      </c>
      <c r="F80" s="571">
        <f>IF((F15*$D$4*$D$10+F28*$D$5*$D$10+F41*$D$6*$D$10+F54*$D$7*$D$10)&gt;'Water levels-Business'!F4*$H$10,'Water levels-Business'!F4*$H$10,F15*$D$4*$D$10+F28*$D$5*$D$10+F41*$D$6*$D$10+F54*$D$7*$D$10)</f>
        <v>0</v>
      </c>
      <c r="G80" s="571">
        <f>IF((G15*$D$4*$D$10+G28*$D$5*$D$10+G41*$D$6*$D$10+G54*$D$7*$D$10)&gt;'Water levels-Business'!G4*$H$10,'Water levels-Business'!G4*$H$10,G15*$D$4*$D$10+G28*$D$5*$D$10+G41*$D$6*$D$10+G54*$D$7*$D$10)</f>
        <v>0</v>
      </c>
      <c r="H80" s="571">
        <f>IF((H15*$D$4*$D$10+H28*$D$5*$D$10+H41*$D$6*$D$10+H54*$D$7*$D$10)&gt;'Water levels-Business'!H4*$H$10,'Water levels-Business'!H4*$H$10,H15*$D$4*$D$10+H28*$D$5*$D$10+H41*$D$6*$D$10+H54*$D$7*$D$10)</f>
        <v>0</v>
      </c>
      <c r="I80" s="571">
        <f>IF((I15*$D$4*$D$10+I28*$D$5*$D$10+I41*$D$6*$D$10+I54*$D$7*$D$10)&gt;'Water levels-Business'!I4*$H$10,'Water levels-Business'!I4*$H$10,I15*$D$4*$D$10+I28*$D$5*$D$10+I41*$D$6*$D$10+I54*$D$7*$D$10)</f>
        <v>0</v>
      </c>
      <c r="J80" s="571">
        <f>IF((J15*$D$4*$D$10+J28*$D$5*$D$10+J41*$D$6*$D$10+J54*$D$7*$D$10)&gt;'Water levels-Business'!J4*$H$10,'Water levels-Business'!J4*$H$10,J15*$D$4*$D$10+J28*$D$5*$D$10+J41*$D$6*$D$10+J54*$D$7*$D$10)</f>
        <v>0</v>
      </c>
      <c r="K80" s="571">
        <f>IF((K15*$D$4*$D$10+K28*$D$5*$D$10+K41*$D$6*$D$10+K54*$D$7*$D$10)&gt;'Water levels-Business'!K4*$H$10,'Water levels-Business'!K4*$H$10,K15*$D$4*$D$10+K28*$D$5*$D$10+K41*$D$6*$D$10+K54*$D$7*$D$10)</f>
        <v>0</v>
      </c>
      <c r="L80" s="571">
        <f>IF((L15*$D$4*$D$10+L28*$D$5*$D$10+L41*$D$6*$D$10+L54*$D$7*$D$10)&gt;'Water levels-Business'!L4*$H$10,'Water levels-Business'!L4*$H$10,L15*$D$4*$D$10+L28*$D$5*$D$10+L41*$D$6*$D$10+L54*$D$7*$D$10)</f>
        <v>0</v>
      </c>
      <c r="M80" s="571">
        <f>IF((M15*$D$4*$D$10+M28*$D$5*$D$10+M41*$D$6*$D$10+M54*$D$7*$D$10)&gt;'Water levels-Business'!M4*$H$10,'Water levels-Business'!M4*$H$10,M15*$D$4*$D$10+M28*$D$5*$D$10+M41*$D$6*$D$10+M54*$D$7*$D$10)</f>
        <v>0</v>
      </c>
      <c r="O80" s="161" t="s">
        <v>740</v>
      </c>
    </row>
    <row r="81" spans="3:13" ht="15">
      <c r="C81" s="209">
        <v>0.5</v>
      </c>
      <c r="D81" s="571">
        <f>IF((D16*$D$4*$D$10+D29*$D$5*$D$10+D42*$D$6*$D$10+D55*$D$7*$D$10)&gt;'Water levels-Business'!D5*$H$10,'Water levels-Business'!D5*$H$10,D16*$D$4*$D$10+D29*$D$5*$D$10+D42*$D$6*$D$10+D55*$D$7*$D$10)</f>
        <v>0</v>
      </c>
      <c r="E81" s="571">
        <f>IF((E16*$D$4*$D$10+E29*$D$5*$D$10+E42*$D$6*$D$10+E55*$D$7*$D$10)&gt;'Water levels-Business'!E5*$H$10,'Water levels-Business'!E5*$H$10,E16*$D$4*$D$10+E29*$D$5*$D$10+E42*$D$6*$D$10+E55*$D$7*$D$10)</f>
        <v>0</v>
      </c>
      <c r="F81" s="571">
        <f>IF((F16*$D$4*$D$10+F29*$D$5*$D$10+F42*$D$6*$D$10+F55*$D$7*$D$10)&gt;'Water levels-Business'!F5*$H$10,'Water levels-Business'!F5*$H$10,F16*$D$4*$D$10+F29*$D$5*$D$10+F42*$D$6*$D$10+F55*$D$7*$D$10)</f>
        <v>0</v>
      </c>
      <c r="G81" s="571">
        <f>IF((G16*$D$4*$D$10+G29*$D$5*$D$10+G42*$D$6*$D$10+G55*$D$7*$D$10)&gt;'Water levels-Business'!G5*$H$10,'Water levels-Business'!G5*$H$10,G16*$D$4*$D$10+G29*$D$5*$D$10+G42*$D$6*$D$10+G55*$D$7*$D$10)</f>
        <v>0</v>
      </c>
      <c r="H81" s="571">
        <f>IF((H16*$D$4*$D$10+H29*$D$5*$D$10+H42*$D$6*$D$10+H55*$D$7*$D$10)&gt;'Water levels-Business'!H5*$H$10,'Water levels-Business'!H5*$H$10,H16*$D$4*$D$10+H29*$D$5*$D$10+H42*$D$6*$D$10+H55*$D$7*$D$10)</f>
        <v>0</v>
      </c>
      <c r="I81" s="571">
        <f>IF((I16*$D$4*$D$10+I29*$D$5*$D$10+I42*$D$6*$D$10+I55*$D$7*$D$10)&gt;'Water levels-Business'!I5*$H$10,'Water levels-Business'!I5*$H$10,I16*$D$4*$D$10+I29*$D$5*$D$10+I42*$D$6*$D$10+I55*$D$7*$D$10)</f>
        <v>0</v>
      </c>
      <c r="J81" s="571">
        <f>IF((J16*$D$4*$D$10+J29*$D$5*$D$10+J42*$D$6*$D$10+J55*$D$7*$D$10)&gt;'Water levels-Business'!J5*$H$10,'Water levels-Business'!J5*$H$10,J16*$D$4*$D$10+J29*$D$5*$D$10+J42*$D$6*$D$10+J55*$D$7*$D$10)</f>
        <v>0</v>
      </c>
      <c r="K81" s="571">
        <f>IF((K16*$D$4*$D$10+K29*$D$5*$D$10+K42*$D$6*$D$10+K55*$D$7*$D$10)&gt;'Water levels-Business'!K5*$H$10,'Water levels-Business'!K5*$H$10,K16*$D$4*$D$10+K29*$D$5*$D$10+K42*$D$6*$D$10+K55*$D$7*$D$10)</f>
        <v>0</v>
      </c>
      <c r="L81" s="571">
        <f>IF((L16*$D$4*$D$10+L29*$D$5*$D$10+L42*$D$6*$D$10+L55*$D$7*$D$10)&gt;'Water levels-Business'!L5*$H$10,'Water levels-Business'!L5*$H$10,L16*$D$4*$D$10+L29*$D$5*$D$10+L42*$D$6*$D$10+L55*$D$7*$D$10)</f>
        <v>0</v>
      </c>
      <c r="M81" s="571">
        <f>IF((M16*$D$4*$D$10+M29*$D$5*$D$10+M42*$D$6*$D$10+M55*$D$7*$D$10)&gt;'Water levels-Business'!M5*$H$10,'Water levels-Business'!M5*$H$10,M16*$D$4*$D$10+M29*$D$5*$D$10+M42*$D$6*$D$10+M55*$D$7*$D$10)</f>
        <v>0</v>
      </c>
    </row>
    <row r="82" spans="3:15" ht="15">
      <c r="C82" s="209">
        <v>0.2</v>
      </c>
      <c r="D82" s="571">
        <f>IF((D17*$D$4*$D$10+D30*$D$5*$D$10+D43*$D$6*$D$10+D56*$D$7*$D$10)&gt;'Water levels-Business'!D6*$H$10,'Water levels-Business'!D6*$H$10,D17*$D$4*$D$10+D30*$D$5*$D$10+D43*$D$6*$D$10+D56*$D$7*$D$10)</f>
        <v>0</v>
      </c>
      <c r="E82" s="571">
        <f>IF((E17*$D$4*$D$10+E30*$D$5*$D$10+E43*$D$6*$D$10+E56*$D$7*$D$10)&gt;'Water levels-Business'!E6*$H$10,'Water levels-Business'!E6*$H$10,E17*$D$4*$D$10+E30*$D$5*$D$10+E43*$D$6*$D$10+E56*$D$7*$D$10)</f>
        <v>0</v>
      </c>
      <c r="F82" s="571">
        <f>IF((F17*$D$4*$D$10+F30*$D$5*$D$10+F43*$D$6*$D$10+F56*$D$7*$D$10)&gt;'Water levels-Business'!F6*$H$10,'Water levels-Business'!F6*$H$10,F17*$D$4*$D$10+F30*$D$5*$D$10+F43*$D$6*$D$10+F56*$D$7*$D$10)</f>
        <v>0</v>
      </c>
      <c r="G82" s="571">
        <f>IF((G17*$D$4*$D$10+G30*$D$5*$D$10+G43*$D$6*$D$10+G56*$D$7*$D$10)&gt;'Water levels-Business'!G6*$H$10,'Water levels-Business'!G6*$H$10,G17*$D$4*$D$10+G30*$D$5*$D$10+G43*$D$6*$D$10+G56*$D$7*$D$10)</f>
        <v>0</v>
      </c>
      <c r="H82" s="571">
        <f>IF((H17*$D$4*$D$10+H30*$D$5*$D$10+H43*$D$6*$D$10+H56*$D$7*$D$10)&gt;'Water levels-Business'!H6*$H$10,'Water levels-Business'!H6*$H$10,H17*$D$4*$D$10+H30*$D$5*$D$10+H43*$D$6*$D$10+H56*$D$7*$D$10)</f>
        <v>0</v>
      </c>
      <c r="I82" s="571">
        <f>IF((I17*$D$4*$D$10+I30*$D$5*$D$10+I43*$D$6*$D$10+I56*$D$7*$D$10)&gt;'Water levels-Business'!I6*$H$10,'Water levels-Business'!I6*$H$10,I17*$D$4*$D$10+I30*$D$5*$D$10+I43*$D$6*$D$10+I56*$D$7*$D$10)</f>
        <v>0</v>
      </c>
      <c r="J82" s="571">
        <f>IF((J17*$D$4*$D$10+J30*$D$5*$D$10+J43*$D$6*$D$10+J56*$D$7*$D$10)&gt;'Water levels-Business'!J6*$H$10,'Water levels-Business'!J6*$H$10,J17*$D$4*$D$10+J30*$D$5*$D$10+J43*$D$6*$D$10+J56*$D$7*$D$10)</f>
        <v>0</v>
      </c>
      <c r="K82" s="571">
        <f>IF((K17*$D$4*$D$10+K30*$D$5*$D$10+K43*$D$6*$D$10+K56*$D$7*$D$10)&gt;'Water levels-Business'!K6*$H$10,'Water levels-Business'!K6*$H$10,K17*$D$4*$D$10+K30*$D$5*$D$10+K43*$D$6*$D$10+K56*$D$7*$D$10)</f>
        <v>0</v>
      </c>
      <c r="L82" s="571">
        <f>IF((L17*$D$4*$D$10+L30*$D$5*$D$10+L43*$D$6*$D$10+L56*$D$7*$D$10)&gt;'Water levels-Business'!L6*$H$10,'Water levels-Business'!L6*$H$10,L17*$D$4*$D$10+L30*$D$5*$D$10+L43*$D$6*$D$10+L56*$D$7*$D$10)</f>
        <v>0</v>
      </c>
      <c r="M82" s="571">
        <f>IF((M17*$D$4*$D$10+M30*$D$5*$D$10+M43*$D$6*$D$10+M56*$D$7*$D$10)&gt;'Water levels-Business'!M6*$H$10,'Water levels-Business'!M6*$H$10,M17*$D$4*$D$10+M30*$D$5*$D$10+M43*$D$6*$D$10+M56*$D$7*$D$10)</f>
        <v>0</v>
      </c>
      <c r="O82" s="161" t="s">
        <v>974</v>
      </c>
    </row>
    <row r="83" spans="3:15" ht="15">
      <c r="C83" s="209">
        <v>0.1</v>
      </c>
      <c r="D83" s="571">
        <f>IF((D18*$D$4*$D$10+D31*$D$5*$D$10+D44*$D$6*$D$10+D57*$D$7*$D$10)&gt;'Water levels-Business'!D7*$H$10,'Water levels-Business'!D7*$H$10,D18*$D$4*$D$10+D31*$D$5*$D$10+D44*$D$6*$D$10+D57*$D$7*$D$10)</f>
        <v>0</v>
      </c>
      <c r="E83" s="571">
        <f>IF((E18*$D$4*$D$10+E31*$D$5*$D$10+E44*$D$6*$D$10+E57*$D$7*$D$10)&gt;'Water levels-Business'!E7*$H$10,'Water levels-Business'!E7*$H$10,E18*$D$4*$D$10+E31*$D$5*$D$10+E44*$D$6*$D$10+E57*$D$7*$D$10)</f>
        <v>0</v>
      </c>
      <c r="F83" s="571">
        <f>IF((F18*$D$4*$D$10+F31*$D$5*$D$10+F44*$D$6*$D$10+F57*$D$7*$D$10)&gt;'Water levels-Business'!F7*$H$10,'Water levels-Business'!F7*$H$10,F18*$D$4*$D$10+F31*$D$5*$D$10+F44*$D$6*$D$10+F57*$D$7*$D$10)</f>
        <v>0</v>
      </c>
      <c r="G83" s="571">
        <f>IF((G18*$D$4*$D$10+G31*$D$5*$D$10+G44*$D$6*$D$10+G57*$D$7*$D$10)&gt;'Water levels-Business'!G7*$H$10,'Water levels-Business'!G7*$H$10,G18*$D$4*$D$10+G31*$D$5*$D$10+G44*$D$6*$D$10+G57*$D$7*$D$10)</f>
        <v>0</v>
      </c>
      <c r="H83" s="571">
        <f>IF((H18*$D$4*$D$10+H31*$D$5*$D$10+H44*$D$6*$D$10+H57*$D$7*$D$10)&gt;'Water levels-Business'!H7*$H$10,'Water levels-Business'!H7*$H$10,H18*$D$4*$D$10+H31*$D$5*$D$10+H44*$D$6*$D$10+H57*$D$7*$D$10)</f>
        <v>0</v>
      </c>
      <c r="I83" s="571">
        <f>IF((I18*$D$4*$D$10+I31*$D$5*$D$10+I44*$D$6*$D$10+I57*$D$7*$D$10)&gt;'Water levels-Business'!I7*$H$10,'Water levels-Business'!I7*$H$10,I18*$D$4*$D$10+I31*$D$5*$D$10+I44*$D$6*$D$10+I57*$D$7*$D$10)</f>
        <v>0</v>
      </c>
      <c r="J83" s="571">
        <f>IF((J18*$D$4*$D$10+J31*$D$5*$D$10+J44*$D$6*$D$10+J57*$D$7*$D$10)&gt;'Water levels-Business'!J7*$H$10,'Water levels-Business'!J7*$H$10,J18*$D$4*$D$10+J31*$D$5*$D$10+J44*$D$6*$D$10+J57*$D$7*$D$10)</f>
        <v>0</v>
      </c>
      <c r="K83" s="571">
        <f>IF((K18*$D$4*$D$10+K31*$D$5*$D$10+K44*$D$6*$D$10+K57*$D$7*$D$10)&gt;'Water levels-Business'!K7*$H$10,'Water levels-Business'!K7*$H$10,K18*$D$4*$D$10+K31*$D$5*$D$10+K44*$D$6*$D$10+K57*$D$7*$D$10)</f>
        <v>0</v>
      </c>
      <c r="L83" s="571">
        <f>IF((L18*$D$4*$D$10+L31*$D$5*$D$10+L44*$D$6*$D$10+L57*$D$7*$D$10)&gt;'Water levels-Business'!L7*$H$10,'Water levels-Business'!L7*$H$10,L18*$D$4*$D$10+L31*$D$5*$D$10+L44*$D$6*$D$10+L57*$D$7*$D$10)</f>
        <v>0</v>
      </c>
      <c r="M83" s="571">
        <f>IF((M18*$D$4*$D$10+M31*$D$5*$D$10+M44*$D$6*$D$10+M57*$D$7*$D$10)&gt;'Water levels-Business'!M7*$H$10,'Water levels-Business'!M7*$H$10,M18*$D$4*$D$10+M31*$D$5*$D$10+M44*$D$6*$D$10+M57*$D$7*$D$10)</f>
        <v>0</v>
      </c>
      <c r="O83" s="161" t="s">
        <v>297</v>
      </c>
    </row>
    <row r="84" spans="3:15" ht="15">
      <c r="C84" s="209">
        <v>0.04</v>
      </c>
      <c r="D84" s="571">
        <f>IF((D19*$D$4*$D$10+D32*$D$5*$D$10+D45*$D$6*$D$10+D58*$D$7*$D$10)&gt;'Water levels-Business'!D8*$H$10,'Water levels-Business'!D8*$H$10,D19*$D$4*$D$10+D32*$D$5*$D$10+D45*$D$6*$D$10+D58*$D$7*$D$10)</f>
        <v>0</v>
      </c>
      <c r="E84" s="571">
        <f>IF((E19*$D$4*$D$10+E32*$D$5*$D$10+E45*$D$6*$D$10+E58*$D$7*$D$10)&gt;'Water levels-Business'!E8*$H$10,'Water levels-Business'!E8*$H$10,E19*$D$4*$D$10+E32*$D$5*$D$10+E45*$D$6*$D$10+E58*$D$7*$D$10)</f>
        <v>0</v>
      </c>
      <c r="F84" s="571">
        <f>IF((F19*$D$4*$D$10+F32*$D$5*$D$10+F45*$D$6*$D$10+F58*$D$7*$D$10)&gt;'Water levels-Business'!F8*$H$10,'Water levels-Business'!F8*$H$10,F19*$D$4*$D$10+F32*$D$5*$D$10+F45*$D$6*$D$10+F58*$D$7*$D$10)</f>
        <v>0</v>
      </c>
      <c r="G84" s="571">
        <f>IF((G19*$D$4*$D$10+G32*$D$5*$D$10+G45*$D$6*$D$10+G58*$D$7*$D$10)&gt;'Water levels-Business'!G8*$H$10,'Water levels-Business'!G8*$H$10,G19*$D$4*$D$10+G32*$D$5*$D$10+G45*$D$6*$D$10+G58*$D$7*$D$10)</f>
        <v>0</v>
      </c>
      <c r="H84" s="571">
        <f>IF((H19*$D$4*$D$10+H32*$D$5*$D$10+H45*$D$6*$D$10+H58*$D$7*$D$10)&gt;'Water levels-Business'!H8*$H$10,'Water levels-Business'!H8*$H$10,H19*$D$4*$D$10+H32*$D$5*$D$10+H45*$D$6*$D$10+H58*$D$7*$D$10)</f>
        <v>0</v>
      </c>
      <c r="I84" s="571">
        <f>IF((I19*$D$4*$D$10+I32*$D$5*$D$10+I45*$D$6*$D$10+I58*$D$7*$D$10)&gt;'Water levels-Business'!I8*$H$10,'Water levels-Business'!I8*$H$10,I19*$D$4*$D$10+I32*$D$5*$D$10+I45*$D$6*$D$10+I58*$D$7*$D$10)</f>
        <v>0</v>
      </c>
      <c r="J84" s="571">
        <f>IF((J19*$D$4*$D$10+J32*$D$5*$D$10+J45*$D$6*$D$10+J58*$D$7*$D$10)&gt;'Water levels-Business'!J8*$H$10,'Water levels-Business'!J8*$H$10,J19*$D$4*$D$10+J32*$D$5*$D$10+J45*$D$6*$D$10+J58*$D$7*$D$10)</f>
        <v>0</v>
      </c>
      <c r="K84" s="571">
        <f>IF((K19*$D$4*$D$10+K32*$D$5*$D$10+K45*$D$6*$D$10+K58*$D$7*$D$10)&gt;'Water levels-Business'!K8*$H$10,'Water levels-Business'!K8*$H$10,K19*$D$4*$D$10+K32*$D$5*$D$10+K45*$D$6*$D$10+K58*$D$7*$D$10)</f>
        <v>0</v>
      </c>
      <c r="L84" s="571">
        <f>IF((L19*$D$4*$D$10+L32*$D$5*$D$10+L45*$D$6*$D$10+L58*$D$7*$D$10)&gt;'Water levels-Business'!L8*$H$10,'Water levels-Business'!L8*$H$10,L19*$D$4*$D$10+L32*$D$5*$D$10+L45*$D$6*$D$10+L58*$D$7*$D$10)</f>
        <v>0</v>
      </c>
      <c r="M84" s="571">
        <f>IF((M19*$D$4*$D$10+M32*$D$5*$D$10+M45*$D$6*$D$10+M58*$D$7*$D$10)&gt;'Water levels-Business'!M8*$H$10,'Water levels-Business'!M8*$H$10,M19*$D$4*$D$10+M32*$D$5*$D$10+M45*$D$6*$D$10+M58*$D$7*$D$10)</f>
        <v>0</v>
      </c>
      <c r="O84" s="161" t="s">
        <v>975</v>
      </c>
    </row>
    <row r="85" spans="3:13" ht="15">
      <c r="C85" s="209">
        <v>0.02</v>
      </c>
      <c r="D85" s="571">
        <f>IF((D20*$D$4*$D$10+D33*$D$5*$D$10+D46*$D$6*$D$10+D59*$D$7*$D$10)&gt;'Water levels-Business'!D9*$H$10,'Water levels-Business'!D9*$H$10,D20*$D$4*$D$10+D33*$D$5*$D$10+D46*$D$6*$D$10+D59*$D$7*$D$10)</f>
        <v>0</v>
      </c>
      <c r="E85" s="571">
        <f>IF((E20*$D$4*$D$10+E33*$D$5*$D$10+E46*$D$6*$D$10+E59*$D$7*$D$10)&gt;'Water levels-Business'!E9*$H$10,'Water levels-Business'!E9*$H$10,E20*$D$4*$D$10+E33*$D$5*$D$10+E46*$D$6*$D$10+E59*$D$7*$D$10)</f>
        <v>0</v>
      </c>
      <c r="F85" s="571">
        <f>IF((F20*$D$4*$D$10+F33*$D$5*$D$10+F46*$D$6*$D$10+F59*$D$7*$D$10)&gt;'Water levels-Business'!F9*$H$10,'Water levels-Business'!F9*$H$10,F20*$D$4*$D$10+F33*$D$5*$D$10+F46*$D$6*$D$10+F59*$D$7*$D$10)</f>
        <v>0</v>
      </c>
      <c r="G85" s="571">
        <f>IF((G20*$D$4*$D$10+G33*$D$5*$D$10+G46*$D$6*$D$10+G59*$D$7*$D$10)&gt;'Water levels-Business'!G9*$H$10,'Water levels-Business'!G9*$H$10,G20*$D$4*$D$10+G33*$D$5*$D$10+G46*$D$6*$D$10+G59*$D$7*$D$10)</f>
        <v>0</v>
      </c>
      <c r="H85" s="571">
        <f>IF((H20*$D$4*$D$10+H33*$D$5*$D$10+H46*$D$6*$D$10+H59*$D$7*$D$10)&gt;'Water levels-Business'!H9*$H$10,'Water levels-Business'!H9*$H$10,H20*$D$4*$D$10+H33*$D$5*$D$10+H46*$D$6*$D$10+H59*$D$7*$D$10)</f>
        <v>0</v>
      </c>
      <c r="I85" s="571">
        <f>IF((I20*$D$4*$D$10+I33*$D$5*$D$10+I46*$D$6*$D$10+I59*$D$7*$D$10)&gt;'Water levels-Business'!I9*$H$10,'Water levels-Business'!I9*$H$10,I20*$D$4*$D$10+I33*$D$5*$D$10+I46*$D$6*$D$10+I59*$D$7*$D$10)</f>
        <v>0</v>
      </c>
      <c r="J85" s="571">
        <f>IF((J20*$D$4*$D$10+J33*$D$5*$D$10+J46*$D$6*$D$10+J59*$D$7*$D$10)&gt;'Water levels-Business'!J9*$H$10,'Water levels-Business'!J9*$H$10,J20*$D$4*$D$10+J33*$D$5*$D$10+J46*$D$6*$D$10+J59*$D$7*$D$10)</f>
        <v>0</v>
      </c>
      <c r="K85" s="571">
        <f>IF((K20*$D$4*$D$10+K33*$D$5*$D$10+K46*$D$6*$D$10+K59*$D$7*$D$10)&gt;'Water levels-Business'!K9*$H$10,'Water levels-Business'!K9*$H$10,K20*$D$4*$D$10+K33*$D$5*$D$10+K46*$D$6*$D$10+K59*$D$7*$D$10)</f>
        <v>0</v>
      </c>
      <c r="L85" s="571">
        <f>IF((L20*$D$4*$D$10+L33*$D$5*$D$10+L46*$D$6*$D$10+L59*$D$7*$D$10)&gt;'Water levels-Business'!L9*$H$10,'Water levels-Business'!L9*$H$10,L20*$D$4*$D$10+L33*$D$5*$D$10+L46*$D$6*$D$10+L59*$D$7*$D$10)</f>
        <v>0</v>
      </c>
      <c r="M85" s="571">
        <f>IF((M20*$D$4*$D$10+M33*$D$5*$D$10+M46*$D$6*$D$10+M59*$D$7*$D$10)&gt;'Water levels-Business'!M9*$H$10,'Water levels-Business'!M9*$H$10,M20*$D$4*$D$10+M33*$D$5*$D$10+M46*$D$6*$D$10+M59*$D$7*$D$10)</f>
        <v>0</v>
      </c>
    </row>
    <row r="86" spans="3:13" ht="15">
      <c r="C86" s="411">
        <v>0.0133</v>
      </c>
      <c r="D86" s="571">
        <f>IF((D21*$D$4*$D$10+D34*$D$5*$D$10+D47*$D$6*$D$10+D60*$D$7*$D$10)&gt;'Water levels-Business'!D10*$H$10,'Water levels-Business'!D10*$H$10,D21*$D$4*$D$10+D34*$D$5*$D$10+D47*$D$6*$D$10+D60*$D$7*$D$10)</f>
        <v>0</v>
      </c>
      <c r="E86" s="571">
        <f>IF((E21*$D$4*$D$10+E34*$D$5*$D$10+E47*$D$6*$D$10+E60*$D$7*$D$10)&gt;'Water levels-Business'!E10*$H$10,'Water levels-Business'!E10*$H$10,E21*$D$4*$D$10+E34*$D$5*$D$10+E47*$D$6*$D$10+E60*$D$7*$D$10)</f>
        <v>0</v>
      </c>
      <c r="F86" s="571">
        <f>IF((F21*$D$4*$D$10+F34*$D$5*$D$10+F47*$D$6*$D$10+F60*$D$7*$D$10)&gt;'Water levels-Business'!F10*$H$10,'Water levels-Business'!F10*$H$10,F21*$D$4*$D$10+F34*$D$5*$D$10+F47*$D$6*$D$10+F60*$D$7*$D$10)</f>
        <v>0</v>
      </c>
      <c r="G86" s="571">
        <f>IF((G21*$D$4*$D$10+G34*$D$5*$D$10+G47*$D$6*$D$10+G60*$D$7*$D$10)&gt;'Water levels-Business'!G10*$H$10,'Water levels-Business'!G10*$H$10,G21*$D$4*$D$10+G34*$D$5*$D$10+G47*$D$6*$D$10+G60*$D$7*$D$10)</f>
        <v>0</v>
      </c>
      <c r="H86" s="571">
        <f>IF((H21*$D$4*$D$10+H34*$D$5*$D$10+H47*$D$6*$D$10+H60*$D$7*$D$10)&gt;'Water levels-Business'!H10*$H$10,'Water levels-Business'!H10*$H$10,H21*$D$4*$D$10+H34*$D$5*$D$10+H47*$D$6*$D$10+H60*$D$7*$D$10)</f>
        <v>0</v>
      </c>
      <c r="I86" s="571">
        <f>IF((I21*$D$4*$D$10+I34*$D$5*$D$10+I47*$D$6*$D$10+I60*$D$7*$D$10)&gt;'Water levels-Business'!I10*$H$10,'Water levels-Business'!I10*$H$10,I21*$D$4*$D$10+I34*$D$5*$D$10+I47*$D$6*$D$10+I60*$D$7*$D$10)</f>
        <v>0</v>
      </c>
      <c r="J86" s="571">
        <f>IF((J21*$D$4*$D$10+J34*$D$5*$D$10+J47*$D$6*$D$10+J60*$D$7*$D$10)&gt;'Water levels-Business'!J10*$H$10,'Water levels-Business'!J10*$H$10,J21*$D$4*$D$10+J34*$D$5*$D$10+J47*$D$6*$D$10+J60*$D$7*$D$10)</f>
        <v>0</v>
      </c>
      <c r="K86" s="571">
        <f>IF((K21*$D$4*$D$10+K34*$D$5*$D$10+K47*$D$6*$D$10+K60*$D$7*$D$10)&gt;'Water levels-Business'!K10*$H$10,'Water levels-Business'!K10*$H$10,K21*$D$4*$D$10+K34*$D$5*$D$10+K47*$D$6*$D$10+K60*$D$7*$D$10)</f>
        <v>0</v>
      </c>
      <c r="L86" s="571">
        <f>IF((L21*$D$4*$D$10+L34*$D$5*$D$10+L47*$D$6*$D$10+L60*$D$7*$D$10)&gt;'Water levels-Business'!L10*$H$10,'Water levels-Business'!L10*$H$10,L21*$D$4*$D$10+L34*$D$5*$D$10+L47*$D$6*$D$10+L60*$D$7*$D$10)</f>
        <v>0</v>
      </c>
      <c r="M86" s="571">
        <f>IF((M21*$D$4*$D$10+M34*$D$5*$D$10+M47*$D$6*$D$10+M60*$D$7*$D$10)&gt;'Water levels-Business'!M10*$H$10,'Water levels-Business'!M10*$H$10,M21*$D$4*$D$10+M34*$D$5*$D$10+M47*$D$6*$D$10+M60*$D$7*$D$10)</f>
        <v>0</v>
      </c>
    </row>
    <row r="87" spans="3:13" ht="15">
      <c r="C87" s="209">
        <v>0.01</v>
      </c>
      <c r="D87" s="571">
        <f>IF((D22*$D$4*$D$10+D35*$D$5*$D$10+D48*$D$6*$D$10+D61*$D$7*$D$10)&gt;'Water levels-Business'!D11*$H$10,'Water levels-Business'!D11*$H$10,D22*$D$4*$D$10+D35*$D$5*$D$10+D48*$D$6*$D$10+D61*$D$7*$D$10)</f>
        <v>0</v>
      </c>
      <c r="E87" s="571">
        <f>IF((E22*$D$4*$D$10+E35*$D$5*$D$10+E48*$D$6*$D$10+E61*$D$7*$D$10)&gt;'Water levels-Business'!E11*$H$10,'Water levels-Business'!E11*$H$10,E22*$D$4*$D$10+E35*$D$5*$D$10+E48*$D$6*$D$10+E61*$D$7*$D$10)</f>
        <v>0</v>
      </c>
      <c r="F87" s="571">
        <f>IF((F22*$D$4*$D$10+F35*$D$5*$D$10+F48*$D$6*$D$10+F61*$D$7*$D$10)&gt;'Water levels-Business'!F11*$H$10,'Water levels-Business'!F11*$H$10,F22*$D$4*$D$10+F35*$D$5*$D$10+F48*$D$6*$D$10+F61*$D$7*$D$10)</f>
        <v>0</v>
      </c>
      <c r="G87" s="571">
        <f>IF((G22*$D$4*$D$10+G35*$D$5*$D$10+G48*$D$6*$D$10+G61*$D$7*$D$10)&gt;'Water levels-Business'!G11*$H$10,'Water levels-Business'!G11*$H$10,G22*$D$4*$D$10+G35*$D$5*$D$10+G48*$D$6*$D$10+G61*$D$7*$D$10)</f>
        <v>0</v>
      </c>
      <c r="H87" s="571">
        <f>IF((H22*$D$4*$D$10+H35*$D$5*$D$10+H48*$D$6*$D$10+H61*$D$7*$D$10)&gt;'Water levels-Business'!H11*$H$10,'Water levels-Business'!H11*$H$10,H22*$D$4*$D$10+H35*$D$5*$D$10+H48*$D$6*$D$10+H61*$D$7*$D$10)</f>
        <v>0</v>
      </c>
      <c r="I87" s="571">
        <f>IF((I22*$D$4*$D$10+I35*$D$5*$D$10+I48*$D$6*$D$10+I61*$D$7*$D$10)&gt;'Water levels-Business'!I11*$H$10,'Water levels-Business'!I11*$H$10,I22*$D$4*$D$10+I35*$D$5*$D$10+I48*$D$6*$D$10+I61*$D$7*$D$10)</f>
        <v>0</v>
      </c>
      <c r="J87" s="571">
        <f>IF((J22*$D$4*$D$10+J35*$D$5*$D$10+J48*$D$6*$D$10+J61*$D$7*$D$10)&gt;'Water levels-Business'!J11*$H$10,'Water levels-Business'!J11*$H$10,J22*$D$4*$D$10+J35*$D$5*$D$10+J48*$D$6*$D$10+J61*$D$7*$D$10)</f>
        <v>0</v>
      </c>
      <c r="K87" s="571">
        <f>IF((K22*$D$4*$D$10+K35*$D$5*$D$10+K48*$D$6*$D$10+K61*$D$7*$D$10)&gt;'Water levels-Business'!K11*$H$10,'Water levels-Business'!K11*$H$10,K22*$D$4*$D$10+K35*$D$5*$D$10+K48*$D$6*$D$10+K61*$D$7*$D$10)</f>
        <v>0</v>
      </c>
      <c r="L87" s="571">
        <f>IF((L22*$D$4*$D$10+L35*$D$5*$D$10+L48*$D$6*$D$10+L61*$D$7*$D$10)&gt;'Water levels-Business'!L11*$H$10,'Water levels-Business'!L11*$H$10,L22*$D$4*$D$10+L35*$D$5*$D$10+L48*$D$6*$D$10+L61*$D$7*$D$10)</f>
        <v>0</v>
      </c>
      <c r="M87" s="571">
        <f>IF((M22*$D$4*$D$10+M35*$D$5*$D$10+M48*$D$6*$D$10+M61*$D$7*$D$10)&gt;'Water levels-Business'!M11*$H$10,'Water levels-Business'!M11*$H$10,M22*$D$4*$D$10+M35*$D$5*$D$10+M48*$D$6*$D$10+M61*$D$7*$D$10)</f>
        <v>0</v>
      </c>
    </row>
    <row r="88" spans="3:13" ht="15">
      <c r="C88" s="210">
        <v>0.005</v>
      </c>
      <c r="D88" s="571">
        <f>IF((D23*$D$4*$D$10+D36*$D$5*$D$10+D49*$D$6*$D$10+D62*$D$7*$D$10)&gt;'Water levels-Business'!D12*$H$10,'Water levels-Business'!D12*$H$10,D23*$D$4*$D$10+D36*$D$5*$D$10+D49*$D$6*$D$10+D62*$D$7*$D$10)</f>
        <v>0</v>
      </c>
      <c r="E88" s="571">
        <f>IF((E23*$D$4*$D$10+E36*$D$5*$D$10+E49*$D$6*$D$10+E62*$D$7*$D$10)&gt;'Water levels-Business'!E12*$H$10,'Water levels-Business'!E12*$H$10,E23*$D$4*$D$10+E36*$D$5*$D$10+E49*$D$6*$D$10+E62*$D$7*$D$10)</f>
        <v>0</v>
      </c>
      <c r="F88" s="571">
        <f>IF((F23*$D$4*$D$10+F36*$D$5*$D$10+F49*$D$6*$D$10+F62*$D$7*$D$10)&gt;'Water levels-Business'!F12*$H$10,'Water levels-Business'!F12*$H$10,F23*$D$4*$D$10+F36*$D$5*$D$10+F49*$D$6*$D$10+F62*$D$7*$D$10)</f>
        <v>0</v>
      </c>
      <c r="G88" s="571">
        <f>IF((G23*$D$4*$D$10+G36*$D$5*$D$10+G49*$D$6*$D$10+G62*$D$7*$D$10)&gt;'Water levels-Business'!G12*$H$10,'Water levels-Business'!G12*$H$10,G23*$D$4*$D$10+G36*$D$5*$D$10+G49*$D$6*$D$10+G62*$D$7*$D$10)</f>
        <v>0</v>
      </c>
      <c r="H88" s="571">
        <f>IF((H23*$D$4*$D$10+H36*$D$5*$D$10+H49*$D$6*$D$10+H62*$D$7*$D$10)&gt;'Water levels-Business'!H12*$H$10,'Water levels-Business'!H12*$H$10,H23*$D$4*$D$10+H36*$D$5*$D$10+H49*$D$6*$D$10+H62*$D$7*$D$10)</f>
        <v>0</v>
      </c>
      <c r="I88" s="571">
        <f>IF((I23*$D$4*$D$10+I36*$D$5*$D$10+I49*$D$6*$D$10+I62*$D$7*$D$10)&gt;'Water levels-Business'!I12*$H$10,'Water levels-Business'!I12*$H$10,I23*$D$4*$D$10+I36*$D$5*$D$10+I49*$D$6*$D$10+I62*$D$7*$D$10)</f>
        <v>0</v>
      </c>
      <c r="J88" s="571">
        <f>IF((J23*$D$4*$D$10+J36*$D$5*$D$10+J49*$D$6*$D$10+J62*$D$7*$D$10)&gt;'Water levels-Business'!J12*$H$10,'Water levels-Business'!J12*$H$10,J23*$D$4*$D$10+J36*$D$5*$D$10+J49*$D$6*$D$10+J62*$D$7*$D$10)</f>
        <v>0</v>
      </c>
      <c r="K88" s="571">
        <f>IF((K23*$D$4*$D$10+K36*$D$5*$D$10+K49*$D$6*$D$10+K62*$D$7*$D$10)&gt;'Water levels-Business'!K12*$H$10,'Water levels-Business'!K12*$H$10,K23*$D$4*$D$10+K36*$D$5*$D$10+K49*$D$6*$D$10+K62*$D$7*$D$10)</f>
        <v>0</v>
      </c>
      <c r="L88" s="571">
        <f>IF((L23*$D$4*$D$10+L36*$D$5*$D$10+L49*$D$6*$D$10+L62*$D$7*$D$10)&gt;'Water levels-Business'!L12*$H$10,'Water levels-Business'!L12*$H$10,L23*$D$4*$D$10+L36*$D$5*$D$10+L49*$D$6*$D$10+L62*$D$7*$D$10)</f>
        <v>0</v>
      </c>
      <c r="M88" s="571">
        <f>IF((M23*$D$4*$D$10+M36*$D$5*$D$10+M49*$D$6*$D$10+M62*$D$7*$D$10)&gt;'Water levels-Business'!M12*$H$10,'Water levels-Business'!M12*$H$10,M23*$D$4*$D$10+M36*$D$5*$D$10+M49*$D$6*$D$10+M62*$D$7*$D$10)</f>
        <v>0</v>
      </c>
    </row>
    <row r="89" spans="3:13" ht="15">
      <c r="C89" s="210">
        <v>0.001</v>
      </c>
      <c r="D89" s="571">
        <f>IF((D24*$D$4*$D$10+D37*$D$5*$D$10+D50*$D$6*$D$10+D63*$D$7*$D$10)&gt;'Water levels-Business'!D13*$H$10,'Water levels-Business'!D13*$H$10,D24*$D$4*$D$10+D37*$D$5*$D$10+D50*$D$6*$D$10+D63*$D$7*$D$10)</f>
        <v>0</v>
      </c>
      <c r="E89" s="571">
        <f>IF((E24*$D$4*$D$10+E37*$D$5*$D$10+E50*$D$6*$D$10+E63*$D$7*$D$10)&gt;'Water levels-Business'!E13*$H$10,'Water levels-Business'!E13*$H$10,E24*$D$4*$D$10+E37*$D$5*$D$10+E50*$D$6*$D$10+E63*$D$7*$D$10)</f>
        <v>0</v>
      </c>
      <c r="F89" s="571">
        <f>IF((F24*$D$4*$D$10+F37*$D$5*$D$10+F50*$D$6*$D$10+F63*$D$7*$D$10)&gt;'Water levels-Business'!F13*$H$10,'Water levels-Business'!F13*$H$10,F24*$D$4*$D$10+F37*$D$5*$D$10+F50*$D$6*$D$10+F63*$D$7*$D$10)</f>
        <v>0</v>
      </c>
      <c r="G89" s="571">
        <f>IF((G24*$D$4*$D$10+G37*$D$5*$D$10+G50*$D$6*$D$10+G63*$D$7*$D$10)&gt;'Water levels-Business'!G13*$H$10,'Water levels-Business'!G13*$H$10,G24*$D$4*$D$10+G37*$D$5*$D$10+G50*$D$6*$D$10+G63*$D$7*$D$10)</f>
        <v>0</v>
      </c>
      <c r="H89" s="571">
        <f>IF((H24*$D$4*$D$10+H37*$D$5*$D$10+H50*$D$6*$D$10+H63*$D$7*$D$10)&gt;'Water levels-Business'!H13*$H$10,'Water levels-Business'!H13*$H$10,H24*$D$4*$D$10+H37*$D$5*$D$10+H50*$D$6*$D$10+H63*$D$7*$D$10)</f>
        <v>0</v>
      </c>
      <c r="I89" s="571">
        <f>IF((I24*$D$4*$D$10+I37*$D$5*$D$10+I50*$D$6*$D$10+I63*$D$7*$D$10)&gt;'Water levels-Business'!I13*$H$10,'Water levels-Business'!I13*$H$10,I24*$D$4*$D$10+I37*$D$5*$D$10+I50*$D$6*$D$10+I63*$D$7*$D$10)</f>
        <v>0</v>
      </c>
      <c r="J89" s="571">
        <f>IF((J24*$D$4*$D$10+J37*$D$5*$D$10+J50*$D$6*$D$10+J63*$D$7*$D$10)&gt;'Water levels-Business'!J13*$H$10,'Water levels-Business'!J13*$H$10,J24*$D$4*$D$10+J37*$D$5*$D$10+J50*$D$6*$D$10+J63*$D$7*$D$10)</f>
        <v>0</v>
      </c>
      <c r="K89" s="571">
        <f>IF((K24*$D$4*$D$10+K37*$D$5*$D$10+K50*$D$6*$D$10+K63*$D$7*$D$10)&gt;'Water levels-Business'!K13*$H$10,'Water levels-Business'!K13*$H$10,K24*$D$4*$D$10+K37*$D$5*$D$10+K50*$D$6*$D$10+K63*$D$7*$D$10)</f>
        <v>0</v>
      </c>
      <c r="L89" s="571">
        <f>IF((L24*$D$4*$D$10+L37*$D$5*$D$10+L50*$D$6*$D$10+L63*$D$7*$D$10)&gt;'Water levels-Business'!L13*$H$10,'Water levels-Business'!L13*$H$10,L24*$D$4*$D$10+L37*$D$5*$D$10+L50*$D$6*$D$10+L63*$D$7*$D$10)</f>
        <v>0</v>
      </c>
      <c r="M89" s="571">
        <f>IF((M24*$D$4*$D$10+M37*$D$5*$D$10+M50*$D$6*$D$10+M63*$D$7*$D$10)&gt;'Water levels-Business'!M13*$H$10,'Water levels-Business'!M13*$H$10,M24*$D$4*$D$10+M37*$D$5*$D$10+M50*$D$6*$D$10+M63*$D$7*$D$10)</f>
        <v>0</v>
      </c>
    </row>
    <row r="91" spans="3:6" ht="15">
      <c r="C91" s="334"/>
      <c r="E91" s="161" t="s">
        <v>262</v>
      </c>
      <c r="F91" s="161" t="str">
        <f>"Number of "&amp;C92&amp;" whose risk changes due to changes in water levels"</f>
        <v>Number of LARGE BUSINESSES whose risk changes due to changes in water levels</v>
      </c>
    </row>
    <row r="92" spans="3:13" ht="15">
      <c r="C92" s="334" t="s">
        <v>738</v>
      </c>
      <c r="D92" s="209">
        <v>1</v>
      </c>
      <c r="E92" s="209">
        <v>0.5</v>
      </c>
      <c r="F92" s="209">
        <v>0.2</v>
      </c>
      <c r="G92" s="209">
        <v>0.1</v>
      </c>
      <c r="H92" s="209">
        <v>0.04</v>
      </c>
      <c r="I92" s="209">
        <v>0.02</v>
      </c>
      <c r="J92" s="411">
        <v>0.0133</v>
      </c>
      <c r="K92" s="209">
        <v>0.01</v>
      </c>
      <c r="L92" s="210">
        <v>0.005</v>
      </c>
      <c r="M92" s="210">
        <v>0.001</v>
      </c>
    </row>
    <row r="93" spans="3:15" ht="15">
      <c r="C93" s="209">
        <v>1</v>
      </c>
      <c r="D93" s="571">
        <f>IF((D28*$D$4*$D$11+D41*$D$5*$D$11+D54*$D$6*$D$11+D67*$D$7*$D$11)&gt;'Water levels-Business'!D4*$H$11,'Water levels-Business'!D4*$H$11,D28*$D$4*$D$11+D41*$D$5*$D$11+D54*$D$6*$D$11+D67*$D$7*$D$11)</f>
        <v>0</v>
      </c>
      <c r="E93" s="571">
        <f>IF((E28*$D$4*$D$11+E41*$D$5*$D$11+E54*$D$6*$D$11+E67*$D$7*$D$11)&gt;'Water levels-Business'!E4*$H$11,'Water levels-Business'!E4*$H$11,E28*$D$4*$D$11+E41*$D$5*$D$11+E54*$D$6*$D$11+E67*$D$7*$D$11)</f>
        <v>0</v>
      </c>
      <c r="F93" s="571">
        <f>IF((F28*$D$4*$D$11+F41*$D$5*$D$11+F54*$D$6*$D$11+F67*$D$7*$D$11)&gt;'Water levels-Business'!F4*$H$11,'Water levels-Business'!F4*$H$11,F28*$D$4*$D$11+F41*$D$5*$D$11+F54*$D$6*$D$11+F67*$D$7*$D$11)</f>
        <v>0</v>
      </c>
      <c r="G93" s="571">
        <f>IF((G28*$D$4*$D$11+G41*$D$5*$D$11+G54*$D$6*$D$11+G67*$D$7*$D$11)&gt;'Water levels-Business'!G4*$H$11,'Water levels-Business'!G4*$H$11,G28*$D$4*$D$11+G41*$D$5*$D$11+G54*$D$6*$D$11+G67*$D$7*$D$11)</f>
        <v>0</v>
      </c>
      <c r="H93" s="571">
        <f>IF((H28*$D$4*$D$11+H41*$D$5*$D$11+H54*$D$6*$D$11+H67*$D$7*$D$11)&gt;'Water levels-Business'!H4*$H$11,'Water levels-Business'!H4*$H$11,H28*$D$4*$D$11+H41*$D$5*$D$11+H54*$D$6*$D$11+H67*$D$7*$D$11)</f>
        <v>0</v>
      </c>
      <c r="I93" s="571">
        <f>IF((I28*$D$4*$D$11+I41*$D$5*$D$11+I54*$D$6*$D$11+I67*$D$7*$D$11)&gt;'Water levels-Business'!I4*$H$11,'Water levels-Business'!I4*$H$11,I28*$D$4*$D$11+I41*$D$5*$D$11+I54*$D$6*$D$11+I67*$D$7*$D$11)</f>
        <v>0</v>
      </c>
      <c r="J93" s="571">
        <f>IF((J28*$D$4*$D$11+J41*$D$5*$D$11+J54*$D$6*$D$11+J67*$D$7*$D$11)&gt;'Water levels-Business'!J4*$H$11,'Water levels-Business'!J4*$H$11,J28*$D$4*$D$11+J41*$D$5*$D$11+J54*$D$6*$D$11+J67*$D$7*$D$11)</f>
        <v>0</v>
      </c>
      <c r="K93" s="571">
        <f>IF((K28*$D$4*$D$11+K41*$D$5*$D$11+K54*$D$6*$D$11+K67*$D$7*$D$11)&gt;'Water levels-Business'!K4*$H$11,'Water levels-Business'!K4*$H$11,K28*$D$4*$D$11+K41*$D$5*$D$11+K54*$D$6*$D$11+K67*$D$7*$D$11)</f>
        <v>0</v>
      </c>
      <c r="L93" s="571">
        <f>IF((L28*$D$4*$D$11+L41*$D$5*$D$11+L54*$D$6*$D$11+L67*$D$7*$D$11)&gt;'Water levels-Business'!L4*$H$11,'Water levels-Business'!L4*$H$11,L28*$D$4*$D$11+L41*$D$5*$D$11+L54*$D$6*$D$11+L67*$D$7*$D$11)</f>
        <v>0</v>
      </c>
      <c r="M93" s="571">
        <f>IF((M28*$D$4*$D$11+M41*$D$5*$D$11+M54*$D$6*$D$11+M67*$D$7*$D$11)&gt;'Water levels-Business'!M4*$H$11,'Water levels-Business'!M4*$H$11,M28*$D$4*$D$11+M41*$D$5*$D$11+M54*$D$6*$D$11+M67*$D$7*$D$11)</f>
        <v>0</v>
      </c>
      <c r="O93" s="161" t="s">
        <v>741</v>
      </c>
    </row>
    <row r="94" spans="3:13" ht="15">
      <c r="C94" s="209">
        <v>0.5</v>
      </c>
      <c r="D94" s="571">
        <f>IF((D29*$D$4*$D$11+D42*$D$5*$D$11+D55*$D$6*$D$11+D68*$D$7*$D$11)&gt;'Water levels-Business'!D5*$H$11,'Water levels-Business'!D5*$H$11,D29*$D$4*$D$11+D42*$D$5*$D$11+D55*$D$6*$D$11+D68*$D$7*$D$11)</f>
        <v>0</v>
      </c>
      <c r="E94" s="571">
        <f>IF((E29*$D$4*$D$11+E42*$D$5*$D$11+E55*$D$6*$D$11+E68*$D$7*$D$11)&gt;'Water levels-Business'!E5*$H$11,'Water levels-Business'!E5*$H$11,E29*$D$4*$D$11+E42*$D$5*$D$11+E55*$D$6*$D$11+E68*$D$7*$D$11)</f>
        <v>0</v>
      </c>
      <c r="F94" s="571">
        <f>IF((F29*$D$4*$D$11+F42*$D$5*$D$11+F55*$D$6*$D$11+F68*$D$7*$D$11)&gt;'Water levels-Business'!F5*$H$11,'Water levels-Business'!F5*$H$11,F29*$D$4*$D$11+F42*$D$5*$D$11+F55*$D$6*$D$11+F68*$D$7*$D$11)</f>
        <v>0</v>
      </c>
      <c r="G94" s="571">
        <f>IF((G29*$D$4*$D$11+G42*$D$5*$D$11+G55*$D$6*$D$11+G68*$D$7*$D$11)&gt;'Water levels-Business'!G5*$H$11,'Water levels-Business'!G5*$H$11,G29*$D$4*$D$11+G42*$D$5*$D$11+G55*$D$6*$D$11+G68*$D$7*$D$11)</f>
        <v>0</v>
      </c>
      <c r="H94" s="571">
        <f>IF((H29*$D$4*$D$11+H42*$D$5*$D$11+H55*$D$6*$D$11+H68*$D$7*$D$11)&gt;'Water levels-Business'!H5*$H$11,'Water levels-Business'!H5*$H$11,H29*$D$4*$D$11+H42*$D$5*$D$11+H55*$D$6*$D$11+H68*$D$7*$D$11)</f>
        <v>0</v>
      </c>
      <c r="I94" s="571">
        <f>IF((I29*$D$4*$D$11+I42*$D$5*$D$11+I55*$D$6*$D$11+I68*$D$7*$D$11)&gt;'Water levels-Business'!I5*$H$11,'Water levels-Business'!I5*$H$11,I29*$D$4*$D$11+I42*$D$5*$D$11+I55*$D$6*$D$11+I68*$D$7*$D$11)</f>
        <v>0</v>
      </c>
      <c r="J94" s="571">
        <f>IF((J29*$D$4*$D$11+J42*$D$5*$D$11+J55*$D$6*$D$11+J68*$D$7*$D$11)&gt;'Water levels-Business'!J5*$H$11,'Water levels-Business'!J5*$H$11,J29*$D$4*$D$11+J42*$D$5*$D$11+J55*$D$6*$D$11+J68*$D$7*$D$11)</f>
        <v>0</v>
      </c>
      <c r="K94" s="571">
        <f>IF((K29*$D$4*$D$11+K42*$D$5*$D$11+K55*$D$6*$D$11+K68*$D$7*$D$11)&gt;'Water levels-Business'!K5*$H$11,'Water levels-Business'!K5*$H$11,K29*$D$4*$D$11+K42*$D$5*$D$11+K55*$D$6*$D$11+K68*$D$7*$D$11)</f>
        <v>0</v>
      </c>
      <c r="L94" s="571">
        <f>IF((L29*$D$4*$D$11+L42*$D$5*$D$11+L55*$D$6*$D$11+L68*$D$7*$D$11)&gt;'Water levels-Business'!L5*$H$11,'Water levels-Business'!L5*$H$11,L29*$D$4*$D$11+L42*$D$5*$D$11+L55*$D$6*$D$11+L68*$D$7*$D$11)</f>
        <v>0</v>
      </c>
      <c r="M94" s="571">
        <f>IF((M29*$D$4*$D$11+M42*$D$5*$D$11+M55*$D$6*$D$11+M68*$D$7*$D$11)&gt;'Water levels-Business'!M5*$H$11,'Water levels-Business'!M5*$H$11,M29*$D$4*$D$11+M42*$D$5*$D$11+M55*$D$6*$D$11+M68*$D$7*$D$11)</f>
        <v>0</v>
      </c>
    </row>
    <row r="95" spans="3:15" ht="15">
      <c r="C95" s="209">
        <v>0.2</v>
      </c>
      <c r="D95" s="571">
        <f>IF((D30*$D$4*$D$11+D43*$D$5*$D$11+D56*$D$6*$D$11+D69*$D$7*$D$11)&gt;'Water levels-Business'!D6*$H$11,'Water levels-Business'!D6*$H$11,D30*$D$4*$D$11+D43*$D$5*$D$11+D56*$D$6*$D$11+D69*$D$7*$D$11)</f>
        <v>0</v>
      </c>
      <c r="E95" s="571">
        <f>IF((E30*$D$4*$D$11+E43*$D$5*$D$11+E56*$D$6*$D$11+E69*$D$7*$D$11)&gt;'Water levels-Business'!E6*$H$11,'Water levels-Business'!E6*$H$11,E30*$D$4*$D$11+E43*$D$5*$D$11+E56*$D$6*$D$11+E69*$D$7*$D$11)</f>
        <v>0</v>
      </c>
      <c r="F95" s="571">
        <f>IF((F30*$D$4*$D$11+F43*$D$5*$D$11+F56*$D$6*$D$11+F69*$D$7*$D$11)&gt;'Water levels-Business'!F6*$H$11,'Water levels-Business'!F6*$H$11,F30*$D$4*$D$11+F43*$D$5*$D$11+F56*$D$6*$D$11+F69*$D$7*$D$11)</f>
        <v>0</v>
      </c>
      <c r="G95" s="571">
        <f>IF((G30*$D$4*$D$11+G43*$D$5*$D$11+G56*$D$6*$D$11+G69*$D$7*$D$11)&gt;'Water levels-Business'!G6*$H$11,'Water levels-Business'!G6*$H$11,G30*$D$4*$D$11+G43*$D$5*$D$11+G56*$D$6*$D$11+G69*$D$7*$D$11)</f>
        <v>0</v>
      </c>
      <c r="H95" s="571">
        <f>IF((H30*$D$4*$D$11+H43*$D$5*$D$11+H56*$D$6*$D$11+H69*$D$7*$D$11)&gt;'Water levels-Business'!H6*$H$11,'Water levels-Business'!H6*$H$11,H30*$D$4*$D$11+H43*$D$5*$D$11+H56*$D$6*$D$11+H69*$D$7*$D$11)</f>
        <v>0</v>
      </c>
      <c r="I95" s="571">
        <f>IF((I30*$D$4*$D$11+I43*$D$5*$D$11+I56*$D$6*$D$11+I69*$D$7*$D$11)&gt;'Water levels-Business'!I6*$H$11,'Water levels-Business'!I6*$H$11,I30*$D$4*$D$11+I43*$D$5*$D$11+I56*$D$6*$D$11+I69*$D$7*$D$11)</f>
        <v>0</v>
      </c>
      <c r="J95" s="571">
        <f>IF((J30*$D$4*$D$11+J43*$D$5*$D$11+J56*$D$6*$D$11+J69*$D$7*$D$11)&gt;'Water levels-Business'!J6*$H$11,'Water levels-Business'!J6*$H$11,J30*$D$4*$D$11+J43*$D$5*$D$11+J56*$D$6*$D$11+J69*$D$7*$D$11)</f>
        <v>0</v>
      </c>
      <c r="K95" s="571">
        <f>IF((K30*$D$4*$D$11+K43*$D$5*$D$11+K56*$D$6*$D$11+K69*$D$7*$D$11)&gt;'Water levels-Business'!K6*$H$11,'Water levels-Business'!K6*$H$11,K30*$D$4*$D$11+K43*$D$5*$D$11+K56*$D$6*$D$11+K69*$D$7*$D$11)</f>
        <v>0</v>
      </c>
      <c r="L95" s="571">
        <f>IF((L30*$D$4*$D$11+L43*$D$5*$D$11+L56*$D$6*$D$11+L69*$D$7*$D$11)&gt;'Water levels-Business'!L6*$H$11,'Water levels-Business'!L6*$H$11,L30*$D$4*$D$11+L43*$D$5*$D$11+L56*$D$6*$D$11+L69*$D$7*$D$11)</f>
        <v>0</v>
      </c>
      <c r="M95" s="571">
        <f>IF((M30*$D$4*$D$11+M43*$D$5*$D$11+M56*$D$6*$D$11+M69*$D$7*$D$11)&gt;'Water levels-Business'!M6*$H$11,'Water levels-Business'!M6*$H$11,M30*$D$4*$D$11+M43*$D$5*$D$11+M56*$D$6*$D$11+M69*$D$7*$D$11)</f>
        <v>0</v>
      </c>
      <c r="O95" s="161" t="s">
        <v>976</v>
      </c>
    </row>
    <row r="96" spans="3:15" ht="15">
      <c r="C96" s="209">
        <v>0.1</v>
      </c>
      <c r="D96" s="571">
        <f>IF((D31*$D$4*$D$11+D44*$D$5*$D$11+D57*$D$6*$D$11+D70*$D$7*$D$11)&gt;'Water levels-Business'!D7*$H$11,'Water levels-Business'!D7*$H$11,D31*$D$4*$D$11+D44*$D$5*$D$11+D57*$D$6*$D$11+D70*$D$7*$D$11)</f>
        <v>0</v>
      </c>
      <c r="E96" s="571">
        <f>IF((E31*$D$4*$D$11+E44*$D$5*$D$11+E57*$D$6*$D$11+E70*$D$7*$D$11)&gt;'Water levels-Business'!E7*$H$11,'Water levels-Business'!E7*$H$11,E31*$D$4*$D$11+E44*$D$5*$D$11+E57*$D$6*$D$11+E70*$D$7*$D$11)</f>
        <v>0</v>
      </c>
      <c r="F96" s="571">
        <f>IF((F31*$D$4*$D$11+F44*$D$5*$D$11+F57*$D$6*$D$11+F70*$D$7*$D$11)&gt;'Water levels-Business'!F7*$H$11,'Water levels-Business'!F7*$H$11,F31*$D$4*$D$11+F44*$D$5*$D$11+F57*$D$6*$D$11+F70*$D$7*$D$11)</f>
        <v>0</v>
      </c>
      <c r="G96" s="571">
        <f>IF((G31*$D$4*$D$11+G44*$D$5*$D$11+G57*$D$6*$D$11+G70*$D$7*$D$11)&gt;'Water levels-Business'!G7*$H$11,'Water levels-Business'!G7*$H$11,G31*$D$4*$D$11+G44*$D$5*$D$11+G57*$D$6*$D$11+G70*$D$7*$D$11)</f>
        <v>0</v>
      </c>
      <c r="H96" s="571">
        <f>IF((H31*$D$4*$D$11+H44*$D$5*$D$11+H57*$D$6*$D$11+H70*$D$7*$D$11)&gt;'Water levels-Business'!H7*$H$11,'Water levels-Business'!H7*$H$11,H31*$D$4*$D$11+H44*$D$5*$D$11+H57*$D$6*$D$11+H70*$D$7*$D$11)</f>
        <v>0</v>
      </c>
      <c r="I96" s="571">
        <f>IF((I31*$D$4*$D$11+I44*$D$5*$D$11+I57*$D$6*$D$11+I70*$D$7*$D$11)&gt;'Water levels-Business'!I7*$H$11,'Water levels-Business'!I7*$H$11,I31*$D$4*$D$11+I44*$D$5*$D$11+I57*$D$6*$D$11+I70*$D$7*$D$11)</f>
        <v>0</v>
      </c>
      <c r="J96" s="571">
        <f>IF((J31*$D$4*$D$11+J44*$D$5*$D$11+J57*$D$6*$D$11+J70*$D$7*$D$11)&gt;'Water levels-Business'!J7*$H$11,'Water levels-Business'!J7*$H$11,J31*$D$4*$D$11+J44*$D$5*$D$11+J57*$D$6*$D$11+J70*$D$7*$D$11)</f>
        <v>0</v>
      </c>
      <c r="K96" s="571">
        <f>IF((K31*$D$4*$D$11+K44*$D$5*$D$11+K57*$D$6*$D$11+K70*$D$7*$D$11)&gt;'Water levels-Business'!K7*$H$11,'Water levels-Business'!K7*$H$11,K31*$D$4*$D$11+K44*$D$5*$D$11+K57*$D$6*$D$11+K70*$D$7*$D$11)</f>
        <v>0</v>
      </c>
      <c r="L96" s="571">
        <f>IF((L31*$D$4*$D$11+L44*$D$5*$D$11+L57*$D$6*$D$11+L70*$D$7*$D$11)&gt;'Water levels-Business'!L7*$H$11,'Water levels-Business'!L7*$H$11,L31*$D$4*$D$11+L44*$D$5*$D$11+L57*$D$6*$D$11+L70*$D$7*$D$11)</f>
        <v>0</v>
      </c>
      <c r="M96" s="571">
        <f>IF((M31*$D$4*$D$11+M44*$D$5*$D$11+M57*$D$6*$D$11+M70*$D$7*$D$11)&gt;'Water levels-Business'!M7*$H$11,'Water levels-Business'!M7*$H$11,M31*$D$4*$D$11+M44*$D$5*$D$11+M57*$D$6*$D$11+M70*$D$7*$D$11)</f>
        <v>0</v>
      </c>
      <c r="O96" s="161" t="s">
        <v>297</v>
      </c>
    </row>
    <row r="97" spans="3:15" ht="15">
      <c r="C97" s="209">
        <v>0.04</v>
      </c>
      <c r="D97" s="571">
        <f>IF((D32*$D$4*$D$11+D45*$D$5*$D$11+D58*$D$6*$D$11+D71*$D$7*$D$11)&gt;'Water levels-Business'!D8*$H$11,'Water levels-Business'!D8*$H$11,D32*$D$4*$D$11+D45*$D$5*$D$11+D58*$D$6*$D$11+D71*$D$7*$D$11)</f>
        <v>0</v>
      </c>
      <c r="E97" s="571">
        <f>IF((E32*$D$4*$D$11+E45*$D$5*$D$11+E58*$D$6*$D$11+E71*$D$7*$D$11)&gt;'Water levels-Business'!E8*$H$11,'Water levels-Business'!E8*$H$11,E32*$D$4*$D$11+E45*$D$5*$D$11+E58*$D$6*$D$11+E71*$D$7*$D$11)</f>
        <v>0</v>
      </c>
      <c r="F97" s="571">
        <f>IF((F32*$D$4*$D$11+F45*$D$5*$D$11+F58*$D$6*$D$11+F71*$D$7*$D$11)&gt;'Water levels-Business'!F8*$H$11,'Water levels-Business'!F8*$H$11,F32*$D$4*$D$11+F45*$D$5*$D$11+F58*$D$6*$D$11+F71*$D$7*$D$11)</f>
        <v>0</v>
      </c>
      <c r="G97" s="571">
        <f>IF((G32*$D$4*$D$11+G45*$D$5*$D$11+G58*$D$6*$D$11+G71*$D$7*$D$11)&gt;'Water levels-Business'!G8*$H$11,'Water levels-Business'!G8*$H$11,G32*$D$4*$D$11+G45*$D$5*$D$11+G58*$D$6*$D$11+G71*$D$7*$D$11)</f>
        <v>0</v>
      </c>
      <c r="H97" s="571">
        <f>IF((H32*$D$4*$D$11+H45*$D$5*$D$11+H58*$D$6*$D$11+H71*$D$7*$D$11)&gt;'Water levels-Business'!H8*$H$11,'Water levels-Business'!H8*$H$11,H32*$D$4*$D$11+H45*$D$5*$D$11+H58*$D$6*$D$11+H71*$D$7*$D$11)</f>
        <v>0</v>
      </c>
      <c r="I97" s="571">
        <f>IF((I32*$D$4*$D$11+I45*$D$5*$D$11+I58*$D$6*$D$11+I71*$D$7*$D$11)&gt;'Water levels-Business'!I8*$H$11,'Water levels-Business'!I8*$H$11,I32*$D$4*$D$11+I45*$D$5*$D$11+I58*$D$6*$D$11+I71*$D$7*$D$11)</f>
        <v>0</v>
      </c>
      <c r="J97" s="571">
        <f>IF((J32*$D$4*$D$11+J45*$D$5*$D$11+J58*$D$6*$D$11+J71*$D$7*$D$11)&gt;'Water levels-Business'!J8*$H$11,'Water levels-Business'!J8*$H$11,J32*$D$4*$D$11+J45*$D$5*$D$11+J58*$D$6*$D$11+J71*$D$7*$D$11)</f>
        <v>0</v>
      </c>
      <c r="K97" s="571">
        <f>IF((K32*$D$4*$D$11+K45*$D$5*$D$11+K58*$D$6*$D$11+K71*$D$7*$D$11)&gt;'Water levels-Business'!K8*$H$11,'Water levels-Business'!K8*$H$11,K32*$D$4*$D$11+K45*$D$5*$D$11+K58*$D$6*$D$11+K71*$D$7*$D$11)</f>
        <v>0</v>
      </c>
      <c r="L97" s="571">
        <f>IF((L32*$D$4*$D$11+L45*$D$5*$D$11+L58*$D$6*$D$11+L71*$D$7*$D$11)&gt;'Water levels-Business'!L8*$H$11,'Water levels-Business'!L8*$H$11,L32*$D$4*$D$11+L45*$D$5*$D$11+L58*$D$6*$D$11+L71*$D$7*$D$11)</f>
        <v>0</v>
      </c>
      <c r="M97" s="571">
        <f>IF((M32*$D$4*$D$11+M45*$D$5*$D$11+M58*$D$6*$D$11+M71*$D$7*$D$11)&gt;'Water levels-Business'!M8*$H$11,'Water levels-Business'!M8*$H$11,M32*$D$4*$D$11+M45*$D$5*$D$11+M58*$D$6*$D$11+M71*$D$7*$D$11)</f>
        <v>0</v>
      </c>
      <c r="O97" s="161" t="s">
        <v>977</v>
      </c>
    </row>
    <row r="98" spans="3:13" ht="15">
      <c r="C98" s="209">
        <v>0.02</v>
      </c>
      <c r="D98" s="571">
        <f>IF((D33*$D$4*$D$11+D46*$D$5*$D$11+D59*$D$6*$D$11+D72*$D$7*$D$11)&gt;'Water levels-Business'!D9*$H$11,'Water levels-Business'!D9*$H$11,D33*$D$4*$D$11+D46*$D$5*$D$11+D59*$D$6*$D$11+D72*$D$7*$D$11)</f>
        <v>0</v>
      </c>
      <c r="E98" s="571">
        <f>IF((E33*$D$4*$D$11+E46*$D$5*$D$11+E59*$D$6*$D$11+E72*$D$7*$D$11)&gt;'Water levels-Business'!E9*$H$11,'Water levels-Business'!E9*$H$11,E33*$D$4*$D$11+E46*$D$5*$D$11+E59*$D$6*$D$11+E72*$D$7*$D$11)</f>
        <v>0</v>
      </c>
      <c r="F98" s="571">
        <f>IF((F33*$D$4*$D$11+F46*$D$5*$D$11+F59*$D$6*$D$11+F72*$D$7*$D$11)&gt;'Water levels-Business'!F9*$H$11,'Water levels-Business'!F9*$H$11,F33*$D$4*$D$11+F46*$D$5*$D$11+F59*$D$6*$D$11+F72*$D$7*$D$11)</f>
        <v>0</v>
      </c>
      <c r="G98" s="571">
        <f>IF((G33*$D$4*$D$11+G46*$D$5*$D$11+G59*$D$6*$D$11+G72*$D$7*$D$11)&gt;'Water levels-Business'!G9*$H$11,'Water levels-Business'!G9*$H$11,G33*$D$4*$D$11+G46*$D$5*$D$11+G59*$D$6*$D$11+G72*$D$7*$D$11)</f>
        <v>0</v>
      </c>
      <c r="H98" s="571">
        <f>IF((H33*$D$4*$D$11+H46*$D$5*$D$11+H59*$D$6*$D$11+H72*$D$7*$D$11)&gt;'Water levels-Business'!H9*$H$11,'Water levels-Business'!H9*$H$11,H33*$D$4*$D$11+H46*$D$5*$D$11+H59*$D$6*$D$11+H72*$D$7*$D$11)</f>
        <v>0</v>
      </c>
      <c r="I98" s="571">
        <f>IF((I33*$D$4*$D$11+I46*$D$5*$D$11+I59*$D$6*$D$11+I72*$D$7*$D$11)&gt;'Water levels-Business'!I9*$H$11,'Water levels-Business'!I9*$H$11,I33*$D$4*$D$11+I46*$D$5*$D$11+I59*$D$6*$D$11+I72*$D$7*$D$11)</f>
        <v>0</v>
      </c>
      <c r="J98" s="571">
        <f>IF((J33*$D$4*$D$11+J46*$D$5*$D$11+J59*$D$6*$D$11+J72*$D$7*$D$11)&gt;'Water levels-Business'!J9*$H$11,'Water levels-Business'!J9*$H$11,J33*$D$4*$D$11+J46*$D$5*$D$11+J59*$D$6*$D$11+J72*$D$7*$D$11)</f>
        <v>0</v>
      </c>
      <c r="K98" s="571">
        <f>IF((K33*$D$4*$D$11+K46*$D$5*$D$11+K59*$D$6*$D$11+K72*$D$7*$D$11)&gt;'Water levels-Business'!K9*$H$11,'Water levels-Business'!K9*$H$11,K33*$D$4*$D$11+K46*$D$5*$D$11+K59*$D$6*$D$11+K72*$D$7*$D$11)</f>
        <v>0</v>
      </c>
      <c r="L98" s="571">
        <f>IF((L33*$D$4*$D$11+L46*$D$5*$D$11+L59*$D$6*$D$11+L72*$D$7*$D$11)&gt;'Water levels-Business'!L9*$H$11,'Water levels-Business'!L9*$H$11,L33*$D$4*$D$11+L46*$D$5*$D$11+L59*$D$6*$D$11+L72*$D$7*$D$11)</f>
        <v>0</v>
      </c>
      <c r="M98" s="571">
        <f>IF((M33*$D$4*$D$11+M46*$D$5*$D$11+M59*$D$6*$D$11+M72*$D$7*$D$11)&gt;'Water levels-Business'!M9*$H$11,'Water levels-Business'!M9*$H$11,M33*$D$4*$D$11+M46*$D$5*$D$11+M59*$D$6*$D$11+M72*$D$7*$D$11)</f>
        <v>0</v>
      </c>
    </row>
    <row r="99" spans="3:13" ht="15">
      <c r="C99" s="411">
        <v>0.0133</v>
      </c>
      <c r="D99" s="571">
        <f>IF((D34*$D$4*$D$11+D47*$D$5*$D$11+D60*$D$6*$D$11+D73*$D$7*$D$11)&gt;'Water levels-Business'!D10*$H$11,'Water levels-Business'!D10*$H$11,D34*$D$4*$D$11+D47*$D$5*$D$11+D60*$D$6*$D$11+D73*$D$7*$D$11)</f>
        <v>0</v>
      </c>
      <c r="E99" s="571">
        <f>IF((E34*$D$4*$D$11+E47*$D$5*$D$11+E60*$D$6*$D$11+E73*$D$7*$D$11)&gt;'Water levels-Business'!E10*$H$11,'Water levels-Business'!E10*$H$11,E34*$D$4*$D$11+E47*$D$5*$D$11+E60*$D$6*$D$11+E73*$D$7*$D$11)</f>
        <v>0</v>
      </c>
      <c r="F99" s="571">
        <f>IF((F34*$D$4*$D$11+F47*$D$5*$D$11+F60*$D$6*$D$11+F73*$D$7*$D$11)&gt;'Water levels-Business'!F10*$H$11,'Water levels-Business'!F10*$H$11,F34*$D$4*$D$11+F47*$D$5*$D$11+F60*$D$6*$D$11+F73*$D$7*$D$11)</f>
        <v>0</v>
      </c>
      <c r="G99" s="571">
        <f>IF((G34*$D$4*$D$11+G47*$D$5*$D$11+G60*$D$6*$D$11+G73*$D$7*$D$11)&gt;'Water levels-Business'!G10*$H$11,'Water levels-Business'!G10*$H$11,G34*$D$4*$D$11+G47*$D$5*$D$11+G60*$D$6*$D$11+G73*$D$7*$D$11)</f>
        <v>0</v>
      </c>
      <c r="H99" s="571">
        <f>IF((H34*$D$4*$D$11+H47*$D$5*$D$11+H60*$D$6*$D$11+H73*$D$7*$D$11)&gt;'Water levels-Business'!H10*$H$11,'Water levels-Business'!H10*$H$11,H34*$D$4*$D$11+H47*$D$5*$D$11+H60*$D$6*$D$11+H73*$D$7*$D$11)</f>
        <v>0</v>
      </c>
      <c r="I99" s="571">
        <f>IF((I34*$D$4*$D$11+I47*$D$5*$D$11+I60*$D$6*$D$11+I73*$D$7*$D$11)&gt;'Water levels-Business'!I10*$H$11,'Water levels-Business'!I10*$H$11,I34*$D$4*$D$11+I47*$D$5*$D$11+I60*$D$6*$D$11+I73*$D$7*$D$11)</f>
        <v>0</v>
      </c>
      <c r="J99" s="571">
        <f>IF((J34*$D$4*$D$11+J47*$D$5*$D$11+J60*$D$6*$D$11+J73*$D$7*$D$11)&gt;'Water levels-Business'!J10*$H$11,'Water levels-Business'!J10*$H$11,J34*$D$4*$D$11+J47*$D$5*$D$11+J60*$D$6*$D$11+J73*$D$7*$D$11)</f>
        <v>0</v>
      </c>
      <c r="K99" s="571">
        <f>IF((K34*$D$4*$D$11+K47*$D$5*$D$11+K60*$D$6*$D$11+K73*$D$7*$D$11)&gt;'Water levels-Business'!K10*$H$11,'Water levels-Business'!K10*$H$11,K34*$D$4*$D$11+K47*$D$5*$D$11+K60*$D$6*$D$11+K73*$D$7*$D$11)</f>
        <v>0</v>
      </c>
      <c r="L99" s="571">
        <f>IF((L34*$D$4*$D$11+L47*$D$5*$D$11+L60*$D$6*$D$11+L73*$D$7*$D$11)&gt;'Water levels-Business'!L10*$H$11,'Water levels-Business'!L10*$H$11,L34*$D$4*$D$11+L47*$D$5*$D$11+L60*$D$6*$D$11+L73*$D$7*$D$11)</f>
        <v>0</v>
      </c>
      <c r="M99" s="571">
        <f>IF((M34*$D$4*$D$11+M47*$D$5*$D$11+M60*$D$6*$D$11+M73*$D$7*$D$11)&gt;'Water levels-Business'!M10*$H$11,'Water levels-Business'!M10*$H$11,M34*$D$4*$D$11+M47*$D$5*$D$11+M60*$D$6*$D$11+M73*$D$7*$D$11)</f>
        <v>0</v>
      </c>
    </row>
    <row r="100" spans="3:13" ht="15">
      <c r="C100" s="209">
        <v>0.01</v>
      </c>
      <c r="D100" s="571">
        <f>IF((D35*$D$4*$D$11+D48*$D$5*$D$11+D61*$D$6*$D$11+D74*$D$7*$D$11)&gt;'Water levels-Business'!D11*$H$11,'Water levels-Business'!D11*$H$11,D35*$D$4*$D$11+D48*$D$5*$D$11+D61*$D$6*$D$11+D74*$D$7*$D$11)</f>
        <v>0</v>
      </c>
      <c r="E100" s="571">
        <f>IF((E35*$D$4*$D$11+E48*$D$5*$D$11+E61*$D$6*$D$11+E74*$D$7*$D$11)&gt;'Water levels-Business'!E11*$H$11,'Water levels-Business'!E11*$H$11,E35*$D$4*$D$11+E48*$D$5*$D$11+E61*$D$6*$D$11+E74*$D$7*$D$11)</f>
        <v>0</v>
      </c>
      <c r="F100" s="571">
        <f>IF((F35*$D$4*$D$11+F48*$D$5*$D$11+F61*$D$6*$D$11+F74*$D$7*$D$11)&gt;'Water levels-Business'!F11*$H$11,'Water levels-Business'!F11*$H$11,F35*$D$4*$D$11+F48*$D$5*$D$11+F61*$D$6*$D$11+F74*$D$7*$D$11)</f>
        <v>0</v>
      </c>
      <c r="G100" s="571">
        <f>IF((G35*$D$4*$D$11+G48*$D$5*$D$11+G61*$D$6*$D$11+G74*$D$7*$D$11)&gt;'Water levels-Business'!G11*$H$11,'Water levels-Business'!G11*$H$11,G35*$D$4*$D$11+G48*$D$5*$D$11+G61*$D$6*$D$11+G74*$D$7*$D$11)</f>
        <v>0</v>
      </c>
      <c r="H100" s="571">
        <f>IF((H35*$D$4*$D$11+H48*$D$5*$D$11+H61*$D$6*$D$11+H74*$D$7*$D$11)&gt;'Water levels-Business'!H11*$H$11,'Water levels-Business'!H11*$H$11,H35*$D$4*$D$11+H48*$D$5*$D$11+H61*$D$6*$D$11+H74*$D$7*$D$11)</f>
        <v>0</v>
      </c>
      <c r="I100" s="571">
        <f>IF((I35*$D$4*$D$11+I48*$D$5*$D$11+I61*$D$6*$D$11+I74*$D$7*$D$11)&gt;'Water levels-Business'!I11*$H$11,'Water levels-Business'!I11*$H$11,I35*$D$4*$D$11+I48*$D$5*$D$11+I61*$D$6*$D$11+I74*$D$7*$D$11)</f>
        <v>0</v>
      </c>
      <c r="J100" s="571">
        <f>IF((J35*$D$4*$D$11+J48*$D$5*$D$11+J61*$D$6*$D$11+J74*$D$7*$D$11)&gt;'Water levels-Business'!J11*$H$11,'Water levels-Business'!J11*$H$11,J35*$D$4*$D$11+J48*$D$5*$D$11+J61*$D$6*$D$11+J74*$D$7*$D$11)</f>
        <v>0</v>
      </c>
      <c r="K100" s="571">
        <f>IF((K35*$D$4*$D$11+K48*$D$5*$D$11+K61*$D$6*$D$11+K74*$D$7*$D$11)&gt;'Water levels-Business'!K11*$H$11,'Water levels-Business'!K11*$H$11,K35*$D$4*$D$11+K48*$D$5*$D$11+K61*$D$6*$D$11+K74*$D$7*$D$11)</f>
        <v>0</v>
      </c>
      <c r="L100" s="571">
        <f>IF((L35*$D$4*$D$11+L48*$D$5*$D$11+L61*$D$6*$D$11+L74*$D$7*$D$11)&gt;'Water levels-Business'!L11*$H$11,'Water levels-Business'!L11*$H$11,L35*$D$4*$D$11+L48*$D$5*$D$11+L61*$D$6*$D$11+L74*$D$7*$D$11)</f>
        <v>0</v>
      </c>
      <c r="M100" s="571">
        <f>IF((M35*$D$4*$D$11+M48*$D$5*$D$11+M61*$D$6*$D$11+M74*$D$7*$D$11)&gt;'Water levels-Business'!M11*$H$11,'Water levels-Business'!M11*$H$11,M35*$D$4*$D$11+M48*$D$5*$D$11+M61*$D$6*$D$11+M74*$D$7*$D$11)</f>
        <v>0</v>
      </c>
    </row>
    <row r="101" spans="3:13" ht="15">
      <c r="C101" s="210">
        <v>0.005</v>
      </c>
      <c r="D101" s="571">
        <f>IF((D36*$D$4*$D$11+D49*$D$5*$D$11+D62*$D$6*$D$11+D75*$D$7*$D$11)&gt;'Water levels-Business'!D12*$H$11,'Water levels-Business'!D12*$H$11,D36*$D$4*$D$11+D49*$D$5*$D$11+D62*$D$6*$D$11+D75*$D$7*$D$11)</f>
        <v>0</v>
      </c>
      <c r="E101" s="571">
        <f>IF((E36*$D$4*$D$11+E49*$D$5*$D$11+E62*$D$6*$D$11+E75*$D$7*$D$11)&gt;'Water levels-Business'!E12*$H$11,'Water levels-Business'!E12*$H$11,E36*$D$4*$D$11+E49*$D$5*$D$11+E62*$D$6*$D$11+E75*$D$7*$D$11)</f>
        <v>0</v>
      </c>
      <c r="F101" s="571">
        <f>IF((F36*$D$4*$D$11+F49*$D$5*$D$11+F62*$D$6*$D$11+F75*$D$7*$D$11)&gt;'Water levels-Business'!F12*$H$11,'Water levels-Business'!F12*$H$11,F36*$D$4*$D$11+F49*$D$5*$D$11+F62*$D$6*$D$11+F75*$D$7*$D$11)</f>
        <v>0</v>
      </c>
      <c r="G101" s="571">
        <f>IF((G36*$D$4*$D$11+G49*$D$5*$D$11+G62*$D$6*$D$11+G75*$D$7*$D$11)&gt;'Water levels-Business'!G12*$H$11,'Water levels-Business'!G12*$H$11,G36*$D$4*$D$11+G49*$D$5*$D$11+G62*$D$6*$D$11+G75*$D$7*$D$11)</f>
        <v>0</v>
      </c>
      <c r="H101" s="571">
        <f>IF((H36*$D$4*$D$11+H49*$D$5*$D$11+H62*$D$6*$D$11+H75*$D$7*$D$11)&gt;'Water levels-Business'!H12*$H$11,'Water levels-Business'!H12*$H$11,H36*$D$4*$D$11+H49*$D$5*$D$11+H62*$D$6*$D$11+H75*$D$7*$D$11)</f>
        <v>0</v>
      </c>
      <c r="I101" s="571">
        <f>IF((I36*$D$4*$D$11+I49*$D$5*$D$11+I62*$D$6*$D$11+I75*$D$7*$D$11)&gt;'Water levels-Business'!I12*$H$11,'Water levels-Business'!I12*$H$11,I36*$D$4*$D$11+I49*$D$5*$D$11+I62*$D$6*$D$11+I75*$D$7*$D$11)</f>
        <v>0</v>
      </c>
      <c r="J101" s="571">
        <f>IF((J36*$D$4*$D$11+J49*$D$5*$D$11+J62*$D$6*$D$11+J75*$D$7*$D$11)&gt;'Water levels-Business'!J12*$H$11,'Water levels-Business'!J12*$H$11,J36*$D$4*$D$11+J49*$D$5*$D$11+J62*$D$6*$D$11+J75*$D$7*$D$11)</f>
        <v>0</v>
      </c>
      <c r="K101" s="571">
        <f>IF((K36*$D$4*$D$11+K49*$D$5*$D$11+K62*$D$6*$D$11+K75*$D$7*$D$11)&gt;'Water levels-Business'!K12*$H$11,'Water levels-Business'!K12*$H$11,K36*$D$4*$D$11+K49*$D$5*$D$11+K62*$D$6*$D$11+K75*$D$7*$D$11)</f>
        <v>0</v>
      </c>
      <c r="L101" s="571">
        <f>IF((L36*$D$4*$D$11+L49*$D$5*$D$11+L62*$D$6*$D$11+L75*$D$7*$D$11)&gt;'Water levels-Business'!L12*$H$11,'Water levels-Business'!L12*$H$11,L36*$D$4*$D$11+L49*$D$5*$D$11+L62*$D$6*$D$11+L75*$D$7*$D$11)</f>
        <v>0</v>
      </c>
      <c r="M101" s="571">
        <f>IF((M36*$D$4*$D$11+M49*$D$5*$D$11+M62*$D$6*$D$11+M75*$D$7*$D$11)&gt;'Water levels-Business'!M12*$H$11,'Water levels-Business'!M12*$H$11,M36*$D$4*$D$11+M49*$D$5*$D$11+M62*$D$6*$D$11+M75*$D$7*$D$11)</f>
        <v>0</v>
      </c>
    </row>
    <row r="102" spans="3:13" ht="15">
      <c r="C102" s="210">
        <v>0.001</v>
      </c>
      <c r="D102" s="571">
        <f>IF((D37*$D$4*$D$11+D50*$D$5*$D$11+D63*$D$6*$D$11+D76*$D$7*$D$11)&gt;'Water levels-Business'!D13*$H$11,'Water levels-Business'!D13*$H$11,D37*$D$4*$D$11+D50*$D$5*$D$11+D63*$D$6*$D$11+D76*$D$7*$D$11)</f>
        <v>0</v>
      </c>
      <c r="E102" s="571">
        <f>IF((E37*$D$4*$D$11+E50*$D$5*$D$11+E63*$D$6*$D$11+E76*$D$7*$D$11)&gt;'Water levels-Business'!E13*$H$11,'Water levels-Business'!E13*$H$11,E37*$D$4*$D$11+E50*$D$5*$D$11+E63*$D$6*$D$11+E76*$D$7*$D$11)</f>
        <v>0</v>
      </c>
      <c r="F102" s="571">
        <f>IF((F37*$D$4*$D$11+F50*$D$5*$D$11+F63*$D$6*$D$11+F76*$D$7*$D$11)&gt;'Water levels-Business'!F13*$H$11,'Water levels-Business'!F13*$H$11,F37*$D$4*$D$11+F50*$D$5*$D$11+F63*$D$6*$D$11+F76*$D$7*$D$11)</f>
        <v>0</v>
      </c>
      <c r="G102" s="571">
        <f>IF((G37*$D$4*$D$11+G50*$D$5*$D$11+G63*$D$6*$D$11+G76*$D$7*$D$11)&gt;'Water levels-Business'!G13*$H$11,'Water levels-Business'!G13*$H$11,G37*$D$4*$D$11+G50*$D$5*$D$11+G63*$D$6*$D$11+G76*$D$7*$D$11)</f>
        <v>0</v>
      </c>
      <c r="H102" s="571">
        <f>IF((H37*$D$4*$D$11+H50*$D$5*$D$11+H63*$D$6*$D$11+H76*$D$7*$D$11)&gt;'Water levels-Business'!H13*$H$11,'Water levels-Business'!H13*$H$11,H37*$D$4*$D$11+H50*$D$5*$D$11+H63*$D$6*$D$11+H76*$D$7*$D$11)</f>
        <v>0</v>
      </c>
      <c r="I102" s="571">
        <f>IF((I37*$D$4*$D$11+I50*$D$5*$D$11+I63*$D$6*$D$11+I76*$D$7*$D$11)&gt;'Water levels-Business'!I13*$H$11,'Water levels-Business'!I13*$H$11,I37*$D$4*$D$11+I50*$D$5*$D$11+I63*$D$6*$D$11+I76*$D$7*$D$11)</f>
        <v>0</v>
      </c>
      <c r="J102" s="571">
        <f>IF((J37*$D$4*$D$11+J50*$D$5*$D$11+J63*$D$6*$D$11+J76*$D$7*$D$11)&gt;'Water levels-Business'!J13*$H$11,'Water levels-Business'!J13*$H$11,J37*$D$4*$D$11+J50*$D$5*$D$11+J63*$D$6*$D$11+J76*$D$7*$D$11)</f>
        <v>0</v>
      </c>
      <c r="K102" s="571">
        <f>IF((K37*$D$4*$D$11+K50*$D$5*$D$11+K63*$D$6*$D$11+K76*$D$7*$D$11)&gt;'Water levels-Business'!K13*$H$11,'Water levels-Business'!K13*$H$11,K37*$D$4*$D$11+K50*$D$5*$D$11+K63*$D$6*$D$11+K76*$D$7*$D$11)</f>
        <v>0</v>
      </c>
      <c r="L102" s="571">
        <f>IF((L37*$D$4*$D$11+L50*$D$5*$D$11+L63*$D$6*$D$11+L76*$D$7*$D$11)&gt;'Water levels-Business'!L13*$H$11,'Water levels-Business'!L13*$H$11,L37*$D$4*$D$11+L50*$D$5*$D$11+L63*$D$6*$D$11+L76*$D$7*$D$11)</f>
        <v>0</v>
      </c>
      <c r="M102" s="571">
        <f>IF((M37*$D$4*$D$11+M50*$D$5*$D$11+M63*$D$6*$D$11+M76*$D$7*$D$11)&gt;'Water levels-Business'!M13*$H$11,'Water levels-Business'!M13*$H$11,M37*$D$4*$D$11+M50*$D$5*$D$11+M63*$D$6*$D$11+M76*$D$7*$D$11)</f>
        <v>0</v>
      </c>
    </row>
    <row r="103" spans="3:13" ht="15">
      <c r="C103" s="210"/>
      <c r="D103" s="248"/>
      <c r="E103" s="248"/>
      <c r="F103" s="248"/>
      <c r="G103" s="248"/>
      <c r="H103" s="248"/>
      <c r="I103" s="248"/>
      <c r="J103" s="248"/>
      <c r="K103" s="248"/>
      <c r="L103" s="248"/>
      <c r="M103" s="248"/>
    </row>
    <row r="104" spans="3:20" ht="15">
      <c r="C104" s="208" t="s">
        <v>742</v>
      </c>
      <c r="D104" s="248"/>
      <c r="I104" s="729"/>
      <c r="J104" s="729"/>
      <c r="K104" s="590"/>
      <c r="L104" s="590"/>
      <c r="M104" s="590"/>
      <c r="N104" s="590"/>
      <c r="O104" s="590"/>
      <c r="P104" s="590"/>
      <c r="Q104" s="590"/>
      <c r="R104" s="590"/>
      <c r="S104" s="590"/>
      <c r="T104" s="590"/>
    </row>
    <row r="105" spans="3:8" ht="15">
      <c r="C105" s="161" t="s">
        <v>743</v>
      </c>
      <c r="D105" s="574">
        <v>2.25</v>
      </c>
      <c r="E105" s="161" t="s">
        <v>746</v>
      </c>
      <c r="G105" s="161" t="s">
        <v>400</v>
      </c>
      <c r="H105" s="161" t="s">
        <v>747</v>
      </c>
    </row>
    <row r="106" spans="1:8" ht="30.75" customHeight="1">
      <c r="A106" s="722" t="s">
        <v>744</v>
      </c>
      <c r="B106" s="592"/>
      <c r="C106" s="592"/>
      <c r="D106" s="575">
        <v>900</v>
      </c>
      <c r="E106" s="161" t="s">
        <v>746</v>
      </c>
      <c r="H106" s="161" t="s">
        <v>748</v>
      </c>
    </row>
    <row r="107" spans="1:17" ht="15">
      <c r="A107" s="722" t="s">
        <v>745</v>
      </c>
      <c r="B107" s="592"/>
      <c r="C107" s="592"/>
      <c r="D107" s="575">
        <v>61500</v>
      </c>
      <c r="E107" s="225" t="s">
        <v>746</v>
      </c>
      <c r="F107" s="729"/>
      <c r="G107" s="590"/>
      <c r="H107" s="590"/>
      <c r="I107" s="590"/>
      <c r="J107" s="590"/>
      <c r="K107" s="590"/>
      <c r="L107" s="590"/>
      <c r="M107" s="590"/>
      <c r="N107" s="590"/>
      <c r="O107" s="590"/>
      <c r="P107" s="590"/>
      <c r="Q107" s="590"/>
    </row>
    <row r="108" spans="1:17" ht="15">
      <c r="A108" s="333"/>
      <c r="B108" s="331"/>
      <c r="C108" s="331"/>
      <c r="D108" s="336"/>
      <c r="E108" s="331"/>
      <c r="F108" s="335"/>
      <c r="G108" s="332"/>
      <c r="H108" s="332"/>
      <c r="I108" s="332"/>
      <c r="J108" s="401"/>
      <c r="K108" s="332"/>
      <c r="L108" s="401"/>
      <c r="M108" s="332"/>
      <c r="N108" s="332"/>
      <c r="O108" s="332"/>
      <c r="P108" s="332"/>
      <c r="Q108" s="332"/>
    </row>
    <row r="109" spans="3:7" ht="15">
      <c r="C109" s="208" t="s">
        <v>749</v>
      </c>
      <c r="D109" s="576">
        <v>8</v>
      </c>
      <c r="E109" s="161" t="s">
        <v>750</v>
      </c>
      <c r="G109" s="161" t="s">
        <v>751</v>
      </c>
    </row>
    <row r="111" spans="4:14" ht="15">
      <c r="D111" s="209">
        <v>1</v>
      </c>
      <c r="E111" s="209">
        <v>0.5</v>
      </c>
      <c r="F111" s="209">
        <v>0.2</v>
      </c>
      <c r="G111" s="209">
        <v>0.1</v>
      </c>
      <c r="H111" s="209">
        <v>0.04</v>
      </c>
      <c r="I111" s="209">
        <v>0.02</v>
      </c>
      <c r="J111" s="411">
        <v>0.0133</v>
      </c>
      <c r="K111" s="209">
        <v>0.01</v>
      </c>
      <c r="L111" s="210">
        <v>0.005</v>
      </c>
      <c r="M111" s="210">
        <v>0.001</v>
      </c>
      <c r="N111" s="215" t="s">
        <v>61</v>
      </c>
    </row>
    <row r="112" spans="3:14" ht="15">
      <c r="C112" s="216" t="s">
        <v>367</v>
      </c>
      <c r="D112" s="218">
        <f>'Water levels-Business'!D44</f>
        <v>1</v>
      </c>
      <c r="E112" s="218">
        <f>'Water levels-Business'!E44</f>
        <v>1</v>
      </c>
      <c r="F112" s="218">
        <f>'Water levels-Business'!F44</f>
        <v>0.72</v>
      </c>
      <c r="G112" s="218">
        <f>'Water levels-Business'!G44</f>
        <v>0.5882230666038492</v>
      </c>
      <c r="H112" s="218">
        <f>'Water levels-Business'!H44</f>
        <v>0.3190324601806128</v>
      </c>
      <c r="I112" s="218">
        <f>'Water levels-Business'!I44</f>
        <v>0.15058386858767778</v>
      </c>
      <c r="J112" s="218">
        <f>'Water levels-Business'!J44</f>
        <v>0.07548650722667177</v>
      </c>
      <c r="K112" s="218">
        <f>'Water levels-Business'!K44</f>
        <v>0.03813239947900169</v>
      </c>
      <c r="L112" s="218">
        <f>'Water levels-Business'!L44</f>
        <v>0.017864723005257294</v>
      </c>
      <c r="M112" s="218">
        <f>'Water levels-Business'!M44</f>
        <v>0</v>
      </c>
      <c r="N112" s="217" t="s">
        <v>368</v>
      </c>
    </row>
    <row r="113" spans="3:14" ht="15">
      <c r="C113" s="161" t="s">
        <v>743</v>
      </c>
      <c r="D113" s="219">
        <f>IF('Energy (direct)'!D35="Permanent loss",0,$D105*$D$109*D$112)</f>
        <v>0</v>
      </c>
      <c r="E113" s="219">
        <f>IF('Energy (direct)'!E35="Permanent loss",0,$D105*$D$109*E$112)</f>
        <v>0</v>
      </c>
      <c r="F113" s="219">
        <f>IF('Energy (direct)'!F35="Permanent loss",0,$D105*$D$109*F$112)</f>
        <v>12.959999999999999</v>
      </c>
      <c r="G113" s="219">
        <f>IF('Energy (direct)'!G35="Permanent loss",0,$D105*$D$109*G$112)</f>
        <v>10.588015198869284</v>
      </c>
      <c r="H113" s="219">
        <f>IF('Energy (direct)'!H35="Permanent loss",0,$D105*$D$109*H$112)</f>
        <v>5.7425842832510305</v>
      </c>
      <c r="I113" s="219">
        <f>IF('Energy (direct)'!I35="Permanent loss",0,$D105*$D$109*I$112)</f>
        <v>2.7105096345782</v>
      </c>
      <c r="J113" s="219">
        <f>IF('Energy (direct)'!J35="Permanent loss",0,$D105*$D$109*J$112)</f>
        <v>1.3587571300800918</v>
      </c>
      <c r="K113" s="219">
        <f>IF('Energy (direct)'!K35="Permanent loss",0,$D105*$D$109*K$112)</f>
        <v>0.6863831906220305</v>
      </c>
      <c r="L113" s="219">
        <f>IF('Energy (direct)'!L35="Permanent loss",0,$D105*$D$109*L$112)</f>
        <v>0.3215650140946313</v>
      </c>
      <c r="M113" s="219">
        <f>IF('Energy (direct)'!M35="Permanent loss",0,$D105*$D$109*M$112)</f>
        <v>0</v>
      </c>
      <c r="N113" s="217"/>
    </row>
    <row r="114" spans="1:14" ht="15" customHeight="1">
      <c r="A114" s="722" t="s">
        <v>744</v>
      </c>
      <c r="B114" s="592"/>
      <c r="C114" s="592"/>
      <c r="D114" s="219">
        <f>IF('Energy (direct)'!D35="Permanent loss",0,$D106*$D$109*D$112)</f>
        <v>0</v>
      </c>
      <c r="E114" s="219">
        <f>IF('Energy (direct)'!E35="Permanent loss",0,$D106*$D$109*E$112)</f>
        <v>0</v>
      </c>
      <c r="F114" s="219">
        <f>IF('Energy (direct)'!F35="Permanent loss",0,$D106*$D$109*F$112)</f>
        <v>5184</v>
      </c>
      <c r="G114" s="219">
        <f>IF('Energy (direct)'!G35="Permanent loss",0,$D106*$D$109*G$112)</f>
        <v>4235.206079547714</v>
      </c>
      <c r="H114" s="219">
        <f>IF('Energy (direct)'!H35="Permanent loss",0,$D106*$D$109*H$112)</f>
        <v>2297.0337133004123</v>
      </c>
      <c r="I114" s="219">
        <f>IF('Energy (direct)'!I35="Permanent loss",0,$D106*$D$109*I$112)</f>
        <v>1084.20385383128</v>
      </c>
      <c r="J114" s="219">
        <f>IF('Energy (direct)'!J35="Permanent loss",0,$D106*$D$109*J$112)</f>
        <v>543.5028520320368</v>
      </c>
      <c r="K114" s="219">
        <f>IF('Energy (direct)'!K35="Permanent loss",0,$D106*$D$109*K$112)</f>
        <v>274.55327624881215</v>
      </c>
      <c r="L114" s="219">
        <f>IF('Energy (direct)'!L35="Permanent loss",0,$D106*$D$109*L$112)</f>
        <v>128.6260056378525</v>
      </c>
      <c r="M114" s="219">
        <f>IF('Energy (direct)'!M35="Permanent loss",0,$D106*$D$109*M$112)</f>
        <v>0</v>
      </c>
      <c r="N114" s="217"/>
    </row>
    <row r="115" spans="1:14" ht="15" customHeight="1">
      <c r="A115" s="722" t="s">
        <v>745</v>
      </c>
      <c r="B115" s="592"/>
      <c r="C115" s="592"/>
      <c r="D115" s="219">
        <f>IF('Energy (direct)'!D35="Permanent loss",0,$D107*$D$109*D$112)</f>
        <v>0</v>
      </c>
      <c r="E115" s="219">
        <f>IF('Energy (direct)'!E35="Permanent loss",0,$D107*$D$109*E$112)</f>
        <v>0</v>
      </c>
      <c r="F115" s="219">
        <f>IF('Energy (direct)'!F35="Permanent loss",0,$D107*$D$109*F$112)</f>
        <v>354240</v>
      </c>
      <c r="G115" s="219">
        <f>IF('Energy (direct)'!G35="Permanent loss",0,$D107*$D$109*G$112)</f>
        <v>289405.74876909377</v>
      </c>
      <c r="H115" s="219">
        <f>IF('Energy (direct)'!H35="Permanent loss",0,$D107*$D$109*H$112)</f>
        <v>156963.9704088615</v>
      </c>
      <c r="I115" s="219">
        <f>IF('Energy (direct)'!I35="Permanent loss",0,$D107*$D$109*I$112)</f>
        <v>74087.26334513747</v>
      </c>
      <c r="J115" s="219">
        <f>IF('Energy (direct)'!J35="Permanent loss",0,$D107*$D$109*J$112)</f>
        <v>37139.36155552251</v>
      </c>
      <c r="K115" s="219">
        <f>IF('Energy (direct)'!K35="Permanent loss",0,$D107*$D$109*K$112)</f>
        <v>18761.140543668833</v>
      </c>
      <c r="L115" s="219">
        <f>IF('Energy (direct)'!L35="Permanent loss",0,$D107*$D$109*L$112)</f>
        <v>8789.443718586588</v>
      </c>
      <c r="M115" s="219">
        <f>IF('Energy (direct)'!M35="Permanent loss",0,$D107*$D$109*M$112)</f>
        <v>0</v>
      </c>
      <c r="N115" s="217"/>
    </row>
    <row r="117" spans="5:6" ht="15">
      <c r="E117" s="161" t="s">
        <v>262</v>
      </c>
      <c r="F117" s="161" t="s">
        <v>280</v>
      </c>
    </row>
    <row r="118" spans="1:13" ht="15">
      <c r="A118" s="728" t="str">
        <f>C66</f>
        <v>HOMES</v>
      </c>
      <c r="B118" s="724"/>
      <c r="C118" s="724"/>
      <c r="D118" s="209">
        <v>1</v>
      </c>
      <c r="E118" s="209">
        <v>0.5</v>
      </c>
      <c r="F118" s="209">
        <v>0.2</v>
      </c>
      <c r="G118" s="209">
        <v>0.1</v>
      </c>
      <c r="H118" s="209">
        <v>0.04</v>
      </c>
      <c r="I118" s="209">
        <v>0.02</v>
      </c>
      <c r="J118" s="411">
        <v>0.0133</v>
      </c>
      <c r="K118" s="209">
        <v>0.01</v>
      </c>
      <c r="L118" s="210">
        <v>0.005</v>
      </c>
      <c r="M118" s="210">
        <v>0.001</v>
      </c>
    </row>
    <row r="119" spans="3:13" ht="15">
      <c r="C119" s="209">
        <v>1</v>
      </c>
      <c r="D119" s="224">
        <f>IF($D113-D113&lt;0,0,$D113-D113)</f>
        <v>0</v>
      </c>
      <c r="E119" s="224">
        <f aca="true" t="shared" si="8" ref="E119:M119">IF($D113-E113&lt;0,0,$D113-E113)</f>
        <v>0</v>
      </c>
      <c r="F119" s="224">
        <f t="shared" si="8"/>
        <v>0</v>
      </c>
      <c r="G119" s="224">
        <f t="shared" si="8"/>
        <v>0</v>
      </c>
      <c r="H119" s="224">
        <f t="shared" si="8"/>
        <v>0</v>
      </c>
      <c r="I119" s="224">
        <f t="shared" si="8"/>
        <v>0</v>
      </c>
      <c r="J119" s="224">
        <f t="shared" si="8"/>
        <v>0</v>
      </c>
      <c r="K119" s="224">
        <f t="shared" si="8"/>
        <v>0</v>
      </c>
      <c r="L119" s="224">
        <f t="shared" si="8"/>
        <v>0</v>
      </c>
      <c r="M119" s="224">
        <f t="shared" si="8"/>
        <v>0</v>
      </c>
    </row>
    <row r="120" spans="2:13" ht="15">
      <c r="B120" s="161" t="s">
        <v>261</v>
      </c>
      <c r="C120" s="209">
        <v>0.5</v>
      </c>
      <c r="D120" s="224">
        <f>IF($E113-D113&gt;0,0,$E113-D113)</f>
        <v>0</v>
      </c>
      <c r="E120" s="224">
        <f aca="true" t="shared" si="9" ref="E120:M120">IF($E113-E113&lt;0,0,$E113-E113)</f>
        <v>0</v>
      </c>
      <c r="F120" s="224">
        <f t="shared" si="9"/>
        <v>0</v>
      </c>
      <c r="G120" s="224">
        <f t="shared" si="9"/>
        <v>0</v>
      </c>
      <c r="H120" s="224">
        <f t="shared" si="9"/>
        <v>0</v>
      </c>
      <c r="I120" s="224">
        <f t="shared" si="9"/>
        <v>0</v>
      </c>
      <c r="J120" s="224">
        <f t="shared" si="9"/>
        <v>0</v>
      </c>
      <c r="K120" s="224">
        <f t="shared" si="9"/>
        <v>0</v>
      </c>
      <c r="L120" s="224">
        <f t="shared" si="9"/>
        <v>0</v>
      </c>
      <c r="M120" s="224">
        <f t="shared" si="9"/>
        <v>0</v>
      </c>
    </row>
    <row r="121" spans="2:13" ht="15">
      <c r="B121" s="725" t="s">
        <v>281</v>
      </c>
      <c r="C121" s="209">
        <v>0.2</v>
      </c>
      <c r="D121" s="224">
        <f>IF($F113-D113&gt;0,0,$F113-D113)</f>
        <v>0</v>
      </c>
      <c r="E121" s="224">
        <f>IF($F113-E113&gt;0,0,$F113-E113)</f>
        <v>0</v>
      </c>
      <c r="F121" s="224">
        <f aca="true" t="shared" si="10" ref="F121">$F113-F113</f>
        <v>0</v>
      </c>
      <c r="G121" s="224">
        <f>IF($F113-G113&lt;0,0,$F113-G113)</f>
        <v>2.371984801130715</v>
      </c>
      <c r="H121" s="224">
        <f aca="true" t="shared" si="11" ref="H121:M121">IF($F113-H113&lt;0,0,$F113-H113)</f>
        <v>7.2174157167489685</v>
      </c>
      <c r="I121" s="224">
        <f t="shared" si="11"/>
        <v>10.2494903654218</v>
      </c>
      <c r="J121" s="224">
        <f t="shared" si="11"/>
        <v>11.601242869919908</v>
      </c>
      <c r="K121" s="224">
        <f t="shared" si="11"/>
        <v>12.273616809377968</v>
      </c>
      <c r="L121" s="224">
        <f t="shared" si="11"/>
        <v>12.638434985905368</v>
      </c>
      <c r="M121" s="224">
        <f t="shared" si="11"/>
        <v>12.959999999999999</v>
      </c>
    </row>
    <row r="122" spans="2:13" ht="15">
      <c r="B122" s="725"/>
      <c r="C122" s="209">
        <v>0.1</v>
      </c>
      <c r="D122" s="224">
        <f>IF($G113-D113&gt;0,0,$G113-D113)</f>
        <v>0</v>
      </c>
      <c r="E122" s="224">
        <f aca="true" t="shared" si="12" ref="E122:F122">IF($G113-E113&gt;0,0,$G113-E113)</f>
        <v>0</v>
      </c>
      <c r="F122" s="224">
        <f t="shared" si="12"/>
        <v>-2.371984801130715</v>
      </c>
      <c r="G122" s="224">
        <f aca="true" t="shared" si="13" ref="G122">$G113-G113</f>
        <v>0</v>
      </c>
      <c r="H122" s="224">
        <f>IF($G113-H113&lt;0,0,$G113-H113)</f>
        <v>4.845430915618254</v>
      </c>
      <c r="I122" s="224">
        <f aca="true" t="shared" si="14" ref="I122:M122">IF($G113-I113&lt;0,0,$G113-I113)</f>
        <v>7.877505564291084</v>
      </c>
      <c r="J122" s="224">
        <f t="shared" si="14"/>
        <v>9.229258068789193</v>
      </c>
      <c r="K122" s="224">
        <f t="shared" si="14"/>
        <v>9.901632008247253</v>
      </c>
      <c r="L122" s="224">
        <f t="shared" si="14"/>
        <v>10.266450184774653</v>
      </c>
      <c r="M122" s="224">
        <f t="shared" si="14"/>
        <v>10.588015198869284</v>
      </c>
    </row>
    <row r="123" spans="2:13" ht="15">
      <c r="B123" s="725"/>
      <c r="C123" s="209">
        <v>0.04</v>
      </c>
      <c r="D123" s="224">
        <f>IF($H113-D113&gt;0,0,$H113-D113)</f>
        <v>0</v>
      </c>
      <c r="E123" s="224">
        <f aca="true" t="shared" si="15" ref="E123:G123">IF($H113-E113&gt;0,0,$H113-E113)</f>
        <v>0</v>
      </c>
      <c r="F123" s="224">
        <f t="shared" si="15"/>
        <v>-7.2174157167489685</v>
      </c>
      <c r="G123" s="224">
        <f t="shared" si="15"/>
        <v>-4.845430915618254</v>
      </c>
      <c r="H123" s="224">
        <f aca="true" t="shared" si="16" ref="H123">$H113-H113</f>
        <v>0</v>
      </c>
      <c r="I123" s="224">
        <f>IF($H113-I113&lt;0,0,$H113-I113)</f>
        <v>3.0320746486728307</v>
      </c>
      <c r="J123" s="224">
        <f aca="true" t="shared" si="17" ref="J123:M123">IF($H113-J113&lt;0,0,$H113-J113)</f>
        <v>4.383827153170939</v>
      </c>
      <c r="K123" s="224">
        <f t="shared" si="17"/>
        <v>5.056201092629</v>
      </c>
      <c r="L123" s="224">
        <f t="shared" si="17"/>
        <v>5.4210192691564</v>
      </c>
      <c r="M123" s="224">
        <f t="shared" si="17"/>
        <v>5.7425842832510305</v>
      </c>
    </row>
    <row r="124" spans="2:13" ht="15">
      <c r="B124" s="725"/>
      <c r="C124" s="209">
        <v>0.02</v>
      </c>
      <c r="D124" s="224">
        <f>IF($I113-D113&gt;0,0,$I113-D113)</f>
        <v>0</v>
      </c>
      <c r="E124" s="224">
        <f aca="true" t="shared" si="18" ref="E124:H124">IF($I113-E113&gt;0,0,$I113-E113)</f>
        <v>0</v>
      </c>
      <c r="F124" s="224">
        <f t="shared" si="18"/>
        <v>-10.2494903654218</v>
      </c>
      <c r="G124" s="224">
        <f t="shared" si="18"/>
        <v>-7.877505564291084</v>
      </c>
      <c r="H124" s="224">
        <f t="shared" si="18"/>
        <v>-3.0320746486728307</v>
      </c>
      <c r="I124" s="224">
        <f aca="true" t="shared" si="19" ref="I124">$I113-I113</f>
        <v>0</v>
      </c>
      <c r="J124" s="224">
        <f>IF($I113-J113&lt;0,0,$I113-J113)</f>
        <v>1.351752504498108</v>
      </c>
      <c r="K124" s="224">
        <f aca="true" t="shared" si="20" ref="K124:M124">IF($I113-K113&lt;0,0,$I113-K113)</f>
        <v>2.0241264439561695</v>
      </c>
      <c r="L124" s="224">
        <f t="shared" si="20"/>
        <v>2.3889446204835685</v>
      </c>
      <c r="M124" s="224">
        <f t="shared" si="20"/>
        <v>2.7105096345782</v>
      </c>
    </row>
    <row r="125" spans="2:13" ht="15">
      <c r="B125" s="725"/>
      <c r="C125" s="411">
        <v>0.0133</v>
      </c>
      <c r="D125" s="224">
        <f>IF($J113-D113&gt;0,0,$J113-D113)</f>
        <v>0</v>
      </c>
      <c r="E125" s="224">
        <f aca="true" t="shared" si="21" ref="E125:I125">IF($J113-E113&gt;0,0,$J113-E113)</f>
        <v>0</v>
      </c>
      <c r="F125" s="224">
        <f t="shared" si="21"/>
        <v>-11.601242869919908</v>
      </c>
      <c r="G125" s="224">
        <f t="shared" si="21"/>
        <v>-9.229258068789193</v>
      </c>
      <c r="H125" s="224">
        <f t="shared" si="21"/>
        <v>-4.383827153170939</v>
      </c>
      <c r="I125" s="224">
        <f t="shared" si="21"/>
        <v>-1.351752504498108</v>
      </c>
      <c r="J125" s="224">
        <f aca="true" t="shared" si="22" ref="J125">$J113-J113</f>
        <v>0</v>
      </c>
      <c r="K125" s="224">
        <f>IF($J113-K113&lt;0,0,$J113-K113)</f>
        <v>0.6723739394580613</v>
      </c>
      <c r="L125" s="224">
        <f aca="true" t="shared" si="23" ref="L125:M125">IF($J113-L113&lt;0,0,$J113-L113)</f>
        <v>1.0371921159854605</v>
      </c>
      <c r="M125" s="224">
        <f t="shared" si="23"/>
        <v>1.3587571300800918</v>
      </c>
    </row>
    <row r="126" spans="2:13" ht="15">
      <c r="B126" s="725"/>
      <c r="C126" s="209">
        <v>0.01</v>
      </c>
      <c r="D126" s="224">
        <f>IF($K113-D113&gt;0,0,$K113-D113)</f>
        <v>0</v>
      </c>
      <c r="E126" s="224">
        <f aca="true" t="shared" si="24" ref="E126:J126">IF($K113-E113&gt;0,0,$K113-E113)</f>
        <v>0</v>
      </c>
      <c r="F126" s="224">
        <f t="shared" si="24"/>
        <v>-12.273616809377968</v>
      </c>
      <c r="G126" s="224">
        <f t="shared" si="24"/>
        <v>-9.901632008247253</v>
      </c>
      <c r="H126" s="224">
        <f t="shared" si="24"/>
        <v>-5.056201092629</v>
      </c>
      <c r="I126" s="224">
        <f t="shared" si="24"/>
        <v>-2.0241264439561695</v>
      </c>
      <c r="J126" s="224">
        <f t="shared" si="24"/>
        <v>-0.6723739394580613</v>
      </c>
      <c r="K126" s="224">
        <f aca="true" t="shared" si="25" ref="K126">$K113-K113</f>
        <v>0</v>
      </c>
      <c r="L126" s="224">
        <f>IF($K113-L113&lt;0,0,$K113-L113)</f>
        <v>0.3648181765273992</v>
      </c>
      <c r="M126" s="224">
        <f>IF($K113-M113&lt;0,0,$K113-M113)</f>
        <v>0.6863831906220305</v>
      </c>
    </row>
    <row r="127" spans="2:13" ht="15">
      <c r="B127" s="725"/>
      <c r="C127" s="210">
        <v>0.005</v>
      </c>
      <c r="D127" s="224">
        <f>IF($L113-D113&gt;0,0,$L113-D113)</f>
        <v>0</v>
      </c>
      <c r="E127" s="224">
        <f aca="true" t="shared" si="26" ref="E127:J127">IF($L113-E113&gt;0,0,$L113-E113)</f>
        <v>0</v>
      </c>
      <c r="F127" s="224">
        <f t="shared" si="26"/>
        <v>-12.638434985905368</v>
      </c>
      <c r="G127" s="224">
        <f t="shared" si="26"/>
        <v>-10.266450184774653</v>
      </c>
      <c r="H127" s="224">
        <f t="shared" si="26"/>
        <v>-5.4210192691564</v>
      </c>
      <c r="I127" s="224">
        <f t="shared" si="26"/>
        <v>-2.3889446204835685</v>
      </c>
      <c r="J127" s="224">
        <f t="shared" si="26"/>
        <v>-1.0371921159854605</v>
      </c>
      <c r="K127" s="224">
        <f aca="true" t="shared" si="27" ref="K127">$L113-K113</f>
        <v>-0.3648181765273992</v>
      </c>
      <c r="L127" s="224">
        <f>IF($L113-L113&lt;0,0,$L113-L113)</f>
        <v>0</v>
      </c>
      <c r="M127" s="224">
        <f>IF($L113-M113&lt;0,0,$L113-M113)</f>
        <v>0.3215650140946313</v>
      </c>
    </row>
    <row r="128" spans="2:13" ht="15">
      <c r="B128" s="725"/>
      <c r="C128" s="210">
        <v>0.001</v>
      </c>
      <c r="D128" s="224">
        <f>IF($M113-D113&gt;0,0,$M113-D113)</f>
        <v>0</v>
      </c>
      <c r="E128" s="224">
        <f aca="true" t="shared" si="28" ref="E128:L128">IF($M113-E113&gt;0,0,$M113-E113)</f>
        <v>0</v>
      </c>
      <c r="F128" s="224">
        <f t="shared" si="28"/>
        <v>-12.959999999999999</v>
      </c>
      <c r="G128" s="224">
        <f t="shared" si="28"/>
        <v>-10.588015198869284</v>
      </c>
      <c r="H128" s="224">
        <f t="shared" si="28"/>
        <v>-5.7425842832510305</v>
      </c>
      <c r="I128" s="224">
        <f t="shared" si="28"/>
        <v>-2.7105096345782</v>
      </c>
      <c r="J128" s="224">
        <f t="shared" si="28"/>
        <v>-1.3587571300800918</v>
      </c>
      <c r="K128" s="224">
        <f t="shared" si="28"/>
        <v>-0.6863831906220305</v>
      </c>
      <c r="L128" s="224">
        <f t="shared" si="28"/>
        <v>-0.3215650140946313</v>
      </c>
      <c r="M128" s="224">
        <f aca="true" t="shared" si="29" ref="M128">$M113-M113</f>
        <v>0</v>
      </c>
    </row>
    <row r="130" spans="5:6" ht="15">
      <c r="E130" s="161" t="s">
        <v>262</v>
      </c>
      <c r="F130" s="161" t="s">
        <v>280</v>
      </c>
    </row>
    <row r="131" spans="1:13" ht="15">
      <c r="A131" s="728" t="str">
        <f>A79</f>
        <v>SMALL/MEDIUM SIZED BUSINESSES</v>
      </c>
      <c r="B131" s="724"/>
      <c r="C131" s="724"/>
      <c r="D131" s="209">
        <v>1</v>
      </c>
      <c r="E131" s="209">
        <v>0.5</v>
      </c>
      <c r="F131" s="209">
        <v>0.2</v>
      </c>
      <c r="G131" s="209">
        <v>0.1</v>
      </c>
      <c r="H131" s="209">
        <v>0.04</v>
      </c>
      <c r="I131" s="209">
        <v>0.02</v>
      </c>
      <c r="J131" s="411">
        <v>0.0133</v>
      </c>
      <c r="K131" s="209">
        <v>0.01</v>
      </c>
      <c r="L131" s="210">
        <v>0.005</v>
      </c>
      <c r="M131" s="210">
        <v>0.001</v>
      </c>
    </row>
    <row r="132" spans="3:13" ht="15">
      <c r="C132" s="209">
        <v>1</v>
      </c>
      <c r="D132" s="224">
        <f aca="true" t="shared" si="30" ref="D132">IF($D114-D114&lt;0,0,$D114-D114)</f>
        <v>0</v>
      </c>
      <c r="E132" s="224">
        <f aca="true" t="shared" si="31" ref="E132:M132">IF($D114-E114&lt;0,0,$D114-E114)</f>
        <v>0</v>
      </c>
      <c r="F132" s="224">
        <f t="shared" si="31"/>
        <v>0</v>
      </c>
      <c r="G132" s="224">
        <f t="shared" si="31"/>
        <v>0</v>
      </c>
      <c r="H132" s="224">
        <f t="shared" si="31"/>
        <v>0</v>
      </c>
      <c r="I132" s="224">
        <f t="shared" si="31"/>
        <v>0</v>
      </c>
      <c r="J132" s="224">
        <f t="shared" si="31"/>
        <v>0</v>
      </c>
      <c r="K132" s="224">
        <f t="shared" si="31"/>
        <v>0</v>
      </c>
      <c r="L132" s="224">
        <f t="shared" si="31"/>
        <v>0</v>
      </c>
      <c r="M132" s="224">
        <f t="shared" si="31"/>
        <v>0</v>
      </c>
    </row>
    <row r="133" spans="2:13" ht="15">
      <c r="B133" s="161" t="s">
        <v>261</v>
      </c>
      <c r="C133" s="209">
        <v>0.5</v>
      </c>
      <c r="D133" s="224">
        <f>IF($E114-D114&gt;0,0,$E114-D114)</f>
        <v>0</v>
      </c>
      <c r="E133" s="224">
        <f aca="true" t="shared" si="32" ref="E133:M133">IF($E114-E114&lt;0,0,$E114-E114)</f>
        <v>0</v>
      </c>
      <c r="F133" s="224">
        <f t="shared" si="32"/>
        <v>0</v>
      </c>
      <c r="G133" s="224">
        <f t="shared" si="32"/>
        <v>0</v>
      </c>
      <c r="H133" s="224">
        <f t="shared" si="32"/>
        <v>0</v>
      </c>
      <c r="I133" s="224">
        <f t="shared" si="32"/>
        <v>0</v>
      </c>
      <c r="J133" s="224">
        <f t="shared" si="32"/>
        <v>0</v>
      </c>
      <c r="K133" s="224">
        <f t="shared" si="32"/>
        <v>0</v>
      </c>
      <c r="L133" s="224">
        <f t="shared" si="32"/>
        <v>0</v>
      </c>
      <c r="M133" s="224">
        <f t="shared" si="32"/>
        <v>0</v>
      </c>
    </row>
    <row r="134" spans="2:13" ht="15">
      <c r="B134" s="725" t="s">
        <v>281</v>
      </c>
      <c r="C134" s="209">
        <v>0.2</v>
      </c>
      <c r="D134" s="224">
        <f>IF($F114-D114&gt;0,0,$F114-D114)</f>
        <v>0</v>
      </c>
      <c r="E134" s="224">
        <f>IF($F114-E114&gt;0,0,$F114-E114)</f>
        <v>0</v>
      </c>
      <c r="F134" s="224">
        <f aca="true" t="shared" si="33" ref="F134">$F114-F114</f>
        <v>0</v>
      </c>
      <c r="G134" s="224">
        <f>IF($F114-G114&lt;0,0,$F114-G114)</f>
        <v>948.7939204522863</v>
      </c>
      <c r="H134" s="224">
        <f aca="true" t="shared" si="34" ref="H134:M134">IF($F114-H114&lt;0,0,$F114-H114)</f>
        <v>2886.9662866995877</v>
      </c>
      <c r="I134" s="224">
        <f t="shared" si="34"/>
        <v>4099.79614616872</v>
      </c>
      <c r="J134" s="224">
        <f t="shared" si="34"/>
        <v>4640.497147967963</v>
      </c>
      <c r="K134" s="224">
        <f t="shared" si="34"/>
        <v>4909.446723751188</v>
      </c>
      <c r="L134" s="224">
        <f t="shared" si="34"/>
        <v>5055.373994362148</v>
      </c>
      <c r="M134" s="224">
        <f t="shared" si="34"/>
        <v>5184</v>
      </c>
    </row>
    <row r="135" spans="2:13" ht="15">
      <c r="B135" s="725"/>
      <c r="C135" s="209">
        <v>0.1</v>
      </c>
      <c r="D135" s="224">
        <f>IF($G114-D114&gt;0,0,$G114-D114)</f>
        <v>0</v>
      </c>
      <c r="E135" s="224">
        <f aca="true" t="shared" si="35" ref="E135:F135">IF($G114-E114&gt;0,0,$G114-E114)</f>
        <v>0</v>
      </c>
      <c r="F135" s="224">
        <f t="shared" si="35"/>
        <v>-948.7939204522863</v>
      </c>
      <c r="G135" s="224">
        <f aca="true" t="shared" si="36" ref="G135">$G114-G114</f>
        <v>0</v>
      </c>
      <c r="H135" s="224">
        <f>IF($G114-H114&lt;0,0,$G114-H114)</f>
        <v>1938.1723662473014</v>
      </c>
      <c r="I135" s="224">
        <f aca="true" t="shared" si="37" ref="I135:M135">IF($G114-I114&lt;0,0,$G114-I114)</f>
        <v>3151.0022257164337</v>
      </c>
      <c r="J135" s="224">
        <f t="shared" si="37"/>
        <v>3691.703227515677</v>
      </c>
      <c r="K135" s="224">
        <f t="shared" si="37"/>
        <v>3960.6528032989017</v>
      </c>
      <c r="L135" s="224">
        <f t="shared" si="37"/>
        <v>4106.580073909861</v>
      </c>
      <c r="M135" s="224">
        <f t="shared" si="37"/>
        <v>4235.206079547714</v>
      </c>
    </row>
    <row r="136" spans="2:13" ht="15">
      <c r="B136" s="725"/>
      <c r="C136" s="209">
        <v>0.04</v>
      </c>
      <c r="D136" s="224">
        <f>IF($H114-D114&gt;0,0,$H114-D114)</f>
        <v>0</v>
      </c>
      <c r="E136" s="224">
        <f aca="true" t="shared" si="38" ref="E136:G136">IF($H114-E114&gt;0,0,$H114-E114)</f>
        <v>0</v>
      </c>
      <c r="F136" s="224">
        <f t="shared" si="38"/>
        <v>-2886.9662866995877</v>
      </c>
      <c r="G136" s="224">
        <f t="shared" si="38"/>
        <v>-1938.1723662473014</v>
      </c>
      <c r="H136" s="224">
        <f aca="true" t="shared" si="39" ref="H136">$H114-H114</f>
        <v>0</v>
      </c>
      <c r="I136" s="224">
        <f>IF($H114-I114&lt;0,0,$H114-I114)</f>
        <v>1212.8298594691323</v>
      </c>
      <c r="J136" s="224">
        <f aca="true" t="shared" si="40" ref="J136:M136">IF($H114-J114&lt;0,0,$H114-J114)</f>
        <v>1753.5308612683755</v>
      </c>
      <c r="K136" s="224">
        <f t="shared" si="40"/>
        <v>2022.4804370516001</v>
      </c>
      <c r="L136" s="224">
        <f t="shared" si="40"/>
        <v>2168.40770766256</v>
      </c>
      <c r="M136" s="224">
        <f t="shared" si="40"/>
        <v>2297.0337133004123</v>
      </c>
    </row>
    <row r="137" spans="2:13" ht="15">
      <c r="B137" s="725"/>
      <c r="C137" s="209">
        <v>0.02</v>
      </c>
      <c r="D137" s="224">
        <f>IF($I114-D114&gt;0,0,$I114-D114)</f>
        <v>0</v>
      </c>
      <c r="E137" s="224">
        <f aca="true" t="shared" si="41" ref="E137:H137">IF($I114-E114&gt;0,0,$I114-E114)</f>
        <v>0</v>
      </c>
      <c r="F137" s="224">
        <f t="shared" si="41"/>
        <v>-4099.79614616872</v>
      </c>
      <c r="G137" s="224">
        <f t="shared" si="41"/>
        <v>-3151.0022257164337</v>
      </c>
      <c r="H137" s="224">
        <f t="shared" si="41"/>
        <v>-1212.8298594691323</v>
      </c>
      <c r="I137" s="224">
        <f aca="true" t="shared" si="42" ref="I137">$I114-I114</f>
        <v>0</v>
      </c>
      <c r="J137" s="224">
        <f>IF($I114-J114&lt;0,0,$I114-J114)</f>
        <v>540.7010017992432</v>
      </c>
      <c r="K137" s="224">
        <f aca="true" t="shared" si="43" ref="K137:M137">IF($I114-K114&lt;0,0,$I114-K114)</f>
        <v>809.6505775824678</v>
      </c>
      <c r="L137" s="224">
        <f t="shared" si="43"/>
        <v>955.5778481934275</v>
      </c>
      <c r="M137" s="224">
        <f t="shared" si="43"/>
        <v>1084.20385383128</v>
      </c>
    </row>
    <row r="138" spans="2:13" ht="15">
      <c r="B138" s="725"/>
      <c r="C138" s="411">
        <v>0.0133</v>
      </c>
      <c r="D138" s="224">
        <f>IF($J114-D114&gt;0,0,$J114-D114)</f>
        <v>0</v>
      </c>
      <c r="E138" s="224">
        <f aca="true" t="shared" si="44" ref="E138:I138">IF($J114-E114&gt;0,0,$J114-E114)</f>
        <v>0</v>
      </c>
      <c r="F138" s="224">
        <f t="shared" si="44"/>
        <v>-4640.497147967963</v>
      </c>
      <c r="G138" s="224">
        <f t="shared" si="44"/>
        <v>-3691.703227515677</v>
      </c>
      <c r="H138" s="224">
        <f t="shared" si="44"/>
        <v>-1753.5308612683755</v>
      </c>
      <c r="I138" s="224">
        <f t="shared" si="44"/>
        <v>-540.7010017992432</v>
      </c>
      <c r="J138" s="224">
        <f aca="true" t="shared" si="45" ref="J138">$J114-J114</f>
        <v>0</v>
      </c>
      <c r="K138" s="224">
        <f>IF($J114-K114&lt;0,0,$J114-K114)</f>
        <v>268.94957578322465</v>
      </c>
      <c r="L138" s="224">
        <f aca="true" t="shared" si="46" ref="L138:M138">IF($J114-L114&lt;0,0,$J114-L114)</f>
        <v>414.8768463941843</v>
      </c>
      <c r="M138" s="224">
        <f t="shared" si="46"/>
        <v>543.5028520320368</v>
      </c>
    </row>
    <row r="139" spans="2:13" ht="15">
      <c r="B139" s="725"/>
      <c r="C139" s="209">
        <v>0.01</v>
      </c>
      <c r="D139" s="224">
        <f>IF($K114-D114&gt;0,0,$K114-D114)</f>
        <v>0</v>
      </c>
      <c r="E139" s="224">
        <f aca="true" t="shared" si="47" ref="E139:J139">IF($K114-E114&gt;0,0,$K114-E114)</f>
        <v>0</v>
      </c>
      <c r="F139" s="224">
        <f t="shared" si="47"/>
        <v>-4909.446723751188</v>
      </c>
      <c r="G139" s="224">
        <f t="shared" si="47"/>
        <v>-3960.6528032989017</v>
      </c>
      <c r="H139" s="224">
        <f t="shared" si="47"/>
        <v>-2022.4804370516001</v>
      </c>
      <c r="I139" s="224">
        <f t="shared" si="47"/>
        <v>-809.6505775824678</v>
      </c>
      <c r="J139" s="224">
        <f t="shared" si="47"/>
        <v>-268.94957578322465</v>
      </c>
      <c r="K139" s="224">
        <f aca="true" t="shared" si="48" ref="K139">$K114-K114</f>
        <v>0</v>
      </c>
      <c r="L139" s="224">
        <f>IF($K114-L114&lt;0,0,$K114-L114)</f>
        <v>145.92727061095965</v>
      </c>
      <c r="M139" s="224">
        <f>IF($K114-M114&lt;0,0,$K114-M114)</f>
        <v>274.55327624881215</v>
      </c>
    </row>
    <row r="140" spans="2:13" ht="15">
      <c r="B140" s="725"/>
      <c r="C140" s="210">
        <v>0.005</v>
      </c>
      <c r="D140" s="224">
        <f>IF($L114-D114&gt;0,0,$L114-D114)</f>
        <v>0</v>
      </c>
      <c r="E140" s="224">
        <f aca="true" t="shared" si="49" ref="E140:K140">IF($L114-E114&gt;0,0,$L114-E114)</f>
        <v>0</v>
      </c>
      <c r="F140" s="224">
        <f t="shared" si="49"/>
        <v>-5055.373994362148</v>
      </c>
      <c r="G140" s="224">
        <f t="shared" si="49"/>
        <v>-4106.580073909861</v>
      </c>
      <c r="H140" s="224">
        <f t="shared" si="49"/>
        <v>-2168.40770766256</v>
      </c>
      <c r="I140" s="224">
        <f t="shared" si="49"/>
        <v>-955.5778481934275</v>
      </c>
      <c r="J140" s="224">
        <f t="shared" si="49"/>
        <v>-414.8768463941843</v>
      </c>
      <c r="K140" s="224">
        <f t="shared" si="49"/>
        <v>-145.92727061095965</v>
      </c>
      <c r="L140" s="224">
        <f aca="true" t="shared" si="50" ref="L140">$L114-L114</f>
        <v>0</v>
      </c>
      <c r="M140" s="224">
        <f>IF($L114-M114&lt;0,0,$L114-M114)</f>
        <v>128.6260056378525</v>
      </c>
    </row>
    <row r="141" spans="2:13" ht="15">
      <c r="B141" s="725"/>
      <c r="C141" s="210">
        <v>0.001</v>
      </c>
      <c r="D141" s="224">
        <f>IF($M114-D114&gt;0,0,$M114-D114)</f>
        <v>0</v>
      </c>
      <c r="E141" s="224">
        <f aca="true" t="shared" si="51" ref="E141:L141">IF($M114-E114&gt;0,0,$M114-E114)</f>
        <v>0</v>
      </c>
      <c r="F141" s="224">
        <f t="shared" si="51"/>
        <v>-5184</v>
      </c>
      <c r="G141" s="224">
        <f t="shared" si="51"/>
        <v>-4235.206079547714</v>
      </c>
      <c r="H141" s="224">
        <f t="shared" si="51"/>
        <v>-2297.0337133004123</v>
      </c>
      <c r="I141" s="224">
        <f t="shared" si="51"/>
        <v>-1084.20385383128</v>
      </c>
      <c r="J141" s="224">
        <f t="shared" si="51"/>
        <v>-543.5028520320368</v>
      </c>
      <c r="K141" s="224">
        <f t="shared" si="51"/>
        <v>-274.55327624881215</v>
      </c>
      <c r="L141" s="224">
        <f t="shared" si="51"/>
        <v>-128.6260056378525</v>
      </c>
      <c r="M141" s="224">
        <f aca="true" t="shared" si="52" ref="M141">$M114-M114</f>
        <v>0</v>
      </c>
    </row>
    <row r="143" spans="5:6" ht="15">
      <c r="E143" s="161" t="s">
        <v>262</v>
      </c>
      <c r="F143" s="161" t="s">
        <v>280</v>
      </c>
    </row>
    <row r="144" spans="1:13" ht="15">
      <c r="A144" s="728" t="str">
        <f>C92</f>
        <v>LARGE BUSINESSES</v>
      </c>
      <c r="B144" s="724"/>
      <c r="C144" s="724"/>
      <c r="D144" s="209">
        <v>1</v>
      </c>
      <c r="E144" s="209">
        <v>0.5</v>
      </c>
      <c r="F144" s="209">
        <v>0.2</v>
      </c>
      <c r="G144" s="209">
        <v>0.1</v>
      </c>
      <c r="H144" s="209">
        <v>0.04</v>
      </c>
      <c r="I144" s="209">
        <v>0.02</v>
      </c>
      <c r="J144" s="411">
        <v>0.0133</v>
      </c>
      <c r="K144" s="209">
        <v>0.01</v>
      </c>
      <c r="L144" s="210">
        <v>0.005</v>
      </c>
      <c r="M144" s="210">
        <v>0.001</v>
      </c>
    </row>
    <row r="145" spans="3:13" ht="15">
      <c r="C145" s="209">
        <v>1</v>
      </c>
      <c r="D145" s="224">
        <f aca="true" t="shared" si="53" ref="D145">IF($D115-D115&lt;0,0,$D115-D115)</f>
        <v>0</v>
      </c>
      <c r="E145" s="224">
        <f aca="true" t="shared" si="54" ref="E145:M145">IF($D115-E115&lt;0,0,$D115-E115)</f>
        <v>0</v>
      </c>
      <c r="F145" s="224">
        <f t="shared" si="54"/>
        <v>0</v>
      </c>
      <c r="G145" s="224">
        <f t="shared" si="54"/>
        <v>0</v>
      </c>
      <c r="H145" s="224">
        <f t="shared" si="54"/>
        <v>0</v>
      </c>
      <c r="I145" s="224">
        <f t="shared" si="54"/>
        <v>0</v>
      </c>
      <c r="J145" s="224">
        <f t="shared" si="54"/>
        <v>0</v>
      </c>
      <c r="K145" s="224">
        <f t="shared" si="54"/>
        <v>0</v>
      </c>
      <c r="L145" s="224">
        <f t="shared" si="54"/>
        <v>0</v>
      </c>
      <c r="M145" s="224">
        <f t="shared" si="54"/>
        <v>0</v>
      </c>
    </row>
    <row r="146" spans="2:13" ht="15">
      <c r="B146" s="161" t="s">
        <v>261</v>
      </c>
      <c r="C146" s="209">
        <v>0.5</v>
      </c>
      <c r="D146" s="224">
        <f>IF($E115-D115&gt;0,0,$E115-D115)</f>
        <v>0</v>
      </c>
      <c r="E146" s="224">
        <f aca="true" t="shared" si="55" ref="E146:M146">IF($E115-E115&lt;0,0,$E115-E115)</f>
        <v>0</v>
      </c>
      <c r="F146" s="224">
        <f t="shared" si="55"/>
        <v>0</v>
      </c>
      <c r="G146" s="224">
        <f t="shared" si="55"/>
        <v>0</v>
      </c>
      <c r="H146" s="224">
        <f t="shared" si="55"/>
        <v>0</v>
      </c>
      <c r="I146" s="224">
        <f t="shared" si="55"/>
        <v>0</v>
      </c>
      <c r="J146" s="224">
        <f t="shared" si="55"/>
        <v>0</v>
      </c>
      <c r="K146" s="224">
        <f t="shared" si="55"/>
        <v>0</v>
      </c>
      <c r="L146" s="224">
        <f t="shared" si="55"/>
        <v>0</v>
      </c>
      <c r="M146" s="224">
        <f t="shared" si="55"/>
        <v>0</v>
      </c>
    </row>
    <row r="147" spans="2:13" ht="15">
      <c r="B147" s="725" t="s">
        <v>281</v>
      </c>
      <c r="C147" s="209">
        <v>0.2</v>
      </c>
      <c r="D147" s="224">
        <f>IF($F115-D115&gt;0,0,$F115-D115)</f>
        <v>0</v>
      </c>
      <c r="E147" s="224">
        <f>IF($F115-E115&gt;0,0,$F115-E115)</f>
        <v>0</v>
      </c>
      <c r="F147" s="224">
        <f aca="true" t="shared" si="56" ref="F147">$F115-F115</f>
        <v>0</v>
      </c>
      <c r="G147" s="224">
        <f>IF($F115-G115&lt;0,0,$F115-G115)</f>
        <v>64834.25123090623</v>
      </c>
      <c r="H147" s="224">
        <f aca="true" t="shared" si="57" ref="H147:M147">IF($F115-H115&lt;0,0,$F115-H115)</f>
        <v>197276.0295911385</v>
      </c>
      <c r="I147" s="224">
        <f t="shared" si="57"/>
        <v>280152.7366548625</v>
      </c>
      <c r="J147" s="224">
        <f t="shared" si="57"/>
        <v>317100.63844447746</v>
      </c>
      <c r="K147" s="224">
        <f t="shared" si="57"/>
        <v>335478.8594563312</v>
      </c>
      <c r="L147" s="224">
        <f t="shared" si="57"/>
        <v>345450.5562814134</v>
      </c>
      <c r="M147" s="224">
        <f t="shared" si="57"/>
        <v>354240</v>
      </c>
    </row>
    <row r="148" spans="2:13" ht="15">
      <c r="B148" s="725"/>
      <c r="C148" s="209">
        <v>0.1</v>
      </c>
      <c r="D148" s="224">
        <f>IF($G115-D115&gt;0,0,$G115-D115)</f>
        <v>0</v>
      </c>
      <c r="E148" s="224">
        <f aca="true" t="shared" si="58" ref="E148:F148">IF($G115-E115&gt;0,0,$G115-E115)</f>
        <v>0</v>
      </c>
      <c r="F148" s="224">
        <f t="shared" si="58"/>
        <v>-64834.25123090623</v>
      </c>
      <c r="G148" s="224">
        <f aca="true" t="shared" si="59" ref="G148">$G115-G115</f>
        <v>0</v>
      </c>
      <c r="H148" s="224">
        <f>IF($G115-H115&lt;0,0,$G115-H115)</f>
        <v>132441.77836023227</v>
      </c>
      <c r="I148" s="224">
        <f aca="true" t="shared" si="60" ref="I148:M148">IF($G115-I115&lt;0,0,$G115-I115)</f>
        <v>215318.4854239563</v>
      </c>
      <c r="J148" s="224">
        <f t="shared" si="60"/>
        <v>252266.38721357126</v>
      </c>
      <c r="K148" s="224">
        <f t="shared" si="60"/>
        <v>270644.60822542495</v>
      </c>
      <c r="L148" s="224">
        <f t="shared" si="60"/>
        <v>280616.3050505072</v>
      </c>
      <c r="M148" s="224">
        <f t="shared" si="60"/>
        <v>289405.74876909377</v>
      </c>
    </row>
    <row r="149" spans="2:13" ht="15">
      <c r="B149" s="725"/>
      <c r="C149" s="209">
        <v>0.04</v>
      </c>
      <c r="D149" s="224">
        <f>IF($H115-D115&gt;0,0,$H115-D115)</f>
        <v>0</v>
      </c>
      <c r="E149" s="224">
        <f aca="true" t="shared" si="61" ref="E149:G149">IF($H115-E115&gt;0,0,$H115-E115)</f>
        <v>0</v>
      </c>
      <c r="F149" s="224">
        <f t="shared" si="61"/>
        <v>-197276.0295911385</v>
      </c>
      <c r="G149" s="224">
        <f t="shared" si="61"/>
        <v>-132441.77836023227</v>
      </c>
      <c r="H149" s="224">
        <f aca="true" t="shared" si="62" ref="H149">$H115-H115</f>
        <v>0</v>
      </c>
      <c r="I149" s="224">
        <f>IF($H115-I115&lt;0,0,$H115-I115)</f>
        <v>82876.70706372402</v>
      </c>
      <c r="J149" s="224">
        <f aca="true" t="shared" si="63" ref="J149:M149">IF($H115-J115&lt;0,0,$H115-J115)</f>
        <v>119824.60885333898</v>
      </c>
      <c r="K149" s="224">
        <f t="shared" si="63"/>
        <v>138202.82986519267</v>
      </c>
      <c r="L149" s="224">
        <f t="shared" si="63"/>
        <v>148174.5266902749</v>
      </c>
      <c r="M149" s="224">
        <f t="shared" si="63"/>
        <v>156963.9704088615</v>
      </c>
    </row>
    <row r="150" spans="2:13" ht="15">
      <c r="B150" s="725"/>
      <c r="C150" s="209">
        <v>0.02</v>
      </c>
      <c r="D150" s="224">
        <f>IF($I115-D115&gt;0,0,$I115-D115)</f>
        <v>0</v>
      </c>
      <c r="E150" s="224">
        <f aca="true" t="shared" si="64" ref="E150:H150">IF($I115-E115&gt;0,0,$I115-E115)</f>
        <v>0</v>
      </c>
      <c r="F150" s="224">
        <f t="shared" si="64"/>
        <v>-280152.7366548625</v>
      </c>
      <c r="G150" s="224">
        <f t="shared" si="64"/>
        <v>-215318.4854239563</v>
      </c>
      <c r="H150" s="224">
        <f t="shared" si="64"/>
        <v>-82876.70706372402</v>
      </c>
      <c r="I150" s="224">
        <f aca="true" t="shared" si="65" ref="I150">$I115-I115</f>
        <v>0</v>
      </c>
      <c r="J150" s="224">
        <f>IF($I115-J115&lt;0,0,$I115-J115)</f>
        <v>36947.90178961496</v>
      </c>
      <c r="K150" s="224">
        <f aca="true" t="shared" si="66" ref="K150:M150">IF($I115-K115&lt;0,0,$I115-K115)</f>
        <v>55326.122801468635</v>
      </c>
      <c r="L150" s="224">
        <f t="shared" si="66"/>
        <v>65297.81962655088</v>
      </c>
      <c r="M150" s="224">
        <f t="shared" si="66"/>
        <v>74087.26334513747</v>
      </c>
    </row>
    <row r="151" spans="2:13" ht="15">
      <c r="B151" s="725"/>
      <c r="C151" s="411">
        <v>0.0133</v>
      </c>
      <c r="D151" s="224">
        <f>IF($J115-D115&gt;0,0,$J115-D115)</f>
        <v>0</v>
      </c>
      <c r="E151" s="224">
        <f aca="true" t="shared" si="67" ref="E151:I151">IF($J115-E115&gt;0,0,$J115-E115)</f>
        <v>0</v>
      </c>
      <c r="F151" s="224">
        <f t="shared" si="67"/>
        <v>-317100.63844447746</v>
      </c>
      <c r="G151" s="224">
        <f t="shared" si="67"/>
        <v>-252266.38721357126</v>
      </c>
      <c r="H151" s="224">
        <f t="shared" si="67"/>
        <v>-119824.60885333898</v>
      </c>
      <c r="I151" s="224">
        <f t="shared" si="67"/>
        <v>-36947.90178961496</v>
      </c>
      <c r="J151" s="224">
        <f aca="true" t="shared" si="68" ref="J151">$J115-J115</f>
        <v>0</v>
      </c>
      <c r="K151" s="224">
        <f>IF($J115-K115&lt;0,0,$J115-K115)</f>
        <v>18378.22101185368</v>
      </c>
      <c r="L151" s="224">
        <f aca="true" t="shared" si="69" ref="L151:M151">IF($J115-L115&lt;0,0,$J115-L115)</f>
        <v>28349.91783693592</v>
      </c>
      <c r="M151" s="224">
        <f t="shared" si="69"/>
        <v>37139.36155552251</v>
      </c>
    </row>
    <row r="152" spans="2:13" ht="15">
      <c r="B152" s="725"/>
      <c r="C152" s="209">
        <v>0.01</v>
      </c>
      <c r="D152" s="224">
        <f>IF($K115-D115&gt;0,0,$K115-D115)</f>
        <v>0</v>
      </c>
      <c r="E152" s="224">
        <f aca="true" t="shared" si="70" ref="E152:J152">IF($K115-E115&gt;0,0,$K115-E115)</f>
        <v>0</v>
      </c>
      <c r="F152" s="224">
        <f t="shared" si="70"/>
        <v>-335478.8594563312</v>
      </c>
      <c r="G152" s="224">
        <f t="shared" si="70"/>
        <v>-270644.60822542495</v>
      </c>
      <c r="H152" s="224">
        <f t="shared" si="70"/>
        <v>-138202.82986519267</v>
      </c>
      <c r="I152" s="224">
        <f t="shared" si="70"/>
        <v>-55326.122801468635</v>
      </c>
      <c r="J152" s="224">
        <f t="shared" si="70"/>
        <v>-18378.22101185368</v>
      </c>
      <c r="K152" s="224">
        <f aca="true" t="shared" si="71" ref="K152">$K115-K115</f>
        <v>0</v>
      </c>
      <c r="L152" s="224">
        <f>IF($K115-L115&lt;0,0,$K115-L115)</f>
        <v>9971.696825082245</v>
      </c>
      <c r="M152" s="224">
        <f>IF($K115-M115&lt;0,0,$K115-M115)</f>
        <v>18761.140543668833</v>
      </c>
    </row>
    <row r="153" spans="2:13" ht="15">
      <c r="B153" s="725"/>
      <c r="C153" s="210">
        <v>0.005</v>
      </c>
      <c r="D153" s="224">
        <f>IF($L115-D115&gt;0,0,$L115-D115)</f>
        <v>0</v>
      </c>
      <c r="E153" s="224">
        <f aca="true" t="shared" si="72" ref="E153:K153">IF($L115-E115&gt;0,0,$L115-E115)</f>
        <v>0</v>
      </c>
      <c r="F153" s="224">
        <f t="shared" si="72"/>
        <v>-345450.5562814134</v>
      </c>
      <c r="G153" s="224">
        <f t="shared" si="72"/>
        <v>-280616.3050505072</v>
      </c>
      <c r="H153" s="224">
        <f t="shared" si="72"/>
        <v>-148174.5266902749</v>
      </c>
      <c r="I153" s="224">
        <f t="shared" si="72"/>
        <v>-65297.81962655088</v>
      </c>
      <c r="J153" s="224">
        <f t="shared" si="72"/>
        <v>-28349.91783693592</v>
      </c>
      <c r="K153" s="224">
        <f t="shared" si="72"/>
        <v>-9971.696825082245</v>
      </c>
      <c r="L153" s="224">
        <f aca="true" t="shared" si="73" ref="L153">$L115-L115</f>
        <v>0</v>
      </c>
      <c r="M153" s="224">
        <f>IF($L115-M115&lt;0,0,$L115-M115)</f>
        <v>8789.443718586588</v>
      </c>
    </row>
    <row r="154" spans="2:13" ht="15">
      <c r="B154" s="725"/>
      <c r="C154" s="210">
        <v>0.001</v>
      </c>
      <c r="D154" s="224">
        <f>IF($M115-D115&gt;0,0,$M115-D115)</f>
        <v>0</v>
      </c>
      <c r="E154" s="224">
        <f aca="true" t="shared" si="74" ref="E154:L154">IF($M115-E115&gt;0,0,$M115-E115)</f>
        <v>0</v>
      </c>
      <c r="F154" s="224">
        <f t="shared" si="74"/>
        <v>-354240</v>
      </c>
      <c r="G154" s="224">
        <f t="shared" si="74"/>
        <v>-289405.74876909377</v>
      </c>
      <c r="H154" s="224">
        <f t="shared" si="74"/>
        <v>-156963.9704088615</v>
      </c>
      <c r="I154" s="224">
        <f t="shared" si="74"/>
        <v>-74087.26334513747</v>
      </c>
      <c r="J154" s="224">
        <f t="shared" si="74"/>
        <v>-37139.36155552251</v>
      </c>
      <c r="K154" s="224">
        <f t="shared" si="74"/>
        <v>-18761.140543668833</v>
      </c>
      <c r="L154" s="224">
        <f t="shared" si="74"/>
        <v>-8789.443718586588</v>
      </c>
      <c r="M154" s="224">
        <f aca="true" t="shared" si="75" ref="M154">$M115-M115</f>
        <v>0</v>
      </c>
    </row>
    <row r="156" spans="5:6" ht="15">
      <c r="E156" s="161" t="s">
        <v>262</v>
      </c>
      <c r="F156" s="161" t="s">
        <v>280</v>
      </c>
    </row>
    <row r="157" spans="1:13" ht="15">
      <c r="A157" s="728" t="s">
        <v>397</v>
      </c>
      <c r="B157" s="724"/>
      <c r="C157" s="724"/>
      <c r="D157" s="209">
        <v>1</v>
      </c>
      <c r="E157" s="209">
        <v>0.5</v>
      </c>
      <c r="F157" s="209">
        <v>0.2</v>
      </c>
      <c r="G157" s="209">
        <v>0.1</v>
      </c>
      <c r="H157" s="209">
        <v>0.04</v>
      </c>
      <c r="I157" s="209">
        <v>0.02</v>
      </c>
      <c r="J157" s="411">
        <v>0.0133</v>
      </c>
      <c r="K157" s="209">
        <v>0.01</v>
      </c>
      <c r="L157" s="210">
        <v>0.005</v>
      </c>
      <c r="M157" s="210">
        <v>0.001</v>
      </c>
    </row>
    <row r="158" spans="3:13" ht="15">
      <c r="C158" s="209">
        <v>1</v>
      </c>
      <c r="D158" s="224">
        <f>D119*D67+D80*D132+D93*D145</f>
        <v>0</v>
      </c>
      <c r="E158" s="224">
        <f aca="true" t="shared" si="76" ref="E158:M158">E119*E67+E80*E132+E93*E145</f>
        <v>0</v>
      </c>
      <c r="F158" s="224">
        <f t="shared" si="76"/>
        <v>0</v>
      </c>
      <c r="G158" s="224">
        <f t="shared" si="76"/>
        <v>0</v>
      </c>
      <c r="H158" s="224">
        <f t="shared" si="76"/>
        <v>0</v>
      </c>
      <c r="I158" s="224">
        <f t="shared" si="76"/>
        <v>0</v>
      </c>
      <c r="J158" s="224">
        <f t="shared" si="76"/>
        <v>0</v>
      </c>
      <c r="K158" s="224">
        <f t="shared" si="76"/>
        <v>0</v>
      </c>
      <c r="L158" s="224">
        <f t="shared" si="76"/>
        <v>0</v>
      </c>
      <c r="M158" s="224">
        <f t="shared" si="76"/>
        <v>0</v>
      </c>
    </row>
    <row r="159" spans="2:13" ht="15">
      <c r="B159" s="161" t="s">
        <v>261</v>
      </c>
      <c r="C159" s="209">
        <v>0.5</v>
      </c>
      <c r="D159" s="224">
        <f aca="true" t="shared" si="77" ref="D159:M167">D120*D68+D81*D133+D94*D146</f>
        <v>0</v>
      </c>
      <c r="E159" s="224">
        <f t="shared" si="77"/>
        <v>0</v>
      </c>
      <c r="F159" s="224">
        <f t="shared" si="77"/>
        <v>0</v>
      </c>
      <c r="G159" s="224">
        <f t="shared" si="77"/>
        <v>0</v>
      </c>
      <c r="H159" s="224">
        <f t="shared" si="77"/>
        <v>0</v>
      </c>
      <c r="I159" s="224">
        <f t="shared" si="77"/>
        <v>0</v>
      </c>
      <c r="J159" s="224">
        <f t="shared" si="77"/>
        <v>0</v>
      </c>
      <c r="K159" s="224">
        <f t="shared" si="77"/>
        <v>0</v>
      </c>
      <c r="L159" s="224">
        <f t="shared" si="77"/>
        <v>0</v>
      </c>
      <c r="M159" s="224">
        <f t="shared" si="77"/>
        <v>0</v>
      </c>
    </row>
    <row r="160" spans="2:13" ht="15">
      <c r="B160" s="725" t="s">
        <v>281</v>
      </c>
      <c r="C160" s="209">
        <v>0.2</v>
      </c>
      <c r="D160" s="224">
        <f t="shared" si="77"/>
        <v>0</v>
      </c>
      <c r="E160" s="224">
        <f t="shared" si="77"/>
        <v>0</v>
      </c>
      <c r="F160" s="224">
        <f t="shared" si="77"/>
        <v>0</v>
      </c>
      <c r="G160" s="224">
        <f t="shared" si="77"/>
        <v>0</v>
      </c>
      <c r="H160" s="224">
        <f t="shared" si="77"/>
        <v>0</v>
      </c>
      <c r="I160" s="224">
        <f t="shared" si="77"/>
        <v>0</v>
      </c>
      <c r="J160" s="224">
        <f t="shared" si="77"/>
        <v>0</v>
      </c>
      <c r="K160" s="224">
        <f t="shared" si="77"/>
        <v>0</v>
      </c>
      <c r="L160" s="224">
        <f t="shared" si="77"/>
        <v>0</v>
      </c>
      <c r="M160" s="224">
        <f t="shared" si="77"/>
        <v>0</v>
      </c>
    </row>
    <row r="161" spans="2:13" ht="15">
      <c r="B161" s="725"/>
      <c r="C161" s="209">
        <v>0.1</v>
      </c>
      <c r="D161" s="224">
        <f t="shared" si="77"/>
        <v>0</v>
      </c>
      <c r="E161" s="224">
        <f t="shared" si="77"/>
        <v>0</v>
      </c>
      <c r="F161" s="224">
        <f t="shared" si="77"/>
        <v>0</v>
      </c>
      <c r="G161" s="224">
        <f t="shared" si="77"/>
        <v>0</v>
      </c>
      <c r="H161" s="224">
        <f t="shared" si="77"/>
        <v>0</v>
      </c>
      <c r="I161" s="224">
        <f t="shared" si="77"/>
        <v>0</v>
      </c>
      <c r="J161" s="224">
        <f t="shared" si="77"/>
        <v>0</v>
      </c>
      <c r="K161" s="224">
        <f t="shared" si="77"/>
        <v>0</v>
      </c>
      <c r="L161" s="224">
        <f t="shared" si="77"/>
        <v>0</v>
      </c>
      <c r="M161" s="224">
        <f t="shared" si="77"/>
        <v>0</v>
      </c>
    </row>
    <row r="162" spans="2:13" ht="15">
      <c r="B162" s="725"/>
      <c r="C162" s="209">
        <v>0.04</v>
      </c>
      <c r="D162" s="224">
        <f t="shared" si="77"/>
        <v>0</v>
      </c>
      <c r="E162" s="224">
        <f t="shared" si="77"/>
        <v>0</v>
      </c>
      <c r="F162" s="224">
        <f t="shared" si="77"/>
        <v>0</v>
      </c>
      <c r="G162" s="224">
        <f t="shared" si="77"/>
        <v>0</v>
      </c>
      <c r="H162" s="224">
        <f t="shared" si="77"/>
        <v>0</v>
      </c>
      <c r="I162" s="224">
        <f t="shared" si="77"/>
        <v>0</v>
      </c>
      <c r="J162" s="224">
        <f t="shared" si="77"/>
        <v>0</v>
      </c>
      <c r="K162" s="224">
        <f t="shared" si="77"/>
        <v>0</v>
      </c>
      <c r="L162" s="224">
        <f t="shared" si="77"/>
        <v>0</v>
      </c>
      <c r="M162" s="224">
        <f t="shared" si="77"/>
        <v>0</v>
      </c>
    </row>
    <row r="163" spans="2:13" ht="15">
      <c r="B163" s="725"/>
      <c r="C163" s="209">
        <v>0.02</v>
      </c>
      <c r="D163" s="224">
        <f t="shared" si="77"/>
        <v>0</v>
      </c>
      <c r="E163" s="224">
        <f t="shared" si="77"/>
        <v>0</v>
      </c>
      <c r="F163" s="224">
        <f t="shared" si="77"/>
        <v>0</v>
      </c>
      <c r="G163" s="224">
        <f t="shared" si="77"/>
        <v>0</v>
      </c>
      <c r="H163" s="224">
        <f t="shared" si="77"/>
        <v>0</v>
      </c>
      <c r="I163" s="224">
        <f t="shared" si="77"/>
        <v>0</v>
      </c>
      <c r="J163" s="224">
        <f t="shared" si="77"/>
        <v>0</v>
      </c>
      <c r="K163" s="224">
        <f t="shared" si="77"/>
        <v>0</v>
      </c>
      <c r="L163" s="224">
        <f t="shared" si="77"/>
        <v>0</v>
      </c>
      <c r="M163" s="224">
        <f t="shared" si="77"/>
        <v>0</v>
      </c>
    </row>
    <row r="164" spans="2:13" ht="15">
      <c r="B164" s="725"/>
      <c r="C164" s="411">
        <v>0.0133</v>
      </c>
      <c r="D164" s="224">
        <f t="shared" si="77"/>
        <v>0</v>
      </c>
      <c r="E164" s="224">
        <f t="shared" si="77"/>
        <v>0</v>
      </c>
      <c r="F164" s="224">
        <f t="shared" si="77"/>
        <v>0</v>
      </c>
      <c r="G164" s="224">
        <f t="shared" si="77"/>
        <v>0</v>
      </c>
      <c r="H164" s="224">
        <f t="shared" si="77"/>
        <v>0</v>
      </c>
      <c r="I164" s="224">
        <f t="shared" si="77"/>
        <v>0</v>
      </c>
      <c r="J164" s="224">
        <f t="shared" si="77"/>
        <v>0</v>
      </c>
      <c r="K164" s="224">
        <f t="shared" si="77"/>
        <v>0</v>
      </c>
      <c r="L164" s="224">
        <f t="shared" si="77"/>
        <v>0</v>
      </c>
      <c r="M164" s="224">
        <f t="shared" si="77"/>
        <v>0</v>
      </c>
    </row>
    <row r="165" spans="2:13" ht="15">
      <c r="B165" s="725"/>
      <c r="C165" s="209">
        <v>0.01</v>
      </c>
      <c r="D165" s="224">
        <f t="shared" si="77"/>
        <v>0</v>
      </c>
      <c r="E165" s="224">
        <f t="shared" si="77"/>
        <v>0</v>
      </c>
      <c r="F165" s="224">
        <f t="shared" si="77"/>
        <v>0</v>
      </c>
      <c r="G165" s="224">
        <f t="shared" si="77"/>
        <v>0</v>
      </c>
      <c r="H165" s="224">
        <f t="shared" si="77"/>
        <v>0</v>
      </c>
      <c r="I165" s="224">
        <f t="shared" si="77"/>
        <v>0</v>
      </c>
      <c r="J165" s="224">
        <f t="shared" si="77"/>
        <v>0</v>
      </c>
      <c r="K165" s="224">
        <f t="shared" si="77"/>
        <v>0</v>
      </c>
      <c r="L165" s="224">
        <f t="shared" si="77"/>
        <v>0</v>
      </c>
      <c r="M165" s="224">
        <f t="shared" si="77"/>
        <v>0</v>
      </c>
    </row>
    <row r="166" spans="2:13" ht="15">
      <c r="B166" s="725"/>
      <c r="C166" s="210">
        <v>0.005</v>
      </c>
      <c r="D166" s="224">
        <f t="shared" si="77"/>
        <v>0</v>
      </c>
      <c r="E166" s="224">
        <f t="shared" si="77"/>
        <v>0</v>
      </c>
      <c r="F166" s="224">
        <f t="shared" si="77"/>
        <v>0</v>
      </c>
      <c r="G166" s="224">
        <f t="shared" si="77"/>
        <v>0</v>
      </c>
      <c r="H166" s="224">
        <f t="shared" si="77"/>
        <v>0</v>
      </c>
      <c r="I166" s="224">
        <f t="shared" si="77"/>
        <v>0</v>
      </c>
      <c r="J166" s="224">
        <f t="shared" si="77"/>
        <v>0</v>
      </c>
      <c r="K166" s="224">
        <f t="shared" si="77"/>
        <v>0</v>
      </c>
      <c r="L166" s="224">
        <f t="shared" si="77"/>
        <v>0</v>
      </c>
      <c r="M166" s="224">
        <f t="shared" si="77"/>
        <v>0</v>
      </c>
    </row>
    <row r="167" spans="2:13" ht="15">
      <c r="B167" s="725"/>
      <c r="C167" s="210">
        <v>0.001</v>
      </c>
      <c r="D167" s="224">
        <f t="shared" si="77"/>
        <v>0</v>
      </c>
      <c r="E167" s="224">
        <f t="shared" si="77"/>
        <v>0</v>
      </c>
      <c r="F167" s="224">
        <f t="shared" si="77"/>
        <v>0</v>
      </c>
      <c r="G167" s="224">
        <f t="shared" si="77"/>
        <v>0</v>
      </c>
      <c r="H167" s="224">
        <f t="shared" si="77"/>
        <v>0</v>
      </c>
      <c r="I167" s="224">
        <f t="shared" si="77"/>
        <v>0</v>
      </c>
      <c r="J167" s="224">
        <f t="shared" si="77"/>
        <v>0</v>
      </c>
      <c r="K167" s="224">
        <f t="shared" si="77"/>
        <v>0</v>
      </c>
      <c r="L167" s="224">
        <f t="shared" si="77"/>
        <v>0</v>
      </c>
      <c r="M167" s="224">
        <f t="shared" si="77"/>
        <v>0</v>
      </c>
    </row>
    <row r="168" ht="15.75" thickBot="1"/>
    <row r="169" spans="4:17" ht="16.5" thickBot="1" thickTop="1">
      <c r="D169" s="220" t="str">
        <f>IF(SUM(D158:M167)=0,"Enter number of properties affected by power outages","Total annual impacts (indirect)")</f>
        <v>Enter number of properties affected by power outages</v>
      </c>
      <c r="E169" s="221"/>
      <c r="F169" s="222"/>
      <c r="G169" s="222"/>
      <c r="H169" s="222"/>
      <c r="I169" s="222"/>
      <c r="J169" s="222"/>
      <c r="K169" s="223">
        <f>SUM(D158:M167)</f>
        <v>0</v>
      </c>
      <c r="L169" s="412"/>
      <c r="M169" s="367" t="s">
        <v>804</v>
      </c>
      <c r="N169" s="718" t="s">
        <v>811</v>
      </c>
      <c r="O169" s="719"/>
      <c r="P169" s="719"/>
      <c r="Q169" s="720"/>
    </row>
    <row r="170" ht="15.75" thickTop="1"/>
  </sheetData>
  <sheetProtection sheet="1" objects="1" scenarios="1"/>
  <mergeCells count="18">
    <mergeCell ref="N169:Q169"/>
    <mergeCell ref="A144:C144"/>
    <mergeCell ref="B147:B154"/>
    <mergeCell ref="A157:C157"/>
    <mergeCell ref="B160:B167"/>
    <mergeCell ref="A107:C107"/>
    <mergeCell ref="A131:C131"/>
    <mergeCell ref="B134:B141"/>
    <mergeCell ref="I1:K1"/>
    <mergeCell ref="A118:C118"/>
    <mergeCell ref="B121:B128"/>
    <mergeCell ref="F107:Q107"/>
    <mergeCell ref="I104:T104"/>
    <mergeCell ref="A79:C79"/>
    <mergeCell ref="A106:C106"/>
    <mergeCell ref="A114:C114"/>
    <mergeCell ref="A115:C115"/>
    <mergeCell ref="P1:T1"/>
  </mergeCells>
  <dataValidations count="1">
    <dataValidation type="list" allowBlank="1" showInputMessage="1" showErrorMessage="1" sqref="N169:Q169">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64"/>
  <headerFooter>
    <oddHeader>&amp;C&amp;A</oddHead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34"/>
  <sheetViews>
    <sheetView zoomScale="85" zoomScaleNormal="85" workbookViewId="0" topLeftCell="A1"/>
  </sheetViews>
  <sheetFormatPr defaultColWidth="9.140625" defaultRowHeight="15"/>
  <cols>
    <col min="1" max="1" width="9.140625" style="163" customWidth="1"/>
    <col min="2" max="2" width="10.140625" style="163" customWidth="1"/>
    <col min="3" max="3" width="9.140625" style="163" customWidth="1"/>
    <col min="4" max="13" width="11.7109375" style="163" customWidth="1"/>
    <col min="14" max="16384" width="9.140625" style="163" customWidth="1"/>
  </cols>
  <sheetData>
    <row r="1" spans="1:20" ht="15">
      <c r="A1" s="164" t="s">
        <v>2</v>
      </c>
      <c r="B1" s="165"/>
      <c r="C1" s="165"/>
      <c r="D1" s="162"/>
      <c r="E1" s="165"/>
      <c r="F1" s="166" t="s">
        <v>260</v>
      </c>
      <c r="I1" s="704" t="s">
        <v>791</v>
      </c>
      <c r="J1" s="704"/>
      <c r="K1" s="704"/>
      <c r="L1" s="396"/>
      <c r="M1" s="176" t="s">
        <v>992</v>
      </c>
      <c r="N1" s="176">
        <v>11</v>
      </c>
      <c r="O1" s="176" t="s">
        <v>991</v>
      </c>
      <c r="P1" s="707"/>
      <c r="Q1" s="590"/>
      <c r="R1" s="590"/>
      <c r="S1" s="590"/>
      <c r="T1" s="590"/>
    </row>
    <row r="3" spans="3:6" ht="15">
      <c r="C3" s="203"/>
      <c r="E3" s="163" t="s">
        <v>262</v>
      </c>
      <c r="F3" s="163" t="str">
        <f>"Area of "&amp;A4&amp;" whose risk changes due to changes in water levels"</f>
        <v>Area of INTERNATIONAL DESIGNATIONS (Ha) whose risk changes due to changes in water levels</v>
      </c>
    </row>
    <row r="4" spans="1:13" ht="29.25" customHeight="1">
      <c r="A4" s="706" t="s">
        <v>401</v>
      </c>
      <c r="B4" s="592"/>
      <c r="C4" s="592"/>
      <c r="D4" s="169">
        <v>1</v>
      </c>
      <c r="E4" s="169">
        <v>0.5</v>
      </c>
      <c r="F4" s="169">
        <v>0.2</v>
      </c>
      <c r="G4" s="169">
        <v>0.1</v>
      </c>
      <c r="H4" s="169">
        <v>0.04</v>
      </c>
      <c r="I4" s="169">
        <v>0.02</v>
      </c>
      <c r="J4" s="407">
        <v>0.0133</v>
      </c>
      <c r="K4" s="169">
        <v>0.01</v>
      </c>
      <c r="L4" s="170">
        <v>0.005</v>
      </c>
      <c r="M4" s="170">
        <v>0.001</v>
      </c>
    </row>
    <row r="5" spans="3:15" ht="15">
      <c r="C5" s="169">
        <v>1</v>
      </c>
      <c r="D5" s="550"/>
      <c r="E5" s="550"/>
      <c r="F5" s="550"/>
      <c r="G5" s="550"/>
      <c r="H5" s="550"/>
      <c r="I5" s="550"/>
      <c r="J5" s="550"/>
      <c r="K5" s="550"/>
      <c r="L5" s="550"/>
      <c r="M5" s="550"/>
      <c r="O5" s="163" t="s">
        <v>500</v>
      </c>
    </row>
    <row r="6" spans="3:13" ht="15">
      <c r="C6" s="169">
        <v>0.5</v>
      </c>
      <c r="D6" s="550"/>
      <c r="E6" s="550"/>
      <c r="F6" s="550"/>
      <c r="G6" s="550"/>
      <c r="H6" s="550"/>
      <c r="I6" s="550"/>
      <c r="J6" s="550"/>
      <c r="K6" s="550"/>
      <c r="L6" s="550"/>
      <c r="M6" s="550"/>
    </row>
    <row r="7" spans="3:15" ht="15">
      <c r="C7" s="169">
        <v>0.2</v>
      </c>
      <c r="D7" s="550"/>
      <c r="E7" s="550"/>
      <c r="F7" s="550"/>
      <c r="G7" s="550"/>
      <c r="H7" s="550"/>
      <c r="I7" s="550"/>
      <c r="J7" s="550"/>
      <c r="K7" s="550"/>
      <c r="L7" s="550"/>
      <c r="M7" s="550"/>
      <c r="O7" s="163" t="s">
        <v>622</v>
      </c>
    </row>
    <row r="8" spans="3:15" ht="15">
      <c r="C8" s="169">
        <v>0.1</v>
      </c>
      <c r="D8" s="550"/>
      <c r="E8" s="550"/>
      <c r="F8" s="550"/>
      <c r="G8" s="550"/>
      <c r="H8" s="550"/>
      <c r="I8" s="550"/>
      <c r="J8" s="550"/>
      <c r="K8" s="550"/>
      <c r="L8" s="550"/>
      <c r="M8" s="550"/>
      <c r="O8" s="163" t="s">
        <v>297</v>
      </c>
    </row>
    <row r="9" spans="3:15" ht="15">
      <c r="C9" s="169">
        <v>0.04</v>
      </c>
      <c r="D9" s="550"/>
      <c r="E9" s="550"/>
      <c r="F9" s="550"/>
      <c r="G9" s="550"/>
      <c r="H9" s="550"/>
      <c r="I9" s="550"/>
      <c r="J9" s="550"/>
      <c r="K9" s="550"/>
      <c r="L9" s="550"/>
      <c r="M9" s="550"/>
      <c r="O9" s="163" t="s">
        <v>619</v>
      </c>
    </row>
    <row r="10" spans="3:13" ht="15">
      <c r="C10" s="169">
        <v>0.02</v>
      </c>
      <c r="D10" s="550"/>
      <c r="E10" s="550"/>
      <c r="F10" s="550"/>
      <c r="G10" s="550"/>
      <c r="H10" s="550"/>
      <c r="I10" s="550"/>
      <c r="J10" s="550"/>
      <c r="K10" s="550"/>
      <c r="L10" s="550"/>
      <c r="M10" s="550"/>
    </row>
    <row r="11" spans="3:13" ht="15">
      <c r="C11" s="407">
        <v>0.0133</v>
      </c>
      <c r="D11" s="550"/>
      <c r="E11" s="550"/>
      <c r="F11" s="550"/>
      <c r="G11" s="550"/>
      <c r="H11" s="550"/>
      <c r="I11" s="550"/>
      <c r="J11" s="550"/>
      <c r="K11" s="550"/>
      <c r="L11" s="550"/>
      <c r="M11" s="550"/>
    </row>
    <row r="12" spans="3:13" ht="15">
      <c r="C12" s="169">
        <v>0.01</v>
      </c>
      <c r="D12" s="550"/>
      <c r="E12" s="550"/>
      <c r="F12" s="550"/>
      <c r="G12" s="550"/>
      <c r="H12" s="550"/>
      <c r="I12" s="550"/>
      <c r="J12" s="550"/>
      <c r="K12" s="550"/>
      <c r="L12" s="550"/>
      <c r="M12" s="550"/>
    </row>
    <row r="13" spans="3:13" ht="15">
      <c r="C13" s="170">
        <v>0.005</v>
      </c>
      <c r="D13" s="550"/>
      <c r="E13" s="550"/>
      <c r="F13" s="550"/>
      <c r="G13" s="550"/>
      <c r="H13" s="550"/>
      <c r="I13" s="550"/>
      <c r="J13" s="550"/>
      <c r="K13" s="550"/>
      <c r="L13" s="550"/>
      <c r="M13" s="550"/>
    </row>
    <row r="14" spans="3:13" ht="15">
      <c r="C14" s="170">
        <v>0.001</v>
      </c>
      <c r="D14" s="550"/>
      <c r="E14" s="550"/>
      <c r="F14" s="550"/>
      <c r="G14" s="550"/>
      <c r="H14" s="550"/>
      <c r="I14" s="550"/>
      <c r="J14" s="550"/>
      <c r="K14" s="550"/>
      <c r="L14" s="550"/>
      <c r="M14" s="550"/>
    </row>
    <row r="16" spans="3:6" ht="15">
      <c r="C16" s="203"/>
      <c r="E16" s="163" t="s">
        <v>262</v>
      </c>
      <c r="F16" s="163" t="str">
        <f>"Area of "&amp;A17&amp;" whose risk changes due to changes in water levels"</f>
        <v>Area of NATIONAL DESIGNATIONS (Ha) whose risk changes due to changes in water levels</v>
      </c>
    </row>
    <row r="17" spans="1:13" ht="30.75" customHeight="1">
      <c r="A17" s="706" t="s">
        <v>402</v>
      </c>
      <c r="B17" s="592"/>
      <c r="C17" s="592"/>
      <c r="D17" s="169">
        <v>1</v>
      </c>
      <c r="E17" s="169">
        <v>0.5</v>
      </c>
      <c r="F17" s="169">
        <v>0.2</v>
      </c>
      <c r="G17" s="169">
        <v>0.1</v>
      </c>
      <c r="H17" s="169">
        <v>0.04</v>
      </c>
      <c r="I17" s="169">
        <v>0.02</v>
      </c>
      <c r="J17" s="407">
        <v>0.0133</v>
      </c>
      <c r="K17" s="169">
        <v>0.01</v>
      </c>
      <c r="L17" s="170">
        <v>0.005</v>
      </c>
      <c r="M17" s="170">
        <v>0.001</v>
      </c>
    </row>
    <row r="18" spans="3:15" ht="15">
      <c r="C18" s="169">
        <v>1</v>
      </c>
      <c r="D18" s="550"/>
      <c r="E18" s="550"/>
      <c r="F18" s="550"/>
      <c r="G18" s="550"/>
      <c r="H18" s="550"/>
      <c r="I18" s="550"/>
      <c r="J18" s="550"/>
      <c r="K18" s="550"/>
      <c r="L18" s="550"/>
      <c r="M18" s="550"/>
      <c r="O18" s="163" t="s">
        <v>501</v>
      </c>
    </row>
    <row r="19" spans="3:13" ht="15">
      <c r="C19" s="169">
        <v>0.5</v>
      </c>
      <c r="D19" s="550"/>
      <c r="E19" s="550"/>
      <c r="F19" s="550"/>
      <c r="G19" s="550"/>
      <c r="H19" s="550"/>
      <c r="I19" s="550"/>
      <c r="J19" s="550"/>
      <c r="K19" s="550"/>
      <c r="L19" s="550"/>
      <c r="M19" s="550"/>
    </row>
    <row r="20" spans="3:15" ht="15">
      <c r="C20" s="169">
        <v>0.2</v>
      </c>
      <c r="D20" s="550"/>
      <c r="E20" s="550"/>
      <c r="F20" s="550"/>
      <c r="G20" s="550"/>
      <c r="H20" s="550"/>
      <c r="I20" s="550"/>
      <c r="J20" s="550"/>
      <c r="K20" s="550"/>
      <c r="L20" s="550"/>
      <c r="M20" s="550"/>
      <c r="O20" s="163" t="s">
        <v>956</v>
      </c>
    </row>
    <row r="21" spans="3:15" ht="15">
      <c r="C21" s="169">
        <v>0.1</v>
      </c>
      <c r="D21" s="550"/>
      <c r="E21" s="550"/>
      <c r="F21" s="550"/>
      <c r="G21" s="550"/>
      <c r="H21" s="550"/>
      <c r="I21" s="550"/>
      <c r="J21" s="550"/>
      <c r="K21" s="550"/>
      <c r="L21" s="550"/>
      <c r="M21" s="550"/>
      <c r="O21" s="163" t="s">
        <v>297</v>
      </c>
    </row>
    <row r="22" spans="3:15" ht="15">
      <c r="C22" s="169">
        <v>0.04</v>
      </c>
      <c r="D22" s="550"/>
      <c r="E22" s="550"/>
      <c r="F22" s="550"/>
      <c r="G22" s="550"/>
      <c r="H22" s="550"/>
      <c r="I22" s="550"/>
      <c r="J22" s="550"/>
      <c r="K22" s="550"/>
      <c r="L22" s="550"/>
      <c r="M22" s="550"/>
      <c r="O22" s="163" t="s">
        <v>957</v>
      </c>
    </row>
    <row r="23" spans="3:13" ht="15">
      <c r="C23" s="169">
        <v>0.02</v>
      </c>
      <c r="D23" s="550"/>
      <c r="E23" s="550"/>
      <c r="F23" s="550"/>
      <c r="G23" s="550"/>
      <c r="H23" s="550"/>
      <c r="I23" s="550"/>
      <c r="J23" s="550"/>
      <c r="K23" s="550"/>
      <c r="L23" s="550"/>
      <c r="M23" s="550"/>
    </row>
    <row r="24" spans="3:13" ht="15">
      <c r="C24" s="407">
        <v>0.0133</v>
      </c>
      <c r="D24" s="550"/>
      <c r="E24" s="550"/>
      <c r="F24" s="550"/>
      <c r="G24" s="550"/>
      <c r="H24" s="550"/>
      <c r="I24" s="550"/>
      <c r="J24" s="550"/>
      <c r="K24" s="550"/>
      <c r="L24" s="550"/>
      <c r="M24" s="550"/>
    </row>
    <row r="25" spans="3:13" ht="15">
      <c r="C25" s="169">
        <v>0.01</v>
      </c>
      <c r="D25" s="550"/>
      <c r="E25" s="550"/>
      <c r="F25" s="550"/>
      <c r="G25" s="550"/>
      <c r="H25" s="550"/>
      <c r="I25" s="550"/>
      <c r="J25" s="550"/>
      <c r="K25" s="550"/>
      <c r="L25" s="550"/>
      <c r="M25" s="550"/>
    </row>
    <row r="26" spans="3:13" ht="15">
      <c r="C26" s="170">
        <v>0.005</v>
      </c>
      <c r="D26" s="550"/>
      <c r="E26" s="550"/>
      <c r="F26" s="550"/>
      <c r="G26" s="550"/>
      <c r="H26" s="550"/>
      <c r="I26" s="550"/>
      <c r="J26" s="550"/>
      <c r="K26" s="550"/>
      <c r="L26" s="550"/>
      <c r="M26" s="550"/>
    </row>
    <row r="27" spans="3:13" ht="15">
      <c r="C27" s="170">
        <v>0.001</v>
      </c>
      <c r="D27" s="550"/>
      <c r="E27" s="550"/>
      <c r="F27" s="550"/>
      <c r="G27" s="550"/>
      <c r="H27" s="550"/>
      <c r="I27" s="550"/>
      <c r="J27" s="550"/>
      <c r="K27" s="550"/>
      <c r="L27" s="550"/>
      <c r="M27" s="550"/>
    </row>
    <row r="29" spans="3:6" ht="15">
      <c r="C29" s="203"/>
      <c r="E29" s="163" t="s">
        <v>262</v>
      </c>
      <c r="F29" s="163" t="str">
        <f>"Area of "&amp;A30&amp;" whose risk changes due to changes in water levels"</f>
        <v>Area of OTHER/LOCAL DESIGNATIONS (Ha) whose risk changes due to changes in water levels</v>
      </c>
    </row>
    <row r="30" spans="1:13" ht="30.75" customHeight="1">
      <c r="A30" s="706" t="s">
        <v>403</v>
      </c>
      <c r="B30" s="592"/>
      <c r="C30" s="592"/>
      <c r="D30" s="169">
        <v>1</v>
      </c>
      <c r="E30" s="169">
        <v>0.5</v>
      </c>
      <c r="F30" s="169">
        <v>0.2</v>
      </c>
      <c r="G30" s="169">
        <v>0.1</v>
      </c>
      <c r="H30" s="169">
        <v>0.04</v>
      </c>
      <c r="I30" s="169">
        <v>0.02</v>
      </c>
      <c r="J30" s="407">
        <v>0.0133</v>
      </c>
      <c r="K30" s="169">
        <v>0.01</v>
      </c>
      <c r="L30" s="170">
        <v>0.005</v>
      </c>
      <c r="M30" s="170">
        <v>0.001</v>
      </c>
    </row>
    <row r="31" spans="3:15" ht="15">
      <c r="C31" s="169">
        <v>1</v>
      </c>
      <c r="D31" s="550"/>
      <c r="E31" s="550"/>
      <c r="F31" s="550"/>
      <c r="G31" s="550"/>
      <c r="H31" s="550"/>
      <c r="I31" s="550"/>
      <c r="J31" s="550"/>
      <c r="K31" s="550"/>
      <c r="L31" s="550"/>
      <c r="M31" s="550"/>
      <c r="O31" s="163" t="s">
        <v>502</v>
      </c>
    </row>
    <row r="32" spans="3:13" ht="15">
      <c r="C32" s="169">
        <v>0.5</v>
      </c>
      <c r="D32" s="550"/>
      <c r="E32" s="550"/>
      <c r="F32" s="550"/>
      <c r="G32" s="550"/>
      <c r="H32" s="550"/>
      <c r="I32" s="550"/>
      <c r="J32" s="550"/>
      <c r="K32" s="550"/>
      <c r="L32" s="550"/>
      <c r="M32" s="550"/>
    </row>
    <row r="33" spans="3:15" ht="15">
      <c r="C33" s="169">
        <v>0.2</v>
      </c>
      <c r="D33" s="550"/>
      <c r="E33" s="550"/>
      <c r="F33" s="550"/>
      <c r="G33" s="550"/>
      <c r="H33" s="550"/>
      <c r="I33" s="550"/>
      <c r="J33" s="550"/>
      <c r="K33" s="550"/>
      <c r="L33" s="550"/>
      <c r="M33" s="550"/>
      <c r="O33" s="163" t="s">
        <v>958</v>
      </c>
    </row>
    <row r="34" spans="3:15" ht="15">
      <c r="C34" s="169">
        <v>0.1</v>
      </c>
      <c r="D34" s="550"/>
      <c r="E34" s="550"/>
      <c r="F34" s="550"/>
      <c r="G34" s="550"/>
      <c r="H34" s="550"/>
      <c r="I34" s="550"/>
      <c r="J34" s="550"/>
      <c r="K34" s="550"/>
      <c r="L34" s="550"/>
      <c r="M34" s="550"/>
      <c r="O34" s="163" t="s">
        <v>297</v>
      </c>
    </row>
    <row r="35" spans="3:15" ht="15">
      <c r="C35" s="169">
        <v>0.04</v>
      </c>
      <c r="D35" s="550"/>
      <c r="E35" s="550"/>
      <c r="F35" s="550"/>
      <c r="G35" s="550"/>
      <c r="H35" s="550"/>
      <c r="I35" s="550"/>
      <c r="J35" s="550"/>
      <c r="K35" s="550"/>
      <c r="L35" s="550"/>
      <c r="M35" s="550"/>
      <c r="O35" s="163" t="s">
        <v>959</v>
      </c>
    </row>
    <row r="36" spans="3:13" ht="15">
      <c r="C36" s="169">
        <v>0.02</v>
      </c>
      <c r="D36" s="550"/>
      <c r="E36" s="550"/>
      <c r="F36" s="550"/>
      <c r="G36" s="550"/>
      <c r="H36" s="550"/>
      <c r="I36" s="550"/>
      <c r="J36" s="550"/>
      <c r="K36" s="550"/>
      <c r="L36" s="550"/>
      <c r="M36" s="550"/>
    </row>
    <row r="37" spans="3:13" ht="15">
      <c r="C37" s="407">
        <v>0.0133</v>
      </c>
      <c r="D37" s="550"/>
      <c r="E37" s="550"/>
      <c r="F37" s="550"/>
      <c r="G37" s="550"/>
      <c r="H37" s="550"/>
      <c r="I37" s="550"/>
      <c r="J37" s="550"/>
      <c r="K37" s="550"/>
      <c r="L37" s="550"/>
      <c r="M37" s="550"/>
    </row>
    <row r="38" spans="3:13" ht="15">
      <c r="C38" s="169">
        <v>0.01</v>
      </c>
      <c r="D38" s="550"/>
      <c r="E38" s="550"/>
      <c r="F38" s="550"/>
      <c r="G38" s="550"/>
      <c r="H38" s="550"/>
      <c r="I38" s="550"/>
      <c r="J38" s="550"/>
      <c r="K38" s="550"/>
      <c r="L38" s="550"/>
      <c r="M38" s="550"/>
    </row>
    <row r="39" spans="3:13" ht="15">
      <c r="C39" s="170">
        <v>0.005</v>
      </c>
      <c r="D39" s="550"/>
      <c r="E39" s="550"/>
      <c r="F39" s="550"/>
      <c r="G39" s="550"/>
      <c r="H39" s="550"/>
      <c r="I39" s="550"/>
      <c r="J39" s="550"/>
      <c r="K39" s="550"/>
      <c r="L39" s="550"/>
      <c r="M39" s="550"/>
    </row>
    <row r="40" spans="3:13" ht="15">
      <c r="C40" s="170">
        <v>0.001</v>
      </c>
      <c r="D40" s="550"/>
      <c r="E40" s="550"/>
      <c r="F40" s="550"/>
      <c r="G40" s="550"/>
      <c r="H40" s="550"/>
      <c r="I40" s="550"/>
      <c r="J40" s="550"/>
      <c r="K40" s="550"/>
      <c r="L40" s="550"/>
      <c r="M40" s="550"/>
    </row>
    <row r="43" spans="3:13" ht="15">
      <c r="C43" s="320" t="str">
        <f>A4</f>
        <v>INTERNATIONAL DESIGNATIONS (Ha)</v>
      </c>
      <c r="D43" s="169">
        <v>1</v>
      </c>
      <c r="E43" s="169">
        <v>0.5</v>
      </c>
      <c r="F43" s="169">
        <v>0.2</v>
      </c>
      <c r="G43" s="169">
        <v>0.1</v>
      </c>
      <c r="H43" s="169">
        <v>0.04</v>
      </c>
      <c r="I43" s="169">
        <v>0.02</v>
      </c>
      <c r="J43" s="407">
        <v>0.0133</v>
      </c>
      <c r="K43" s="169">
        <v>0.01</v>
      </c>
      <c r="L43" s="170">
        <v>0.005</v>
      </c>
      <c r="M43" s="170">
        <v>0.001</v>
      </c>
    </row>
    <row r="44" spans="3:25" ht="30">
      <c r="C44" s="163" t="s">
        <v>377</v>
      </c>
      <c r="D44" s="554" t="s">
        <v>195</v>
      </c>
      <c r="E44" s="554" t="s">
        <v>195</v>
      </c>
      <c r="F44" s="554" t="s">
        <v>195</v>
      </c>
      <c r="G44" s="554" t="s">
        <v>378</v>
      </c>
      <c r="H44" s="554" t="s">
        <v>378</v>
      </c>
      <c r="I44" s="554" t="s">
        <v>378</v>
      </c>
      <c r="J44" s="554" t="s">
        <v>378</v>
      </c>
      <c r="K44" s="554" t="s">
        <v>378</v>
      </c>
      <c r="L44" s="554" t="s">
        <v>378</v>
      </c>
      <c r="M44" s="554" t="s">
        <v>378</v>
      </c>
      <c r="O44" s="591"/>
      <c r="P44" s="590"/>
      <c r="Q44" s="590"/>
      <c r="R44" s="590"/>
      <c r="S44" s="590"/>
      <c r="T44" s="590"/>
      <c r="U44" s="590"/>
      <c r="V44" s="590"/>
      <c r="W44" s="590"/>
      <c r="X44" s="590"/>
      <c r="Y44" s="590"/>
    </row>
    <row r="45" spans="4:13" ht="15">
      <c r="D45" s="319"/>
      <c r="E45" s="319"/>
      <c r="F45" s="319"/>
      <c r="G45" s="319"/>
      <c r="H45" s="319"/>
      <c r="I45" s="319"/>
      <c r="J45" s="397"/>
      <c r="K45" s="319"/>
      <c r="L45" s="397"/>
      <c r="M45" s="319"/>
    </row>
    <row r="46" spans="3:13" ht="15">
      <c r="C46" s="320" t="str">
        <f>A17</f>
        <v>NATIONAL DESIGNATIONS (Ha)</v>
      </c>
      <c r="D46" s="206">
        <v>1</v>
      </c>
      <c r="E46" s="206">
        <v>0.5</v>
      </c>
      <c r="F46" s="206">
        <v>0.2</v>
      </c>
      <c r="G46" s="206">
        <v>0.1</v>
      </c>
      <c r="H46" s="206">
        <v>0.04</v>
      </c>
      <c r="I46" s="206">
        <v>0.02</v>
      </c>
      <c r="J46" s="407">
        <v>0.0133</v>
      </c>
      <c r="K46" s="169">
        <v>0.01</v>
      </c>
      <c r="L46" s="170">
        <v>0.005</v>
      </c>
      <c r="M46" s="170">
        <v>0.001</v>
      </c>
    </row>
    <row r="47" spans="3:25" ht="30">
      <c r="C47" s="163" t="s">
        <v>377</v>
      </c>
      <c r="D47" s="554" t="s">
        <v>195</v>
      </c>
      <c r="E47" s="554" t="s">
        <v>195</v>
      </c>
      <c r="F47" s="554" t="s">
        <v>378</v>
      </c>
      <c r="G47" s="554" t="s">
        <v>378</v>
      </c>
      <c r="H47" s="554" t="s">
        <v>378</v>
      </c>
      <c r="I47" s="554" t="s">
        <v>378</v>
      </c>
      <c r="J47" s="554" t="s">
        <v>378</v>
      </c>
      <c r="K47" s="554" t="s">
        <v>378</v>
      </c>
      <c r="L47" s="554" t="s">
        <v>378</v>
      </c>
      <c r="M47" s="554" t="s">
        <v>378</v>
      </c>
      <c r="O47" s="591"/>
      <c r="P47" s="590"/>
      <c r="Q47" s="590"/>
      <c r="R47" s="590"/>
      <c r="S47" s="590"/>
      <c r="T47" s="590"/>
      <c r="U47" s="590"/>
      <c r="V47" s="590"/>
      <c r="W47" s="590"/>
      <c r="X47" s="590"/>
      <c r="Y47" s="590"/>
    </row>
    <row r="49" spans="3:13" ht="15">
      <c r="C49" s="320" t="str">
        <f>A30</f>
        <v>OTHER/LOCAL DESIGNATIONS (Ha)</v>
      </c>
      <c r="D49" s="206">
        <v>1</v>
      </c>
      <c r="E49" s="206">
        <v>0.5</v>
      </c>
      <c r="F49" s="206">
        <v>0.2</v>
      </c>
      <c r="G49" s="206">
        <v>0.1</v>
      </c>
      <c r="H49" s="206">
        <v>0.04</v>
      </c>
      <c r="I49" s="206">
        <v>0.02</v>
      </c>
      <c r="J49" s="407">
        <v>0.0133</v>
      </c>
      <c r="K49" s="169">
        <v>0.01</v>
      </c>
      <c r="L49" s="170">
        <v>0.005</v>
      </c>
      <c r="M49" s="170">
        <v>0.001</v>
      </c>
    </row>
    <row r="50" spans="3:25" ht="30">
      <c r="C50" s="163" t="s">
        <v>377</v>
      </c>
      <c r="D50" s="554" t="s">
        <v>195</v>
      </c>
      <c r="E50" s="554" t="s">
        <v>195</v>
      </c>
      <c r="F50" s="554" t="s">
        <v>378</v>
      </c>
      <c r="G50" s="554" t="s">
        <v>378</v>
      </c>
      <c r="H50" s="554" t="s">
        <v>378</v>
      </c>
      <c r="I50" s="554" t="s">
        <v>378</v>
      </c>
      <c r="J50" s="554" t="s">
        <v>378</v>
      </c>
      <c r="K50" s="554" t="s">
        <v>378</v>
      </c>
      <c r="L50" s="554" t="s">
        <v>378</v>
      </c>
      <c r="M50" s="554" t="s">
        <v>378</v>
      </c>
      <c r="O50" s="591"/>
      <c r="P50" s="590"/>
      <c r="Q50" s="590"/>
      <c r="R50" s="590"/>
      <c r="S50" s="590"/>
      <c r="T50" s="590"/>
      <c r="U50" s="590"/>
      <c r="V50" s="590"/>
      <c r="W50" s="590"/>
      <c r="X50" s="590"/>
      <c r="Y50" s="590"/>
    </row>
    <row r="52" spans="3:7" ht="30">
      <c r="C52" s="320" t="str">
        <f>A4</f>
        <v>INTERNATIONAL DESIGNATIONS (Ha)</v>
      </c>
      <c r="D52" s="319" t="s">
        <v>195</v>
      </c>
      <c r="G52" s="319" t="s">
        <v>378</v>
      </c>
    </row>
    <row r="53" spans="3:16" ht="46.5" customHeight="1">
      <c r="C53" s="320" t="s">
        <v>729</v>
      </c>
      <c r="D53" s="555">
        <v>50000</v>
      </c>
      <c r="E53" s="591" t="s">
        <v>732</v>
      </c>
      <c r="F53" s="591"/>
      <c r="G53" s="319" t="s">
        <v>194</v>
      </c>
      <c r="H53" s="555">
        <v>683</v>
      </c>
      <c r="I53" s="319" t="s">
        <v>392</v>
      </c>
      <c r="J53" s="397"/>
      <c r="K53" s="163" t="s">
        <v>404</v>
      </c>
      <c r="M53" s="163" t="s">
        <v>405</v>
      </c>
      <c r="P53" s="163" t="s">
        <v>850</v>
      </c>
    </row>
    <row r="54" spans="4:16" ht="15">
      <c r="D54" s="163" t="s">
        <v>386</v>
      </c>
      <c r="P54" s="163" t="s">
        <v>851</v>
      </c>
    </row>
    <row r="55" ht="15">
      <c r="D55" s="163" t="s">
        <v>387</v>
      </c>
    </row>
    <row r="56" spans="1:5" ht="29.25" customHeight="1">
      <c r="A56" s="706" t="s">
        <v>730</v>
      </c>
      <c r="B56" s="592"/>
      <c r="C56" s="592"/>
      <c r="D56" s="556">
        <v>20</v>
      </c>
      <c r="E56" s="163" t="s">
        <v>391</v>
      </c>
    </row>
    <row r="57" spans="1:5" ht="15">
      <c r="A57" s="319"/>
      <c r="B57" s="319"/>
      <c r="C57" s="320" t="s">
        <v>390</v>
      </c>
      <c r="D57" s="162">
        <f>VLOOKUP(D56-1,Sheet1!A22:C121,3,FALSE)</f>
        <v>14.70983741752063</v>
      </c>
      <c r="E57" s="163" t="str">
        <f>"Sum of discount factors from year 0 to year "&amp;D56</f>
        <v>Sum of discount factors from year 0 to year 20</v>
      </c>
    </row>
    <row r="58" spans="3:5" ht="15">
      <c r="C58" s="320" t="s">
        <v>389</v>
      </c>
      <c r="D58" s="308">
        <f>D53/D57</f>
        <v>3399.085834928799</v>
      </c>
      <c r="E58" s="163" t="s">
        <v>392</v>
      </c>
    </row>
    <row r="60" spans="3:8" ht="30">
      <c r="C60" s="320" t="str">
        <f>A17</f>
        <v>NATIONAL DESIGNATIONS (Ha)</v>
      </c>
      <c r="D60" s="319" t="s">
        <v>195</v>
      </c>
      <c r="G60" s="319" t="s">
        <v>378</v>
      </c>
      <c r="H60" s="556"/>
    </row>
    <row r="61" spans="3:13" ht="43.5" customHeight="1">
      <c r="C61" s="320" t="s">
        <v>729</v>
      </c>
      <c r="D61" s="555">
        <v>15000</v>
      </c>
      <c r="E61" s="591" t="s">
        <v>731</v>
      </c>
      <c r="F61" s="591"/>
      <c r="G61" s="319" t="s">
        <v>194</v>
      </c>
      <c r="H61" s="555">
        <v>481</v>
      </c>
      <c r="I61" s="319" t="s">
        <v>392</v>
      </c>
      <c r="J61" s="397"/>
      <c r="K61" s="163" t="s">
        <v>404</v>
      </c>
      <c r="M61" s="163" t="s">
        <v>405</v>
      </c>
    </row>
    <row r="62" ht="15" customHeight="1">
      <c r="D62" s="163" t="s">
        <v>386</v>
      </c>
    </row>
    <row r="63" ht="15">
      <c r="D63" s="163" t="s">
        <v>387</v>
      </c>
    </row>
    <row r="64" spans="1:5" ht="15" customHeight="1">
      <c r="A64" s="706" t="s">
        <v>730</v>
      </c>
      <c r="B64" s="592"/>
      <c r="C64" s="592"/>
      <c r="D64" s="556">
        <v>20</v>
      </c>
      <c r="E64" s="163" t="s">
        <v>391</v>
      </c>
    </row>
    <row r="65" spans="1:5" ht="15">
      <c r="A65" s="319"/>
      <c r="B65" s="319"/>
      <c r="C65" s="320" t="s">
        <v>390</v>
      </c>
      <c r="D65" s="162">
        <f>VLOOKUP(D64-1,Sheet1!$A$15:$C$114,3,FALSE)</f>
        <v>14.70983741752063</v>
      </c>
      <c r="E65" s="163" t="str">
        <f>"Sum of discount factors from year 0 to year "&amp;D64</f>
        <v>Sum of discount factors from year 0 to year 20</v>
      </c>
    </row>
    <row r="66" spans="3:5" ht="15">
      <c r="C66" s="320" t="s">
        <v>389</v>
      </c>
      <c r="D66" s="308">
        <f>D61/D65</f>
        <v>1019.7257504786397</v>
      </c>
      <c r="E66" s="163" t="s">
        <v>392</v>
      </c>
    </row>
    <row r="68" spans="3:7" ht="30">
      <c r="C68" s="320" t="str">
        <f>A30</f>
        <v>OTHER/LOCAL DESIGNATIONS (Ha)</v>
      </c>
      <c r="D68" s="319" t="s">
        <v>195</v>
      </c>
      <c r="G68" s="319" t="s">
        <v>378</v>
      </c>
    </row>
    <row r="69" spans="3:13" ht="30" customHeight="1">
      <c r="C69" s="320" t="s">
        <v>729</v>
      </c>
      <c r="D69" s="555">
        <v>10000</v>
      </c>
      <c r="E69" s="591" t="s">
        <v>733</v>
      </c>
      <c r="F69" s="591"/>
      <c r="G69" s="319" t="s">
        <v>194</v>
      </c>
      <c r="H69" s="555">
        <v>280</v>
      </c>
      <c r="I69" s="319" t="s">
        <v>392</v>
      </c>
      <c r="J69" s="397"/>
      <c r="K69" s="163" t="s">
        <v>404</v>
      </c>
      <c r="M69" s="163" t="s">
        <v>405</v>
      </c>
    </row>
    <row r="70" ht="15" customHeight="1">
      <c r="D70" s="163" t="s">
        <v>386</v>
      </c>
    </row>
    <row r="71" ht="15">
      <c r="D71" s="163" t="s">
        <v>387</v>
      </c>
    </row>
    <row r="72" spans="1:5" ht="15" customHeight="1">
      <c r="A72" s="706" t="s">
        <v>730</v>
      </c>
      <c r="B72" s="592"/>
      <c r="C72" s="592"/>
      <c r="D72" s="556">
        <v>20</v>
      </c>
      <c r="E72" s="163" t="s">
        <v>391</v>
      </c>
    </row>
    <row r="73" spans="1:5" ht="15">
      <c r="A73" s="319"/>
      <c r="B73" s="319"/>
      <c r="C73" s="320" t="s">
        <v>390</v>
      </c>
      <c r="D73" s="162">
        <f>VLOOKUP(D72-1,Sheet1!$A$15:$C$114,3,FALSE)</f>
        <v>14.70983741752063</v>
      </c>
      <c r="E73" s="163" t="str">
        <f>"Sum of discount factors from year 0 to year "&amp;D72</f>
        <v>Sum of discount factors from year 0 to year 20</v>
      </c>
    </row>
    <row r="74" spans="3:5" ht="15">
      <c r="C74" s="320" t="s">
        <v>389</v>
      </c>
      <c r="D74" s="308">
        <f>D69/D73</f>
        <v>679.8171669857599</v>
      </c>
      <c r="E74" s="163" t="s">
        <v>392</v>
      </c>
    </row>
    <row r="76" spans="4:14" ht="15">
      <c r="D76" s="169">
        <v>1</v>
      </c>
      <c r="E76" s="169">
        <v>0.5</v>
      </c>
      <c r="F76" s="169">
        <v>0.2</v>
      </c>
      <c r="G76" s="169">
        <v>0.1</v>
      </c>
      <c r="H76" s="169">
        <v>0.04</v>
      </c>
      <c r="I76" s="169">
        <v>0.02</v>
      </c>
      <c r="J76" s="407">
        <v>0.0133</v>
      </c>
      <c r="K76" s="169">
        <v>0.01</v>
      </c>
      <c r="L76" s="170">
        <v>0.005</v>
      </c>
      <c r="M76" s="170">
        <v>0.001</v>
      </c>
      <c r="N76" s="176" t="s">
        <v>61</v>
      </c>
    </row>
    <row r="77" spans="3:14" ht="15">
      <c r="C77" s="198" t="s">
        <v>367</v>
      </c>
      <c r="D77" s="553">
        <f>'Water levels-Residential'!D32</f>
        <v>1</v>
      </c>
      <c r="E77" s="553">
        <f>'Water levels-Residential'!E32</f>
        <v>0.8944928611162618</v>
      </c>
      <c r="F77" s="553">
        <f>'Water levels-Residential'!F32</f>
        <v>0.5777860189134063</v>
      </c>
      <c r="G77" s="553">
        <f>'Water levels-Residential'!G32</f>
        <v>0.29334322269608754</v>
      </c>
      <c r="H77" s="553">
        <f>'Water levels-Residential'!H32</f>
        <v>0.13777118486927498</v>
      </c>
      <c r="I77" s="553">
        <f>'Water levels-Residential'!I32</f>
        <v>0.058594474318561095</v>
      </c>
      <c r="J77" s="553">
        <f>(I77+K77)/2.5</f>
        <v>0.029297237159280547</v>
      </c>
      <c r="K77" s="553">
        <f>'Water levels-Residential'!K32</f>
        <v>0.014648618579640274</v>
      </c>
      <c r="L77" s="553">
        <f>(K77+M77)/2</f>
        <v>0.007324309289820137</v>
      </c>
      <c r="M77" s="553">
        <f>'Water levels-Residential'!M32</f>
        <v>0</v>
      </c>
      <c r="N77" s="197" t="s">
        <v>368</v>
      </c>
    </row>
    <row r="78" spans="3:14" ht="15">
      <c r="C78" s="203" t="s">
        <v>229</v>
      </c>
      <c r="D78" s="200">
        <f aca="true" t="shared" si="0" ref="D78:I78">IF(D44="One-off loss",$H$53*D77,$D58)</f>
        <v>3399.085834928799</v>
      </c>
      <c r="E78" s="200">
        <f t="shared" si="0"/>
        <v>3399.085834928799</v>
      </c>
      <c r="F78" s="200">
        <f t="shared" si="0"/>
        <v>3399.085834928799</v>
      </c>
      <c r="G78" s="200">
        <f t="shared" si="0"/>
        <v>200.35342110142778</v>
      </c>
      <c r="H78" s="200">
        <f t="shared" si="0"/>
        <v>94.09771926571482</v>
      </c>
      <c r="I78" s="200">
        <f t="shared" si="0"/>
        <v>40.020025959577225</v>
      </c>
      <c r="J78" s="200">
        <f aca="true" t="shared" si="1" ref="J78:M78">IF(J44="One-off loss",$H$53*J77,$D58)</f>
        <v>20.010012979788613</v>
      </c>
      <c r="K78" s="200">
        <f t="shared" si="1"/>
        <v>10.005006489894306</v>
      </c>
      <c r="L78" s="200">
        <f t="shared" si="1"/>
        <v>5.002503244947153</v>
      </c>
      <c r="M78" s="200">
        <f t="shared" si="1"/>
        <v>0</v>
      </c>
      <c r="N78" s="197"/>
    </row>
    <row r="79" spans="3:14" ht="15">
      <c r="C79" s="203" t="s">
        <v>230</v>
      </c>
      <c r="D79" s="200">
        <f aca="true" t="shared" si="2" ref="D79:I79">IF(D47="One-off loss",$H$61*D77,$D66)</f>
        <v>1019.7257504786397</v>
      </c>
      <c r="E79" s="200">
        <f t="shared" si="2"/>
        <v>1019.7257504786397</v>
      </c>
      <c r="F79" s="200">
        <f t="shared" si="2"/>
        <v>277.91507509734845</v>
      </c>
      <c r="G79" s="200">
        <f t="shared" si="2"/>
        <v>141.0980901168181</v>
      </c>
      <c r="H79" s="200">
        <f t="shared" si="2"/>
        <v>66.26793992212126</v>
      </c>
      <c r="I79" s="200">
        <f t="shared" si="2"/>
        <v>28.183942147227885</v>
      </c>
      <c r="J79" s="200">
        <f aca="true" t="shared" si="3" ref="J79:M79">IF(J47="One-off loss",$H$61*J77,$D66)</f>
        <v>14.091971073613943</v>
      </c>
      <c r="K79" s="200">
        <f t="shared" si="3"/>
        <v>7.045985536806971</v>
      </c>
      <c r="L79" s="200">
        <f t="shared" si="3"/>
        <v>3.5229927684034856</v>
      </c>
      <c r="M79" s="200">
        <f t="shared" si="3"/>
        <v>0</v>
      </c>
      <c r="N79" s="197"/>
    </row>
    <row r="80" spans="3:14" ht="15">
      <c r="C80" s="203" t="s">
        <v>231</v>
      </c>
      <c r="D80" s="200">
        <f aca="true" t="shared" si="4" ref="D80:I80">IF(D50="One-off loss",$H$69*D77,$D74)</f>
        <v>679.8171669857599</v>
      </c>
      <c r="E80" s="200">
        <f t="shared" si="4"/>
        <v>679.8171669857599</v>
      </c>
      <c r="F80" s="200">
        <f t="shared" si="4"/>
        <v>161.78008529575376</v>
      </c>
      <c r="G80" s="200">
        <f t="shared" si="4"/>
        <v>82.13610235490451</v>
      </c>
      <c r="H80" s="200">
        <f t="shared" si="4"/>
        <v>38.575931763396994</v>
      </c>
      <c r="I80" s="200">
        <f t="shared" si="4"/>
        <v>16.406452809197106</v>
      </c>
      <c r="J80" s="200">
        <f aca="true" t="shared" si="5" ref="J80:M80">IF(J50="One-off loss",$H$69*J77,$D74)</f>
        <v>8.203226404598553</v>
      </c>
      <c r="K80" s="200">
        <f t="shared" si="5"/>
        <v>4.101613202299276</v>
      </c>
      <c r="L80" s="200">
        <f t="shared" si="5"/>
        <v>2.050806601149638</v>
      </c>
      <c r="M80" s="200">
        <f t="shared" si="5"/>
        <v>0</v>
      </c>
      <c r="N80" s="197"/>
    </row>
    <row r="82" spans="5:6" ht="15">
      <c r="E82" s="163" t="s">
        <v>262</v>
      </c>
      <c r="F82" s="163" t="s">
        <v>280</v>
      </c>
    </row>
    <row r="83" spans="1:13" ht="27" customHeight="1">
      <c r="A83" s="706" t="str">
        <f>A4</f>
        <v>INTERNATIONAL DESIGNATIONS (Ha)</v>
      </c>
      <c r="B83" s="592"/>
      <c r="C83" s="592"/>
      <c r="D83" s="169">
        <v>1</v>
      </c>
      <c r="E83" s="169">
        <v>0.5</v>
      </c>
      <c r="F83" s="169">
        <v>0.2</v>
      </c>
      <c r="G83" s="169">
        <v>0.1</v>
      </c>
      <c r="H83" s="169">
        <v>0.04</v>
      </c>
      <c r="I83" s="169">
        <v>0.02</v>
      </c>
      <c r="J83" s="407">
        <v>0.0133</v>
      </c>
      <c r="K83" s="169">
        <v>0.01</v>
      </c>
      <c r="L83" s="170">
        <v>0.005</v>
      </c>
      <c r="M83" s="170">
        <v>0.001</v>
      </c>
    </row>
    <row r="84" spans="3:14" ht="15">
      <c r="C84" s="169">
        <v>1</v>
      </c>
      <c r="D84" s="173">
        <f>IF($D78-D78&lt;0,0,$D78-D78)</f>
        <v>0</v>
      </c>
      <c r="E84" s="173">
        <f aca="true" t="shared" si="6" ref="E84:M84">IF($D78-E78&lt;0,0,$D78-E78)</f>
        <v>0</v>
      </c>
      <c r="F84" s="173">
        <f t="shared" si="6"/>
        <v>0</v>
      </c>
      <c r="G84" s="173">
        <f t="shared" si="6"/>
        <v>3198.7324138273716</v>
      </c>
      <c r="H84" s="173">
        <f t="shared" si="6"/>
        <v>3304.9881156630845</v>
      </c>
      <c r="I84" s="173">
        <f t="shared" si="6"/>
        <v>3359.065808969222</v>
      </c>
      <c r="J84" s="173">
        <f t="shared" si="6"/>
        <v>3379.0758219490103</v>
      </c>
      <c r="K84" s="173">
        <f t="shared" si="6"/>
        <v>3389.080828438905</v>
      </c>
      <c r="L84" s="173">
        <f t="shared" si="6"/>
        <v>3394.083331683852</v>
      </c>
      <c r="M84" s="173">
        <f t="shared" si="6"/>
        <v>3399.085834928799</v>
      </c>
      <c r="N84" s="163" t="s">
        <v>396</v>
      </c>
    </row>
    <row r="85" spans="2:13" ht="15">
      <c r="B85" s="163" t="s">
        <v>261</v>
      </c>
      <c r="C85" s="169">
        <v>0.5</v>
      </c>
      <c r="D85" s="173">
        <f>IF($E78-D78&gt;0,0,$E78-D78)</f>
        <v>0</v>
      </c>
      <c r="E85" s="173">
        <f aca="true" t="shared" si="7" ref="E85">$E78-E78</f>
        <v>0</v>
      </c>
      <c r="F85" s="173">
        <f>IF($E78-F78&lt;0,0,$E78-F78)</f>
        <v>0</v>
      </c>
      <c r="G85" s="173">
        <f aca="true" t="shared" si="8" ref="G85:M85">IF($E78-G78&lt;0,0,$E78-G78)</f>
        <v>3198.7324138273716</v>
      </c>
      <c r="H85" s="173">
        <f t="shared" si="8"/>
        <v>3304.9881156630845</v>
      </c>
      <c r="I85" s="173">
        <f t="shared" si="8"/>
        <v>3359.065808969222</v>
      </c>
      <c r="J85" s="173">
        <f t="shared" si="8"/>
        <v>3379.0758219490103</v>
      </c>
      <c r="K85" s="173">
        <f t="shared" si="8"/>
        <v>3389.080828438905</v>
      </c>
      <c r="L85" s="173">
        <f t="shared" si="8"/>
        <v>3394.083331683852</v>
      </c>
      <c r="M85" s="173">
        <f t="shared" si="8"/>
        <v>3399.085834928799</v>
      </c>
    </row>
    <row r="86" spans="2:13" ht="15">
      <c r="B86" s="700" t="s">
        <v>281</v>
      </c>
      <c r="C86" s="169">
        <v>0.2</v>
      </c>
      <c r="D86" s="173">
        <f>IF($F78-D78&gt;0,0,$F78-D78)</f>
        <v>0</v>
      </c>
      <c r="E86" s="173">
        <f>IF($F78-E78&gt;0,0,$F78-E78)</f>
        <v>0</v>
      </c>
      <c r="F86" s="173">
        <f aca="true" t="shared" si="9" ref="F86">$F78-F78</f>
        <v>0</v>
      </c>
      <c r="G86" s="173">
        <f>IF($F78-G78&lt;0,0,$F78-G78)</f>
        <v>3198.7324138273716</v>
      </c>
      <c r="H86" s="173">
        <f aca="true" t="shared" si="10" ref="H86:M86">IF($F78-H78&lt;0,0,$F78-H78)</f>
        <v>3304.9881156630845</v>
      </c>
      <c r="I86" s="173">
        <f t="shared" si="10"/>
        <v>3359.065808969222</v>
      </c>
      <c r="J86" s="173">
        <f t="shared" si="10"/>
        <v>3379.0758219490103</v>
      </c>
      <c r="K86" s="173">
        <f t="shared" si="10"/>
        <v>3389.080828438905</v>
      </c>
      <c r="L86" s="173">
        <f t="shared" si="10"/>
        <v>3394.083331683852</v>
      </c>
      <c r="M86" s="173">
        <f t="shared" si="10"/>
        <v>3399.085834928799</v>
      </c>
    </row>
    <row r="87" spans="2:13" ht="15">
      <c r="B87" s="701"/>
      <c r="C87" s="169">
        <v>0.1</v>
      </c>
      <c r="D87" s="173">
        <f>IF($G78-D78&gt;0,0,$G78-D78)</f>
        <v>-3198.7324138273716</v>
      </c>
      <c r="E87" s="173">
        <f aca="true" t="shared" si="11" ref="E87:F87">IF($G78-E78&gt;0,0,$G78-E78)</f>
        <v>-3198.7324138273716</v>
      </c>
      <c r="F87" s="173">
        <f t="shared" si="11"/>
        <v>-3198.7324138273716</v>
      </c>
      <c r="G87" s="173">
        <f aca="true" t="shared" si="12" ref="G87">$G78-G78</f>
        <v>0</v>
      </c>
      <c r="H87" s="173">
        <f>IF($G78-H78&lt;0,0,$G78-H78)</f>
        <v>106.25570183571297</v>
      </c>
      <c r="I87" s="173">
        <f aca="true" t="shared" si="13" ref="I87:M87">IF($G78-I78&lt;0,0,$G78-I78)</f>
        <v>160.33339514185056</v>
      </c>
      <c r="J87" s="173">
        <f t="shared" si="13"/>
        <v>180.3434081216392</v>
      </c>
      <c r="K87" s="173">
        <f t="shared" si="13"/>
        <v>190.34841461153349</v>
      </c>
      <c r="L87" s="173">
        <f t="shared" si="13"/>
        <v>195.35091785648063</v>
      </c>
      <c r="M87" s="173">
        <f t="shared" si="13"/>
        <v>200.35342110142778</v>
      </c>
    </row>
    <row r="88" spans="2:13" ht="15">
      <c r="B88" s="701"/>
      <c r="C88" s="169">
        <v>0.04</v>
      </c>
      <c r="D88" s="173">
        <f>IF($H78-D78&gt;0,0,$H78-D78)</f>
        <v>-3304.9881156630845</v>
      </c>
      <c r="E88" s="173">
        <f aca="true" t="shared" si="14" ref="E88:G88">IF($H78-E78&gt;0,0,$H78-E78)</f>
        <v>-3304.9881156630845</v>
      </c>
      <c r="F88" s="173">
        <f t="shared" si="14"/>
        <v>-3304.9881156630845</v>
      </c>
      <c r="G88" s="173">
        <f t="shared" si="14"/>
        <v>-106.25570183571297</v>
      </c>
      <c r="H88" s="173">
        <f aca="true" t="shared" si="15" ref="H88">$H78-H78</f>
        <v>0</v>
      </c>
      <c r="I88" s="173">
        <f>IF($H78-I78&lt;0,0,$H78-I78)</f>
        <v>54.07769330613759</v>
      </c>
      <c r="J88" s="173">
        <f aca="true" t="shared" si="16" ref="J88:M88">IF($H78-J78&lt;0,0,$H78-J78)</f>
        <v>74.0877062859262</v>
      </c>
      <c r="K88" s="173">
        <f t="shared" si="16"/>
        <v>84.0927127758205</v>
      </c>
      <c r="L88" s="173">
        <f t="shared" si="16"/>
        <v>89.09521602076767</v>
      </c>
      <c r="M88" s="173">
        <f t="shared" si="16"/>
        <v>94.09771926571482</v>
      </c>
    </row>
    <row r="89" spans="2:13" ht="15">
      <c r="B89" s="701"/>
      <c r="C89" s="169">
        <v>0.02</v>
      </c>
      <c r="D89" s="173">
        <f>IF($I78-D78&gt;0,0,$I78-D78)</f>
        <v>-3359.065808969222</v>
      </c>
      <c r="E89" s="173">
        <f aca="true" t="shared" si="17" ref="E89:H89">IF($I78-E78&gt;0,0,$I78-E78)</f>
        <v>-3359.065808969222</v>
      </c>
      <c r="F89" s="173">
        <f t="shared" si="17"/>
        <v>-3359.065808969222</v>
      </c>
      <c r="G89" s="173">
        <f t="shared" si="17"/>
        <v>-160.33339514185056</v>
      </c>
      <c r="H89" s="173">
        <f t="shared" si="17"/>
        <v>-54.07769330613759</v>
      </c>
      <c r="I89" s="173">
        <f aca="true" t="shared" si="18" ref="I89">$I78-I78</f>
        <v>0</v>
      </c>
      <c r="J89" s="173">
        <f>IF($I78-J78&lt;0,0,$I78-J78)</f>
        <v>20.010012979788613</v>
      </c>
      <c r="K89" s="173">
        <f aca="true" t="shared" si="19" ref="K89:M89">IF($I78-K78&lt;0,0,$I78-K78)</f>
        <v>30.01501946968292</v>
      </c>
      <c r="L89" s="173">
        <f t="shared" si="19"/>
        <v>35.017522714630076</v>
      </c>
      <c r="M89" s="173">
        <f t="shared" si="19"/>
        <v>40.020025959577225</v>
      </c>
    </row>
    <row r="90" spans="2:13" ht="15">
      <c r="B90" s="701"/>
      <c r="C90" s="407">
        <v>0.0133</v>
      </c>
      <c r="D90" s="173">
        <f>IF($J78-D78&gt;0,0,$J78-D78)</f>
        <v>-3379.0758219490103</v>
      </c>
      <c r="E90" s="173">
        <f aca="true" t="shared" si="20" ref="E90:I90">IF($J78-E78&gt;0,0,$J78-E78)</f>
        <v>-3379.0758219490103</v>
      </c>
      <c r="F90" s="173">
        <f t="shared" si="20"/>
        <v>-3379.0758219490103</v>
      </c>
      <c r="G90" s="173">
        <f t="shared" si="20"/>
        <v>-180.3434081216392</v>
      </c>
      <c r="H90" s="173">
        <f t="shared" si="20"/>
        <v>-74.0877062859262</v>
      </c>
      <c r="I90" s="173">
        <f t="shared" si="20"/>
        <v>-20.010012979788613</v>
      </c>
      <c r="J90" s="173">
        <f aca="true" t="shared" si="21" ref="J90">$J78-J78</f>
        <v>0</v>
      </c>
      <c r="K90" s="173">
        <f>IF($J78-K78&lt;0,0,$J78-K78)</f>
        <v>10.005006489894306</v>
      </c>
      <c r="L90" s="173">
        <f aca="true" t="shared" si="22" ref="L90:M90">IF($J78-L78&lt;0,0,$J78-L78)</f>
        <v>15.00750973484146</v>
      </c>
      <c r="M90" s="173">
        <f t="shared" si="22"/>
        <v>20.010012979788613</v>
      </c>
    </row>
    <row r="91" spans="2:13" ht="15">
      <c r="B91" s="701"/>
      <c r="C91" s="169">
        <v>0.01</v>
      </c>
      <c r="D91" s="173">
        <f>IF($K78-D78&gt;0,0,$K78-D78)</f>
        <v>-3389.080828438905</v>
      </c>
      <c r="E91" s="173">
        <f aca="true" t="shared" si="23" ref="E91:J91">IF($K78-E78&gt;0,0,$K78-E78)</f>
        <v>-3389.080828438905</v>
      </c>
      <c r="F91" s="173">
        <f t="shared" si="23"/>
        <v>-3389.080828438905</v>
      </c>
      <c r="G91" s="173">
        <f t="shared" si="23"/>
        <v>-190.34841461153349</v>
      </c>
      <c r="H91" s="173">
        <f t="shared" si="23"/>
        <v>-84.0927127758205</v>
      </c>
      <c r="I91" s="173">
        <f t="shared" si="23"/>
        <v>-30.01501946968292</v>
      </c>
      <c r="J91" s="173">
        <f t="shared" si="23"/>
        <v>-10.005006489894306</v>
      </c>
      <c r="K91" s="173">
        <f aca="true" t="shared" si="24" ref="K91">$K78-K78</f>
        <v>0</v>
      </c>
      <c r="L91" s="173">
        <f>IF($K78-L78&lt;0,0,$K78-L78)</f>
        <v>5.002503244947153</v>
      </c>
      <c r="M91" s="173">
        <f>IF($K78-M78&lt;0,0,$K78-M78)</f>
        <v>10.005006489894306</v>
      </c>
    </row>
    <row r="92" spans="2:13" ht="15">
      <c r="B92" s="701"/>
      <c r="C92" s="170">
        <v>0.005</v>
      </c>
      <c r="D92" s="173">
        <f>IF($L78-D78&gt;0,0,$L78-D78)</f>
        <v>-3394.083331683852</v>
      </c>
      <c r="E92" s="173">
        <f aca="true" t="shared" si="25" ref="E92:K92">IF($L78-E78&gt;0,0,$L78-E78)</f>
        <v>-3394.083331683852</v>
      </c>
      <c r="F92" s="173">
        <f t="shared" si="25"/>
        <v>-3394.083331683852</v>
      </c>
      <c r="G92" s="173">
        <f t="shared" si="25"/>
        <v>-195.35091785648063</v>
      </c>
      <c r="H92" s="173">
        <f t="shared" si="25"/>
        <v>-89.09521602076767</v>
      </c>
      <c r="I92" s="173">
        <f t="shared" si="25"/>
        <v>-35.017522714630076</v>
      </c>
      <c r="J92" s="173">
        <f t="shared" si="25"/>
        <v>-15.00750973484146</v>
      </c>
      <c r="K92" s="173">
        <f t="shared" si="25"/>
        <v>-5.002503244947153</v>
      </c>
      <c r="L92" s="173">
        <f aca="true" t="shared" si="26" ref="L92">$L78-L78</f>
        <v>0</v>
      </c>
      <c r="M92" s="173">
        <f>IF($L78-M78&lt;0,0,$L78-M78)</f>
        <v>5.002503244947153</v>
      </c>
    </row>
    <row r="93" spans="2:13" ht="15">
      <c r="B93" s="701"/>
      <c r="C93" s="170">
        <v>0.001</v>
      </c>
      <c r="D93" s="173">
        <f>IF($M78-D78&gt;0,0,$M78-D78)</f>
        <v>-3399.085834928799</v>
      </c>
      <c r="E93" s="173">
        <f aca="true" t="shared" si="27" ref="E93:L93">IF($M78-E78&gt;0,0,$M78-E78)</f>
        <v>-3399.085834928799</v>
      </c>
      <c r="F93" s="173">
        <f t="shared" si="27"/>
        <v>-3399.085834928799</v>
      </c>
      <c r="G93" s="173">
        <f t="shared" si="27"/>
        <v>-200.35342110142778</v>
      </c>
      <c r="H93" s="173">
        <f t="shared" si="27"/>
        <v>-94.09771926571482</v>
      </c>
      <c r="I93" s="173">
        <f t="shared" si="27"/>
        <v>-40.020025959577225</v>
      </c>
      <c r="J93" s="173">
        <f t="shared" si="27"/>
        <v>-20.010012979788613</v>
      </c>
      <c r="K93" s="173">
        <f t="shared" si="27"/>
        <v>-10.005006489894306</v>
      </c>
      <c r="L93" s="173">
        <f t="shared" si="27"/>
        <v>-5.002503244947153</v>
      </c>
      <c r="M93" s="173">
        <f aca="true" t="shared" si="28" ref="M93">$M78-M78</f>
        <v>0</v>
      </c>
    </row>
    <row r="95" spans="5:6" ht="15">
      <c r="E95" s="163" t="s">
        <v>262</v>
      </c>
      <c r="F95" s="163" t="s">
        <v>280</v>
      </c>
    </row>
    <row r="96" spans="1:13" ht="30.75" customHeight="1">
      <c r="A96" s="706" t="str">
        <f>A17</f>
        <v>NATIONAL DESIGNATIONS (Ha)</v>
      </c>
      <c r="B96" s="592"/>
      <c r="C96" s="592"/>
      <c r="D96" s="169">
        <v>1</v>
      </c>
      <c r="E96" s="169">
        <v>0.5</v>
      </c>
      <c r="F96" s="169">
        <v>0.2</v>
      </c>
      <c r="G96" s="169">
        <v>0.1</v>
      </c>
      <c r="H96" s="169">
        <v>0.04</v>
      </c>
      <c r="I96" s="169">
        <v>0.02</v>
      </c>
      <c r="J96" s="407">
        <v>0.0133</v>
      </c>
      <c r="K96" s="169">
        <v>0.01</v>
      </c>
      <c r="L96" s="170">
        <v>0.005</v>
      </c>
      <c r="M96" s="170">
        <v>0.001</v>
      </c>
    </row>
    <row r="97" spans="3:14" ht="15">
      <c r="C97" s="169">
        <v>1</v>
      </c>
      <c r="D97" s="173">
        <f>IF($D79-D79&lt;0,0,$D79-D79)</f>
        <v>0</v>
      </c>
      <c r="E97" s="173">
        <f aca="true" t="shared" si="29" ref="E97:M97">IF($D79-E79&lt;0,0,$D79-E79)</f>
        <v>0</v>
      </c>
      <c r="F97" s="173">
        <f t="shared" si="29"/>
        <v>741.8106753812913</v>
      </c>
      <c r="G97" s="173">
        <f t="shared" si="29"/>
        <v>878.6276603618217</v>
      </c>
      <c r="H97" s="173">
        <f t="shared" si="29"/>
        <v>953.4578105565184</v>
      </c>
      <c r="I97" s="173">
        <f t="shared" si="29"/>
        <v>991.5418083314119</v>
      </c>
      <c r="J97" s="173">
        <f t="shared" si="29"/>
        <v>1005.6337794050257</v>
      </c>
      <c r="K97" s="173">
        <f t="shared" si="29"/>
        <v>1012.6797649418328</v>
      </c>
      <c r="L97" s="173">
        <f t="shared" si="29"/>
        <v>1016.2027577102363</v>
      </c>
      <c r="M97" s="173">
        <f t="shared" si="29"/>
        <v>1019.7257504786397</v>
      </c>
      <c r="N97" s="163" t="s">
        <v>396</v>
      </c>
    </row>
    <row r="98" spans="2:13" ht="15">
      <c r="B98" s="163" t="s">
        <v>261</v>
      </c>
      <c r="C98" s="169">
        <v>0.5</v>
      </c>
      <c r="D98" s="173">
        <f>IF($E79-D79&gt;0,0,$E79-D79)</f>
        <v>0</v>
      </c>
      <c r="E98" s="173">
        <f aca="true" t="shared" si="30" ref="E98">$E79-E79</f>
        <v>0</v>
      </c>
      <c r="F98" s="173">
        <f>IF($E79-F79&lt;0,0,$E79-F79)</f>
        <v>741.8106753812913</v>
      </c>
      <c r="G98" s="173">
        <f aca="true" t="shared" si="31" ref="G98:M98">IF($E79-G79&lt;0,0,$E79-G79)</f>
        <v>878.6276603618217</v>
      </c>
      <c r="H98" s="173">
        <f t="shared" si="31"/>
        <v>953.4578105565184</v>
      </c>
      <c r="I98" s="173">
        <f t="shared" si="31"/>
        <v>991.5418083314119</v>
      </c>
      <c r="J98" s="173">
        <f t="shared" si="31"/>
        <v>1005.6337794050257</v>
      </c>
      <c r="K98" s="173">
        <f t="shared" si="31"/>
        <v>1012.6797649418328</v>
      </c>
      <c r="L98" s="173">
        <f t="shared" si="31"/>
        <v>1016.2027577102363</v>
      </c>
      <c r="M98" s="173">
        <f t="shared" si="31"/>
        <v>1019.7257504786397</v>
      </c>
    </row>
    <row r="99" spans="2:13" ht="15">
      <c r="B99" s="700" t="s">
        <v>281</v>
      </c>
      <c r="C99" s="169">
        <v>0.2</v>
      </c>
      <c r="D99" s="173">
        <f>IF($F79-D79&gt;0,0,$F79-D79)</f>
        <v>-741.8106753812913</v>
      </c>
      <c r="E99" s="173">
        <f>IF($F79-E79&gt;0,0,$F79-E79)</f>
        <v>-741.8106753812913</v>
      </c>
      <c r="F99" s="173">
        <f aca="true" t="shared" si="32" ref="F99">$F79-F79</f>
        <v>0</v>
      </c>
      <c r="G99" s="173">
        <f>IF($F79-G79&lt;0,0,$F79-G79)</f>
        <v>136.81698498053035</v>
      </c>
      <c r="H99" s="173">
        <f aca="true" t="shared" si="33" ref="H99:M99">IF($F79-H79&lt;0,0,$F79-H79)</f>
        <v>211.6471351752272</v>
      </c>
      <c r="I99" s="173">
        <f t="shared" si="33"/>
        <v>249.73113295012055</v>
      </c>
      <c r="J99" s="173">
        <f t="shared" si="33"/>
        <v>263.8231040237345</v>
      </c>
      <c r="K99" s="173">
        <f t="shared" si="33"/>
        <v>270.86908956054145</v>
      </c>
      <c r="L99" s="173">
        <f t="shared" si="33"/>
        <v>274.392082328945</v>
      </c>
      <c r="M99" s="173">
        <f t="shared" si="33"/>
        <v>277.91507509734845</v>
      </c>
    </row>
    <row r="100" spans="2:13" ht="15">
      <c r="B100" s="701"/>
      <c r="C100" s="169">
        <v>0.1</v>
      </c>
      <c r="D100" s="173">
        <f>IF($G79-D79&gt;0,0,$G79-D79)</f>
        <v>-878.6276603618217</v>
      </c>
      <c r="E100" s="173">
        <f aca="true" t="shared" si="34" ref="E100:F100">IF($G79-E79&gt;0,0,$G79-E79)</f>
        <v>-878.6276603618217</v>
      </c>
      <c r="F100" s="173">
        <f t="shared" si="34"/>
        <v>-136.81698498053035</v>
      </c>
      <c r="G100" s="173">
        <f aca="true" t="shared" si="35" ref="G100">$G79-G79</f>
        <v>0</v>
      </c>
      <c r="H100" s="173">
        <f>IF($G79-H79&lt;0,0,$G79-H79)</f>
        <v>74.83015019469684</v>
      </c>
      <c r="I100" s="173">
        <f aca="true" t="shared" si="36" ref="I100:M100">IF($G79-I79&lt;0,0,$G79-I79)</f>
        <v>112.91414796959022</v>
      </c>
      <c r="J100" s="173">
        <f t="shared" si="36"/>
        <v>127.00611904320415</v>
      </c>
      <c r="K100" s="173">
        <f t="shared" si="36"/>
        <v>134.05210458001113</v>
      </c>
      <c r="L100" s="173">
        <f t="shared" si="36"/>
        <v>137.5750973484146</v>
      </c>
      <c r="M100" s="173">
        <f t="shared" si="36"/>
        <v>141.0980901168181</v>
      </c>
    </row>
    <row r="101" spans="2:13" ht="15">
      <c r="B101" s="701"/>
      <c r="C101" s="169">
        <v>0.04</v>
      </c>
      <c r="D101" s="173">
        <f>IF($H79-D79&gt;0,0,$H79-D79)</f>
        <v>-953.4578105565184</v>
      </c>
      <c r="E101" s="173">
        <f aca="true" t="shared" si="37" ref="E101:G101">IF($H79-E79&gt;0,0,$H79-E79)</f>
        <v>-953.4578105565184</v>
      </c>
      <c r="F101" s="173">
        <f t="shared" si="37"/>
        <v>-211.6471351752272</v>
      </c>
      <c r="G101" s="173">
        <f t="shared" si="37"/>
        <v>-74.83015019469684</v>
      </c>
      <c r="H101" s="173">
        <f aca="true" t="shared" si="38" ref="H101">$H79-H79</f>
        <v>0</v>
      </c>
      <c r="I101" s="173">
        <f>IF($H79-I79&lt;0,0,$H79-I79)</f>
        <v>38.083997774893376</v>
      </c>
      <c r="J101" s="173">
        <f aca="true" t="shared" si="39" ref="J101:M101">IF($H79-J79&lt;0,0,$H79-J79)</f>
        <v>52.17596884850732</v>
      </c>
      <c r="K101" s="173">
        <f t="shared" si="39"/>
        <v>59.221954385314284</v>
      </c>
      <c r="L101" s="173">
        <f t="shared" si="39"/>
        <v>62.744947153717774</v>
      </c>
      <c r="M101" s="173">
        <f t="shared" si="39"/>
        <v>66.26793992212126</v>
      </c>
    </row>
    <row r="102" spans="2:13" ht="15">
      <c r="B102" s="701"/>
      <c r="C102" s="169">
        <v>0.02</v>
      </c>
      <c r="D102" s="173">
        <f>IF($I79-D79&gt;0,0,$I79-D79)</f>
        <v>-991.5418083314119</v>
      </c>
      <c r="E102" s="173">
        <f aca="true" t="shared" si="40" ref="E102:H102">IF($I79-E79&gt;0,0,$I79-E79)</f>
        <v>-991.5418083314119</v>
      </c>
      <c r="F102" s="173">
        <f t="shared" si="40"/>
        <v>-249.73113295012055</v>
      </c>
      <c r="G102" s="173">
        <f t="shared" si="40"/>
        <v>-112.91414796959022</v>
      </c>
      <c r="H102" s="173">
        <f t="shared" si="40"/>
        <v>-38.083997774893376</v>
      </c>
      <c r="I102" s="173">
        <f aca="true" t="shared" si="41" ref="I102">$I79-I79</f>
        <v>0</v>
      </c>
      <c r="J102" s="173">
        <f>IF($I79-J79&lt;0,0,$I79-J79)</f>
        <v>14.091971073613943</v>
      </c>
      <c r="K102" s="173">
        <f aca="true" t="shared" si="42" ref="K102:M102">IF($I79-K79&lt;0,0,$I79-K79)</f>
        <v>21.137956610420915</v>
      </c>
      <c r="L102" s="173">
        <f t="shared" si="42"/>
        <v>24.660949378824398</v>
      </c>
      <c r="M102" s="173">
        <f t="shared" si="42"/>
        <v>28.183942147227885</v>
      </c>
    </row>
    <row r="103" spans="2:13" ht="15">
      <c r="B103" s="701"/>
      <c r="C103" s="407">
        <v>0.0133</v>
      </c>
      <c r="D103" s="173">
        <f>IF($J79-D79&gt;0,0,$J79-D79)</f>
        <v>-1005.6337794050257</v>
      </c>
      <c r="E103" s="173">
        <f aca="true" t="shared" si="43" ref="E103:I103">IF($J79-E79&gt;0,0,$J79-E79)</f>
        <v>-1005.6337794050257</v>
      </c>
      <c r="F103" s="173">
        <f t="shared" si="43"/>
        <v>-263.8231040237345</v>
      </c>
      <c r="G103" s="173">
        <f t="shared" si="43"/>
        <v>-127.00611904320415</v>
      </c>
      <c r="H103" s="173">
        <f t="shared" si="43"/>
        <v>-52.17596884850732</v>
      </c>
      <c r="I103" s="173">
        <f t="shared" si="43"/>
        <v>-14.091971073613943</v>
      </c>
      <c r="J103" s="173">
        <f aca="true" t="shared" si="44" ref="J103">$J79-J79</f>
        <v>0</v>
      </c>
      <c r="K103" s="173">
        <f>IF($J79-K79&lt;0,0,$J79-K79)</f>
        <v>7.045985536806971</v>
      </c>
      <c r="L103" s="173">
        <f aca="true" t="shared" si="45" ref="L103:M103">IF($J79-L79&lt;0,0,$J79-L79)</f>
        <v>10.568978305210457</v>
      </c>
      <c r="M103" s="173">
        <f t="shared" si="45"/>
        <v>14.091971073613943</v>
      </c>
    </row>
    <row r="104" spans="2:13" ht="15">
      <c r="B104" s="701"/>
      <c r="C104" s="169">
        <v>0.01</v>
      </c>
      <c r="D104" s="173">
        <f>IF($K79-D79&gt;0,0,$K79-D79)</f>
        <v>-1012.6797649418328</v>
      </c>
      <c r="E104" s="173">
        <f aca="true" t="shared" si="46" ref="E104:J104">IF($K79-E79&gt;0,0,$K79-E79)</f>
        <v>-1012.6797649418328</v>
      </c>
      <c r="F104" s="173">
        <f t="shared" si="46"/>
        <v>-270.86908956054145</v>
      </c>
      <c r="G104" s="173">
        <f t="shared" si="46"/>
        <v>-134.05210458001113</v>
      </c>
      <c r="H104" s="173">
        <f t="shared" si="46"/>
        <v>-59.221954385314284</v>
      </c>
      <c r="I104" s="173">
        <f t="shared" si="46"/>
        <v>-21.137956610420915</v>
      </c>
      <c r="J104" s="173">
        <f t="shared" si="46"/>
        <v>-7.045985536806971</v>
      </c>
      <c r="K104" s="173">
        <f aca="true" t="shared" si="47" ref="K104">$K79-K79</f>
        <v>0</v>
      </c>
      <c r="L104" s="173">
        <f>IF($K79-L79&lt;0,0,$K79-L79)</f>
        <v>3.5229927684034856</v>
      </c>
      <c r="M104" s="173">
        <f>IF($K79-M79&lt;0,0,$K79-M79)</f>
        <v>7.045985536806971</v>
      </c>
    </row>
    <row r="105" spans="2:13" ht="15">
      <c r="B105" s="701"/>
      <c r="C105" s="170">
        <v>0.005</v>
      </c>
      <c r="D105" s="173">
        <f>IF($L79-D79&gt;0,0,$L79-D79)</f>
        <v>-1016.2027577102363</v>
      </c>
      <c r="E105" s="173">
        <f aca="true" t="shared" si="48" ref="E105:K105">IF($L79-E79&gt;0,0,$L79-E79)</f>
        <v>-1016.2027577102363</v>
      </c>
      <c r="F105" s="173">
        <f t="shared" si="48"/>
        <v>-274.392082328945</v>
      </c>
      <c r="G105" s="173">
        <f t="shared" si="48"/>
        <v>-137.5750973484146</v>
      </c>
      <c r="H105" s="173">
        <f t="shared" si="48"/>
        <v>-62.744947153717774</v>
      </c>
      <c r="I105" s="173">
        <f t="shared" si="48"/>
        <v>-24.660949378824398</v>
      </c>
      <c r="J105" s="173">
        <f t="shared" si="48"/>
        <v>-10.568978305210457</v>
      </c>
      <c r="K105" s="173">
        <f t="shared" si="48"/>
        <v>-3.5229927684034856</v>
      </c>
      <c r="L105" s="173">
        <f aca="true" t="shared" si="49" ref="L105">$L79-L79</f>
        <v>0</v>
      </c>
      <c r="M105" s="173">
        <f>IF($L79-M79&lt;0,0,$L79-M79)</f>
        <v>3.5229927684034856</v>
      </c>
    </row>
    <row r="106" spans="2:13" ht="15">
      <c r="B106" s="701"/>
      <c r="C106" s="170">
        <v>0.001</v>
      </c>
      <c r="D106" s="173">
        <f>IF($M79-D79&gt;0,0,$M79-D79)</f>
        <v>-1019.7257504786397</v>
      </c>
      <c r="E106" s="173">
        <f aca="true" t="shared" si="50" ref="E106:L106">IF($M79-E79&gt;0,0,$M79-E79)</f>
        <v>-1019.7257504786397</v>
      </c>
      <c r="F106" s="173">
        <f t="shared" si="50"/>
        <v>-277.91507509734845</v>
      </c>
      <c r="G106" s="173">
        <f t="shared" si="50"/>
        <v>-141.0980901168181</v>
      </c>
      <c r="H106" s="173">
        <f t="shared" si="50"/>
        <v>-66.26793992212126</v>
      </c>
      <c r="I106" s="173">
        <f t="shared" si="50"/>
        <v>-28.183942147227885</v>
      </c>
      <c r="J106" s="173">
        <f t="shared" si="50"/>
        <v>-14.091971073613943</v>
      </c>
      <c r="K106" s="173">
        <f t="shared" si="50"/>
        <v>-7.045985536806971</v>
      </c>
      <c r="L106" s="173">
        <f t="shared" si="50"/>
        <v>-3.5229927684034856</v>
      </c>
      <c r="M106" s="173">
        <f aca="true" t="shared" si="51" ref="M106">$M79-M79</f>
        <v>0</v>
      </c>
    </row>
    <row r="108" spans="5:6" ht="15">
      <c r="E108" s="163" t="s">
        <v>262</v>
      </c>
      <c r="F108" s="163" t="s">
        <v>280</v>
      </c>
    </row>
    <row r="109" spans="1:13" ht="31.5" customHeight="1">
      <c r="A109" s="706" t="str">
        <f>A30</f>
        <v>OTHER/LOCAL DESIGNATIONS (Ha)</v>
      </c>
      <c r="B109" s="592"/>
      <c r="C109" s="592"/>
      <c r="D109" s="169">
        <v>1</v>
      </c>
      <c r="E109" s="169">
        <v>0.5</v>
      </c>
      <c r="F109" s="169">
        <v>0.2</v>
      </c>
      <c r="G109" s="169">
        <v>0.1</v>
      </c>
      <c r="H109" s="169">
        <v>0.04</v>
      </c>
      <c r="I109" s="169">
        <v>0.02</v>
      </c>
      <c r="J109" s="407">
        <v>0.0133</v>
      </c>
      <c r="K109" s="169">
        <v>0.01</v>
      </c>
      <c r="L109" s="170">
        <v>0.005</v>
      </c>
      <c r="M109" s="170">
        <v>0.001</v>
      </c>
    </row>
    <row r="110" spans="3:14" ht="15">
      <c r="C110" s="169">
        <v>1</v>
      </c>
      <c r="D110" s="173">
        <f>IF($D80-D80&lt;0,0,$D80-D80)</f>
        <v>0</v>
      </c>
      <c r="E110" s="173">
        <f aca="true" t="shared" si="52" ref="E110:M110">IF($D80-E80&lt;0,0,$D80-E80)</f>
        <v>0</v>
      </c>
      <c r="F110" s="173">
        <f t="shared" si="52"/>
        <v>518.0370816900061</v>
      </c>
      <c r="G110" s="173">
        <f t="shared" si="52"/>
        <v>597.6810646308553</v>
      </c>
      <c r="H110" s="173">
        <f t="shared" si="52"/>
        <v>641.2412352223629</v>
      </c>
      <c r="I110" s="173">
        <f t="shared" si="52"/>
        <v>663.4107141765628</v>
      </c>
      <c r="J110" s="173">
        <f t="shared" si="52"/>
        <v>671.6139405811613</v>
      </c>
      <c r="K110" s="173">
        <f t="shared" si="52"/>
        <v>675.7155537834606</v>
      </c>
      <c r="L110" s="173">
        <f t="shared" si="52"/>
        <v>677.7663603846103</v>
      </c>
      <c r="M110" s="173">
        <f t="shared" si="52"/>
        <v>679.8171669857599</v>
      </c>
      <c r="N110" s="163" t="s">
        <v>396</v>
      </c>
    </row>
    <row r="111" spans="2:13" ht="15">
      <c r="B111" s="163" t="s">
        <v>261</v>
      </c>
      <c r="C111" s="169">
        <v>0.5</v>
      </c>
      <c r="D111" s="173">
        <f>IF($E80-D80&gt;0,0,$E80-D80)</f>
        <v>0</v>
      </c>
      <c r="E111" s="173">
        <f aca="true" t="shared" si="53" ref="E111">$E80-E80</f>
        <v>0</v>
      </c>
      <c r="F111" s="173">
        <f>IF($E80-F80&lt;0,0,$E80-F80)</f>
        <v>518.0370816900061</v>
      </c>
      <c r="G111" s="173">
        <f aca="true" t="shared" si="54" ref="G111:M111">IF($E80-G80&lt;0,0,$E80-G80)</f>
        <v>597.6810646308553</v>
      </c>
      <c r="H111" s="173">
        <f t="shared" si="54"/>
        <v>641.2412352223629</v>
      </c>
      <c r="I111" s="173">
        <f t="shared" si="54"/>
        <v>663.4107141765628</v>
      </c>
      <c r="J111" s="173">
        <f t="shared" si="54"/>
        <v>671.6139405811613</v>
      </c>
      <c r="K111" s="173">
        <f t="shared" si="54"/>
        <v>675.7155537834606</v>
      </c>
      <c r="L111" s="173">
        <f t="shared" si="54"/>
        <v>677.7663603846103</v>
      </c>
      <c r="M111" s="173">
        <f t="shared" si="54"/>
        <v>679.8171669857599</v>
      </c>
    </row>
    <row r="112" spans="2:13" ht="15">
      <c r="B112" s="700" t="s">
        <v>281</v>
      </c>
      <c r="C112" s="169">
        <v>0.2</v>
      </c>
      <c r="D112" s="173">
        <f>IF($F80-D80&gt;0,0,$F80-D80)</f>
        <v>-518.0370816900061</v>
      </c>
      <c r="E112" s="173">
        <f>IF($F80-E80&gt;0,0,$F80-E80)</f>
        <v>-518.0370816900061</v>
      </c>
      <c r="F112" s="173">
        <f aca="true" t="shared" si="55" ref="F112">$F80-F80</f>
        <v>0</v>
      </c>
      <c r="G112" s="173">
        <f>IF($F80-G80&lt;0,0,$F80-G80)</f>
        <v>79.64398294084926</v>
      </c>
      <c r="H112" s="173">
        <f aca="true" t="shared" si="56" ref="H112:M112">IF($F80-H80&lt;0,0,$F80-H80)</f>
        <v>123.20415353235677</v>
      </c>
      <c r="I112" s="173">
        <f t="shared" si="56"/>
        <v>145.37363248655666</v>
      </c>
      <c r="J112" s="173">
        <f t="shared" si="56"/>
        <v>153.5768588911552</v>
      </c>
      <c r="K112" s="173">
        <f t="shared" si="56"/>
        <v>157.6784720934545</v>
      </c>
      <c r="L112" s="173">
        <f t="shared" si="56"/>
        <v>159.72927869460412</v>
      </c>
      <c r="M112" s="173">
        <f t="shared" si="56"/>
        <v>161.78008529575376</v>
      </c>
    </row>
    <row r="113" spans="2:13" ht="15">
      <c r="B113" s="701"/>
      <c r="C113" s="169">
        <v>0.1</v>
      </c>
      <c r="D113" s="173">
        <f>IF($G80-D80&gt;0,0,$G80-D80)</f>
        <v>-597.6810646308553</v>
      </c>
      <c r="E113" s="173">
        <f aca="true" t="shared" si="57" ref="E113:F113">IF($G80-E80&gt;0,0,$G80-E80)</f>
        <v>-597.6810646308553</v>
      </c>
      <c r="F113" s="173">
        <f t="shared" si="57"/>
        <v>-79.64398294084926</v>
      </c>
      <c r="G113" s="173">
        <f aca="true" t="shared" si="58" ref="G113">$G80-G80</f>
        <v>0</v>
      </c>
      <c r="H113" s="173">
        <f>IF($G80-H80&lt;0,0,$G80-H80)</f>
        <v>43.560170591507514</v>
      </c>
      <c r="I113" s="173">
        <f aca="true" t="shared" si="59" ref="I113:M113">IF($G80-I80&lt;0,0,$G80-I80)</f>
        <v>65.7296495457074</v>
      </c>
      <c r="J113" s="173">
        <f t="shared" si="59"/>
        <v>73.93287595030596</v>
      </c>
      <c r="K113" s="173">
        <f t="shared" si="59"/>
        <v>78.03448915260523</v>
      </c>
      <c r="L113" s="173">
        <f t="shared" si="59"/>
        <v>80.08529575375488</v>
      </c>
      <c r="M113" s="173">
        <f t="shared" si="59"/>
        <v>82.13610235490451</v>
      </c>
    </row>
    <row r="114" spans="2:13" ht="15">
      <c r="B114" s="701"/>
      <c r="C114" s="169">
        <v>0.04</v>
      </c>
      <c r="D114" s="173">
        <f>IF($H80-D80&gt;0,0,$H80-D80)</f>
        <v>-641.2412352223629</v>
      </c>
      <c r="E114" s="173">
        <f aca="true" t="shared" si="60" ref="E114:G114">IF($H80-E80&gt;0,0,$H80-E80)</f>
        <v>-641.2412352223629</v>
      </c>
      <c r="F114" s="173">
        <f t="shared" si="60"/>
        <v>-123.20415353235677</v>
      </c>
      <c r="G114" s="173">
        <f t="shared" si="60"/>
        <v>-43.560170591507514</v>
      </c>
      <c r="H114" s="173">
        <f aca="true" t="shared" si="61" ref="H114">$H80-H80</f>
        <v>0</v>
      </c>
      <c r="I114" s="173">
        <f>IF($H80-I80&lt;0,0,$H80-I80)</f>
        <v>22.16947895419989</v>
      </c>
      <c r="J114" s="173">
        <f aca="true" t="shared" si="62" ref="J114:M114">IF($H80-J80&lt;0,0,$H80-J80)</f>
        <v>30.37270535879844</v>
      </c>
      <c r="K114" s="173">
        <f t="shared" si="62"/>
        <v>34.47431856109772</v>
      </c>
      <c r="L114" s="173">
        <f t="shared" si="62"/>
        <v>36.525125162247356</v>
      </c>
      <c r="M114" s="173">
        <f t="shared" si="62"/>
        <v>38.575931763396994</v>
      </c>
    </row>
    <row r="115" spans="2:13" ht="15">
      <c r="B115" s="701"/>
      <c r="C115" s="169">
        <v>0.02</v>
      </c>
      <c r="D115" s="173">
        <f>IF($I80-D80&gt;0,0,$I80-D80)</f>
        <v>-663.4107141765628</v>
      </c>
      <c r="E115" s="173">
        <f aca="true" t="shared" si="63" ref="E115:H115">IF($I80-E80&gt;0,0,$I80-E80)</f>
        <v>-663.4107141765628</v>
      </c>
      <c r="F115" s="173">
        <f t="shared" si="63"/>
        <v>-145.37363248655666</v>
      </c>
      <c r="G115" s="173">
        <f t="shared" si="63"/>
        <v>-65.7296495457074</v>
      </c>
      <c r="H115" s="173">
        <f t="shared" si="63"/>
        <v>-22.16947895419989</v>
      </c>
      <c r="I115" s="173">
        <f aca="true" t="shared" si="64" ref="I115">$I80-I80</f>
        <v>0</v>
      </c>
      <c r="J115" s="173">
        <f>IF($I80-J80&lt;0,0,$I80-J80)</f>
        <v>8.203226404598553</v>
      </c>
      <c r="K115" s="173">
        <f aca="true" t="shared" si="65" ref="K115:M115">IF($I80-K80&lt;0,0,$I80-K80)</f>
        <v>12.30483960689783</v>
      </c>
      <c r="L115" s="173">
        <f t="shared" si="65"/>
        <v>14.355646208047467</v>
      </c>
      <c r="M115" s="173">
        <f t="shared" si="65"/>
        <v>16.406452809197106</v>
      </c>
    </row>
    <row r="116" spans="2:13" ht="15">
      <c r="B116" s="701"/>
      <c r="C116" s="407">
        <v>0.0133</v>
      </c>
      <c r="D116" s="173">
        <f>IF($J80-D80&gt;0,0,$J80-D80)</f>
        <v>-671.6139405811613</v>
      </c>
      <c r="E116" s="173">
        <f aca="true" t="shared" si="66" ref="E116:I116">IF($J80-E80&gt;0,0,$J80-E80)</f>
        <v>-671.6139405811613</v>
      </c>
      <c r="F116" s="173">
        <f t="shared" si="66"/>
        <v>-153.5768588911552</v>
      </c>
      <c r="G116" s="173">
        <f t="shared" si="66"/>
        <v>-73.93287595030596</v>
      </c>
      <c r="H116" s="173">
        <f t="shared" si="66"/>
        <v>-30.37270535879844</v>
      </c>
      <c r="I116" s="173">
        <f t="shared" si="66"/>
        <v>-8.203226404598553</v>
      </c>
      <c r="J116" s="173">
        <f aca="true" t="shared" si="67" ref="J116">$J80-J80</f>
        <v>0</v>
      </c>
      <c r="K116" s="173">
        <f>IF($J80-K80&lt;0,0,$J80-K80)</f>
        <v>4.101613202299276</v>
      </c>
      <c r="L116" s="173">
        <f aca="true" t="shared" si="68" ref="L116:M116">IF($J80-L80&lt;0,0,$J80-L80)</f>
        <v>6.152419803448915</v>
      </c>
      <c r="M116" s="173">
        <f t="shared" si="68"/>
        <v>8.203226404598553</v>
      </c>
    </row>
    <row r="117" spans="2:13" ht="15">
      <c r="B117" s="701"/>
      <c r="C117" s="169">
        <v>0.01</v>
      </c>
      <c r="D117" s="173">
        <f>IF($K80-D80&gt;0,0,$K80-D80)</f>
        <v>-675.7155537834606</v>
      </c>
      <c r="E117" s="173">
        <f aca="true" t="shared" si="69" ref="E117:J117">IF($K80-E80&gt;0,0,$K80-E80)</f>
        <v>-675.7155537834606</v>
      </c>
      <c r="F117" s="173">
        <f t="shared" si="69"/>
        <v>-157.6784720934545</v>
      </c>
      <c r="G117" s="173">
        <f t="shared" si="69"/>
        <v>-78.03448915260523</v>
      </c>
      <c r="H117" s="173">
        <f t="shared" si="69"/>
        <v>-34.47431856109772</v>
      </c>
      <c r="I117" s="173">
        <f t="shared" si="69"/>
        <v>-12.30483960689783</v>
      </c>
      <c r="J117" s="173">
        <f t="shared" si="69"/>
        <v>-4.101613202299276</v>
      </c>
      <c r="K117" s="173">
        <f aca="true" t="shared" si="70" ref="K117">$K80-K80</f>
        <v>0</v>
      </c>
      <c r="L117" s="173">
        <f>IF($K80-L80&lt;0,0,$K80-L80)</f>
        <v>2.050806601149638</v>
      </c>
      <c r="M117" s="173">
        <f>IF($K80-M80&lt;0,0,$K80-M80)</f>
        <v>4.101613202299276</v>
      </c>
    </row>
    <row r="118" spans="2:13" ht="15">
      <c r="B118" s="701"/>
      <c r="C118" s="170">
        <v>0.005</v>
      </c>
      <c r="D118" s="173">
        <f>IF($L80-D80&gt;0,0,$L80-D80)</f>
        <v>-677.7663603846103</v>
      </c>
      <c r="E118" s="173">
        <f aca="true" t="shared" si="71" ref="E118:K118">IF($L80-E80&gt;0,0,$L80-E80)</f>
        <v>-677.7663603846103</v>
      </c>
      <c r="F118" s="173">
        <f t="shared" si="71"/>
        <v>-159.72927869460412</v>
      </c>
      <c r="G118" s="173">
        <f t="shared" si="71"/>
        <v>-80.08529575375488</v>
      </c>
      <c r="H118" s="173">
        <f t="shared" si="71"/>
        <v>-36.525125162247356</v>
      </c>
      <c r="I118" s="173">
        <f t="shared" si="71"/>
        <v>-14.355646208047467</v>
      </c>
      <c r="J118" s="173">
        <f t="shared" si="71"/>
        <v>-6.152419803448915</v>
      </c>
      <c r="K118" s="173">
        <f t="shared" si="71"/>
        <v>-2.050806601149638</v>
      </c>
      <c r="L118" s="173">
        <f aca="true" t="shared" si="72" ref="L118">$L80-L80</f>
        <v>0</v>
      </c>
      <c r="M118" s="173">
        <f>IF($L80-M80&lt;0,0,$L80-M80)</f>
        <v>2.050806601149638</v>
      </c>
    </row>
    <row r="119" spans="2:13" ht="15">
      <c r="B119" s="701"/>
      <c r="C119" s="170">
        <v>0.001</v>
      </c>
      <c r="D119" s="173">
        <f>IF($M80-D80&gt;0,0,$M80-D80)</f>
        <v>-679.8171669857599</v>
      </c>
      <c r="E119" s="173">
        <f aca="true" t="shared" si="73" ref="E119:L119">IF($M80-E80&gt;0,0,$M80-E80)</f>
        <v>-679.8171669857599</v>
      </c>
      <c r="F119" s="173">
        <f t="shared" si="73"/>
        <v>-161.78008529575376</v>
      </c>
      <c r="G119" s="173">
        <f t="shared" si="73"/>
        <v>-82.13610235490451</v>
      </c>
      <c r="H119" s="173">
        <f t="shared" si="73"/>
        <v>-38.575931763396994</v>
      </c>
      <c r="I119" s="173">
        <f t="shared" si="73"/>
        <v>-16.406452809197106</v>
      </c>
      <c r="J119" s="173">
        <f t="shared" si="73"/>
        <v>-8.203226404598553</v>
      </c>
      <c r="K119" s="173">
        <f t="shared" si="73"/>
        <v>-4.101613202299276</v>
      </c>
      <c r="L119" s="173">
        <f t="shared" si="73"/>
        <v>-2.050806601149638</v>
      </c>
      <c r="M119" s="173">
        <f aca="true" t="shared" si="74" ref="M119">$M80-M80</f>
        <v>0</v>
      </c>
    </row>
    <row r="121" spans="5:6" ht="15">
      <c r="E121" s="163" t="s">
        <v>262</v>
      </c>
      <c r="F121" s="163" t="s">
        <v>280</v>
      </c>
    </row>
    <row r="122" spans="1:13" ht="15">
      <c r="A122" s="711" t="s">
        <v>397</v>
      </c>
      <c r="B122" s="590"/>
      <c r="C122" s="590"/>
      <c r="D122" s="169">
        <v>1</v>
      </c>
      <c r="E122" s="169">
        <v>0.5</v>
      </c>
      <c r="F122" s="169">
        <v>0.2</v>
      </c>
      <c r="G122" s="169">
        <v>0.1</v>
      </c>
      <c r="H122" s="169">
        <v>0.04</v>
      </c>
      <c r="I122" s="169">
        <v>0.02</v>
      </c>
      <c r="J122" s="407">
        <v>0.0133</v>
      </c>
      <c r="K122" s="169">
        <v>0.01</v>
      </c>
      <c r="L122" s="170">
        <v>0.005</v>
      </c>
      <c r="M122" s="170">
        <v>0.001</v>
      </c>
    </row>
    <row r="123" spans="3:13" ht="15">
      <c r="C123" s="169">
        <v>1</v>
      </c>
      <c r="D123" s="173">
        <f>D84*D5+D18*D97+D110*D31</f>
        <v>0</v>
      </c>
      <c r="E123" s="173">
        <f aca="true" t="shared" si="75" ref="E123:M123">E84*E5+E18*E97+E110*E31</f>
        <v>0</v>
      </c>
      <c r="F123" s="173">
        <f t="shared" si="75"/>
        <v>0</v>
      </c>
      <c r="G123" s="173">
        <f t="shared" si="75"/>
        <v>0</v>
      </c>
      <c r="H123" s="173">
        <f t="shared" si="75"/>
        <v>0</v>
      </c>
      <c r="I123" s="173">
        <f t="shared" si="75"/>
        <v>0</v>
      </c>
      <c r="J123" s="173">
        <f t="shared" si="75"/>
        <v>0</v>
      </c>
      <c r="K123" s="173">
        <f t="shared" si="75"/>
        <v>0</v>
      </c>
      <c r="L123" s="173">
        <f t="shared" si="75"/>
        <v>0</v>
      </c>
      <c r="M123" s="173">
        <f t="shared" si="75"/>
        <v>0</v>
      </c>
    </row>
    <row r="124" spans="2:13" ht="15">
      <c r="B124" s="163" t="s">
        <v>261</v>
      </c>
      <c r="C124" s="169">
        <v>0.5</v>
      </c>
      <c r="D124" s="173">
        <f aca="true" t="shared" si="76" ref="D124:M132">D85*D6+D19*D98+D111*D32</f>
        <v>0</v>
      </c>
      <c r="E124" s="173">
        <f t="shared" si="76"/>
        <v>0</v>
      </c>
      <c r="F124" s="173">
        <f t="shared" si="76"/>
        <v>0</v>
      </c>
      <c r="G124" s="173">
        <f t="shared" si="76"/>
        <v>0</v>
      </c>
      <c r="H124" s="173">
        <f t="shared" si="76"/>
        <v>0</v>
      </c>
      <c r="I124" s="173">
        <f t="shared" si="76"/>
        <v>0</v>
      </c>
      <c r="J124" s="173">
        <f t="shared" si="76"/>
        <v>0</v>
      </c>
      <c r="K124" s="173">
        <f t="shared" si="76"/>
        <v>0</v>
      </c>
      <c r="L124" s="173">
        <f t="shared" si="76"/>
        <v>0</v>
      </c>
      <c r="M124" s="173">
        <f t="shared" si="76"/>
        <v>0</v>
      </c>
    </row>
    <row r="125" spans="2:13" ht="15">
      <c r="B125" s="700" t="s">
        <v>281</v>
      </c>
      <c r="C125" s="169">
        <v>0.2</v>
      </c>
      <c r="D125" s="173">
        <f t="shared" si="76"/>
        <v>0</v>
      </c>
      <c r="E125" s="173">
        <f t="shared" si="76"/>
        <v>0</v>
      </c>
      <c r="F125" s="173">
        <f t="shared" si="76"/>
        <v>0</v>
      </c>
      <c r="G125" s="173">
        <f t="shared" si="76"/>
        <v>0</v>
      </c>
      <c r="H125" s="173">
        <f t="shared" si="76"/>
        <v>0</v>
      </c>
      <c r="I125" s="173">
        <f t="shared" si="76"/>
        <v>0</v>
      </c>
      <c r="J125" s="173">
        <f t="shared" si="76"/>
        <v>0</v>
      </c>
      <c r="K125" s="173">
        <f t="shared" si="76"/>
        <v>0</v>
      </c>
      <c r="L125" s="173">
        <f t="shared" si="76"/>
        <v>0</v>
      </c>
      <c r="M125" s="173">
        <f t="shared" si="76"/>
        <v>0</v>
      </c>
    </row>
    <row r="126" spans="2:13" ht="15">
      <c r="B126" s="701"/>
      <c r="C126" s="169">
        <v>0.1</v>
      </c>
      <c r="D126" s="173">
        <f t="shared" si="76"/>
        <v>0</v>
      </c>
      <c r="E126" s="173">
        <f t="shared" si="76"/>
        <v>0</v>
      </c>
      <c r="F126" s="173">
        <f t="shared" si="76"/>
        <v>0</v>
      </c>
      <c r="G126" s="173">
        <f t="shared" si="76"/>
        <v>0</v>
      </c>
      <c r="H126" s="173">
        <f t="shared" si="76"/>
        <v>0</v>
      </c>
      <c r="I126" s="173">
        <f t="shared" si="76"/>
        <v>0</v>
      </c>
      <c r="J126" s="173">
        <f t="shared" si="76"/>
        <v>0</v>
      </c>
      <c r="K126" s="173">
        <f t="shared" si="76"/>
        <v>0</v>
      </c>
      <c r="L126" s="173">
        <f t="shared" si="76"/>
        <v>0</v>
      </c>
      <c r="M126" s="173">
        <f t="shared" si="76"/>
        <v>0</v>
      </c>
    </row>
    <row r="127" spans="2:13" ht="15">
      <c r="B127" s="701"/>
      <c r="C127" s="169">
        <v>0.04</v>
      </c>
      <c r="D127" s="173">
        <f t="shared" si="76"/>
        <v>0</v>
      </c>
      <c r="E127" s="173">
        <f t="shared" si="76"/>
        <v>0</v>
      </c>
      <c r="F127" s="173">
        <f t="shared" si="76"/>
        <v>0</v>
      </c>
      <c r="G127" s="173">
        <f t="shared" si="76"/>
        <v>0</v>
      </c>
      <c r="H127" s="173">
        <f t="shared" si="76"/>
        <v>0</v>
      </c>
      <c r="I127" s="173">
        <f t="shared" si="76"/>
        <v>0</v>
      </c>
      <c r="J127" s="173">
        <f t="shared" si="76"/>
        <v>0</v>
      </c>
      <c r="K127" s="173">
        <f t="shared" si="76"/>
        <v>0</v>
      </c>
      <c r="L127" s="173">
        <f t="shared" si="76"/>
        <v>0</v>
      </c>
      <c r="M127" s="173">
        <f t="shared" si="76"/>
        <v>0</v>
      </c>
    </row>
    <row r="128" spans="2:13" ht="15">
      <c r="B128" s="701"/>
      <c r="C128" s="169">
        <v>0.02</v>
      </c>
      <c r="D128" s="173">
        <f t="shared" si="76"/>
        <v>0</v>
      </c>
      <c r="E128" s="173">
        <f t="shared" si="76"/>
        <v>0</v>
      </c>
      <c r="F128" s="173">
        <f t="shared" si="76"/>
        <v>0</v>
      </c>
      <c r="G128" s="173">
        <f t="shared" si="76"/>
        <v>0</v>
      </c>
      <c r="H128" s="173">
        <f t="shared" si="76"/>
        <v>0</v>
      </c>
      <c r="I128" s="173">
        <f t="shared" si="76"/>
        <v>0</v>
      </c>
      <c r="J128" s="173">
        <f t="shared" si="76"/>
        <v>0</v>
      </c>
      <c r="K128" s="173">
        <f t="shared" si="76"/>
        <v>0</v>
      </c>
      <c r="L128" s="173">
        <f t="shared" si="76"/>
        <v>0</v>
      </c>
      <c r="M128" s="173">
        <f t="shared" si="76"/>
        <v>0</v>
      </c>
    </row>
    <row r="129" spans="2:13" ht="15">
      <c r="B129" s="701"/>
      <c r="C129" s="407">
        <v>0.0133</v>
      </c>
      <c r="D129" s="173">
        <f t="shared" si="76"/>
        <v>0</v>
      </c>
      <c r="E129" s="173">
        <f t="shared" si="76"/>
        <v>0</v>
      </c>
      <c r="F129" s="173">
        <f t="shared" si="76"/>
        <v>0</v>
      </c>
      <c r="G129" s="173">
        <f t="shared" si="76"/>
        <v>0</v>
      </c>
      <c r="H129" s="173">
        <f t="shared" si="76"/>
        <v>0</v>
      </c>
      <c r="I129" s="173">
        <f t="shared" si="76"/>
        <v>0</v>
      </c>
      <c r="J129" s="173">
        <f t="shared" si="76"/>
        <v>0</v>
      </c>
      <c r="K129" s="173">
        <f t="shared" si="76"/>
        <v>0</v>
      </c>
      <c r="L129" s="173">
        <f t="shared" si="76"/>
        <v>0</v>
      </c>
      <c r="M129" s="173">
        <f t="shared" si="76"/>
        <v>0</v>
      </c>
    </row>
    <row r="130" spans="2:13" ht="15">
      <c r="B130" s="701"/>
      <c r="C130" s="169">
        <v>0.01</v>
      </c>
      <c r="D130" s="173">
        <f t="shared" si="76"/>
        <v>0</v>
      </c>
      <c r="E130" s="173">
        <f t="shared" si="76"/>
        <v>0</v>
      </c>
      <c r="F130" s="173">
        <f t="shared" si="76"/>
        <v>0</v>
      </c>
      <c r="G130" s="173">
        <f t="shared" si="76"/>
        <v>0</v>
      </c>
      <c r="H130" s="173">
        <f t="shared" si="76"/>
        <v>0</v>
      </c>
      <c r="I130" s="173">
        <f t="shared" si="76"/>
        <v>0</v>
      </c>
      <c r="J130" s="173">
        <f t="shared" si="76"/>
        <v>0</v>
      </c>
      <c r="K130" s="173">
        <f t="shared" si="76"/>
        <v>0</v>
      </c>
      <c r="L130" s="173">
        <f t="shared" si="76"/>
        <v>0</v>
      </c>
      <c r="M130" s="173">
        <f t="shared" si="76"/>
        <v>0</v>
      </c>
    </row>
    <row r="131" spans="2:13" ht="15">
      <c r="B131" s="701"/>
      <c r="C131" s="170">
        <v>0.005</v>
      </c>
      <c r="D131" s="173">
        <f t="shared" si="76"/>
        <v>0</v>
      </c>
      <c r="E131" s="173">
        <f t="shared" si="76"/>
        <v>0</v>
      </c>
      <c r="F131" s="173">
        <f t="shared" si="76"/>
        <v>0</v>
      </c>
      <c r="G131" s="173">
        <f t="shared" si="76"/>
        <v>0</v>
      </c>
      <c r="H131" s="173">
        <f t="shared" si="76"/>
        <v>0</v>
      </c>
      <c r="I131" s="173">
        <f t="shared" si="76"/>
        <v>0</v>
      </c>
      <c r="J131" s="173">
        <f t="shared" si="76"/>
        <v>0</v>
      </c>
      <c r="K131" s="173">
        <f t="shared" si="76"/>
        <v>0</v>
      </c>
      <c r="L131" s="173">
        <f t="shared" si="76"/>
        <v>0</v>
      </c>
      <c r="M131" s="173">
        <f t="shared" si="76"/>
        <v>0</v>
      </c>
    </row>
    <row r="132" spans="2:13" ht="15">
      <c r="B132" s="701"/>
      <c r="C132" s="170">
        <v>0.001</v>
      </c>
      <c r="D132" s="173">
        <f t="shared" si="76"/>
        <v>0</v>
      </c>
      <c r="E132" s="173">
        <f t="shared" si="76"/>
        <v>0</v>
      </c>
      <c r="F132" s="173">
        <f t="shared" si="76"/>
        <v>0</v>
      </c>
      <c r="G132" s="173">
        <f t="shared" si="76"/>
        <v>0</v>
      </c>
      <c r="H132" s="173">
        <f t="shared" si="76"/>
        <v>0</v>
      </c>
      <c r="I132" s="173">
        <f t="shared" si="76"/>
        <v>0</v>
      </c>
      <c r="J132" s="173">
        <f t="shared" si="76"/>
        <v>0</v>
      </c>
      <c r="K132" s="173">
        <f t="shared" si="76"/>
        <v>0</v>
      </c>
      <c r="L132" s="173">
        <f t="shared" si="76"/>
        <v>0</v>
      </c>
      <c r="M132" s="173">
        <f t="shared" si="76"/>
        <v>0</v>
      </c>
    </row>
    <row r="133" ht="15.75" thickBot="1"/>
    <row r="134" spans="4:15" ht="16.5" thickBot="1" thickTop="1">
      <c r="D134" s="195" t="str">
        <f>IF(SUM(D123:M132)=0,"Enter number of hectares","Total annual impacts")</f>
        <v>Enter number of hectares</v>
      </c>
      <c r="E134" s="201"/>
      <c r="F134" s="196"/>
      <c r="G134" s="196"/>
      <c r="H134" s="186">
        <f>SUM(D123:M132)</f>
        <v>0</v>
      </c>
      <c r="I134" s="366" t="s">
        <v>804</v>
      </c>
      <c r="J134" s="406"/>
      <c r="K134" s="593" t="s">
        <v>811</v>
      </c>
      <c r="L134" s="593"/>
      <c r="M134" s="594"/>
      <c r="N134" s="594"/>
      <c r="O134" s="595"/>
    </row>
    <row r="135" ht="15.75" thickTop="1"/>
  </sheetData>
  <sheetProtection sheet="1" objects="1" scenarios="1"/>
  <mergeCells count="23">
    <mergeCell ref="P1:T1"/>
    <mergeCell ref="A83:C83"/>
    <mergeCell ref="B86:B93"/>
    <mergeCell ref="A96:C96"/>
    <mergeCell ref="B99:B106"/>
    <mergeCell ref="E69:F69"/>
    <mergeCell ref="A64:C64"/>
    <mergeCell ref="A72:C72"/>
    <mergeCell ref="I1:K1"/>
    <mergeCell ref="A4:C4"/>
    <mergeCell ref="A17:C17"/>
    <mergeCell ref="A30:C30"/>
    <mergeCell ref="E53:F53"/>
    <mergeCell ref="O44:Y44"/>
    <mergeCell ref="O47:Y47"/>
    <mergeCell ref="O50:Y50"/>
    <mergeCell ref="A56:C56"/>
    <mergeCell ref="E61:F61"/>
    <mergeCell ref="K134:O134"/>
    <mergeCell ref="A122:C122"/>
    <mergeCell ref="B125:B132"/>
    <mergeCell ref="A109:C109"/>
    <mergeCell ref="B112:B119"/>
  </mergeCells>
  <dataValidations count="2">
    <dataValidation type="list" allowBlank="1" showInputMessage="1" showErrorMessage="1" sqref="D44:M44 D47:M47 D50:M50">
      <formula1>"Permanent loss, One-off loss"</formula1>
    </dataValidation>
    <dataValidation type="list" allowBlank="1" showInputMessage="1" showErrorMessage="1" sqref="K134:O134">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8" scale="75"/>
  <headerFooter>
    <oddHeader>&amp;C&amp;A</oddHead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X79"/>
  <sheetViews>
    <sheetView zoomScale="85" zoomScaleNormal="85" workbookViewId="0" topLeftCell="A1"/>
  </sheetViews>
  <sheetFormatPr defaultColWidth="9.140625" defaultRowHeight="15"/>
  <cols>
    <col min="1" max="2" width="9.140625" style="166" customWidth="1"/>
    <col min="3" max="3" width="24.140625" style="166" customWidth="1"/>
    <col min="4" max="4" width="13.8515625" style="166" customWidth="1"/>
    <col min="5" max="5" width="16.7109375" style="166" customWidth="1"/>
    <col min="6" max="6" width="10.8515625" style="166" customWidth="1"/>
    <col min="7" max="7" width="15.57421875" style="166" customWidth="1"/>
    <col min="8" max="8" width="13.8515625" style="166" customWidth="1"/>
    <col min="9" max="9" width="16.421875" style="166" customWidth="1"/>
    <col min="10" max="10" width="10.8515625" style="166" customWidth="1"/>
    <col min="11" max="11" width="15.57421875" style="166" customWidth="1"/>
    <col min="12" max="12" width="12.00390625" style="166" customWidth="1"/>
    <col min="13" max="14" width="11.8515625" style="166" customWidth="1"/>
    <col min="15" max="15" width="12.7109375" style="166" customWidth="1"/>
    <col min="16" max="16" width="12.57421875" style="166" customWidth="1"/>
    <col min="17" max="17" width="10.8515625" style="166" customWidth="1"/>
    <col min="18" max="18" width="21.8515625" style="166" customWidth="1"/>
    <col min="19" max="19" width="16.7109375" style="166" customWidth="1"/>
    <col min="20" max="20" width="14.421875" style="166" customWidth="1"/>
    <col min="21" max="16384" width="9.140625" style="166" customWidth="1"/>
  </cols>
  <sheetData>
    <row r="1" spans="1:20" ht="15">
      <c r="A1" s="164" t="s">
        <v>2</v>
      </c>
      <c r="B1" s="165"/>
      <c r="C1" s="165"/>
      <c r="D1" s="166" t="s">
        <v>260</v>
      </c>
      <c r="H1" s="704" t="s">
        <v>890</v>
      </c>
      <c r="I1" s="704"/>
      <c r="J1" s="704"/>
      <c r="M1" s="176" t="s">
        <v>992</v>
      </c>
      <c r="N1" s="176">
        <v>12</v>
      </c>
      <c r="O1" s="176" t="s">
        <v>991</v>
      </c>
      <c r="P1" s="707"/>
      <c r="Q1" s="590"/>
      <c r="R1" s="590"/>
      <c r="S1" s="590"/>
      <c r="T1" s="590"/>
    </row>
    <row r="2" spans="1:10" ht="15">
      <c r="A2" s="441"/>
      <c r="H2" s="472"/>
      <c r="I2" s="472"/>
      <c r="J2" s="472"/>
    </row>
    <row r="3" spans="4:16" ht="15">
      <c r="D3" s="166" t="s">
        <v>262</v>
      </c>
      <c r="G3" s="166" t="s">
        <v>272</v>
      </c>
      <c r="P3" s="166" t="s">
        <v>852</v>
      </c>
    </row>
    <row r="4" spans="3:24" ht="75">
      <c r="C4" s="162"/>
      <c r="D4" s="420" t="s">
        <v>853</v>
      </c>
      <c r="E4" s="420" t="s">
        <v>854</v>
      </c>
      <c r="F4" s="420" t="s">
        <v>855</v>
      </c>
      <c r="G4" s="420" t="s">
        <v>856</v>
      </c>
      <c r="H4" s="420" t="s">
        <v>857</v>
      </c>
      <c r="I4" s="420" t="s">
        <v>858</v>
      </c>
      <c r="J4" s="420" t="s">
        <v>859</v>
      </c>
      <c r="K4" s="420" t="s">
        <v>860</v>
      </c>
      <c r="L4" s="162" t="s">
        <v>212</v>
      </c>
      <c r="M4" s="162" t="s">
        <v>213</v>
      </c>
      <c r="N4" s="162" t="s">
        <v>861</v>
      </c>
      <c r="O4" s="420" t="s">
        <v>862</v>
      </c>
      <c r="P4" s="420" t="s">
        <v>863</v>
      </c>
      <c r="Q4" s="420" t="s">
        <v>864</v>
      </c>
      <c r="R4" s="420" t="s">
        <v>865</v>
      </c>
      <c r="S4" s="420" t="s">
        <v>866</v>
      </c>
      <c r="T4" s="420" t="s">
        <v>867</v>
      </c>
      <c r="V4" s="414"/>
      <c r="W4" s="414"/>
      <c r="X4" s="414"/>
    </row>
    <row r="5" spans="3:22" ht="15">
      <c r="C5" s="420" t="s">
        <v>853</v>
      </c>
      <c r="D5" s="577"/>
      <c r="E5" s="577"/>
      <c r="F5" s="577"/>
      <c r="G5" s="564"/>
      <c r="H5" s="577"/>
      <c r="I5" s="577"/>
      <c r="J5" s="577"/>
      <c r="K5" s="577"/>
      <c r="L5" s="577"/>
      <c r="M5" s="577"/>
      <c r="N5" s="577"/>
      <c r="O5" s="577"/>
      <c r="P5" s="577"/>
      <c r="Q5" s="577"/>
      <c r="R5" s="421"/>
      <c r="S5" s="421"/>
      <c r="T5" s="421"/>
      <c r="V5" s="166" t="s">
        <v>868</v>
      </c>
    </row>
    <row r="6" spans="3:22" ht="45">
      <c r="C6" s="420" t="s">
        <v>854</v>
      </c>
      <c r="D6" s="577"/>
      <c r="E6" s="577"/>
      <c r="F6" s="577"/>
      <c r="G6" s="577"/>
      <c r="H6" s="577"/>
      <c r="I6" s="577"/>
      <c r="J6" s="577"/>
      <c r="K6" s="577"/>
      <c r="L6" s="577"/>
      <c r="M6" s="577"/>
      <c r="N6" s="577"/>
      <c r="O6" s="577"/>
      <c r="P6" s="577"/>
      <c r="Q6" s="577"/>
      <c r="R6" s="421"/>
      <c r="S6" s="421"/>
      <c r="T6" s="421"/>
      <c r="V6" s="166" t="s">
        <v>869</v>
      </c>
    </row>
    <row r="7" spans="3:20" ht="15">
      <c r="C7" s="420" t="s">
        <v>855</v>
      </c>
      <c r="D7" s="577"/>
      <c r="E7" s="577"/>
      <c r="F7" s="577"/>
      <c r="G7" s="577"/>
      <c r="H7" s="577"/>
      <c r="I7" s="577"/>
      <c r="J7" s="577"/>
      <c r="K7" s="577"/>
      <c r="L7" s="577"/>
      <c r="M7" s="577"/>
      <c r="N7" s="577"/>
      <c r="O7" s="577"/>
      <c r="P7" s="577"/>
      <c r="Q7" s="577"/>
      <c r="R7" s="421"/>
      <c r="S7" s="421"/>
      <c r="T7" s="421"/>
    </row>
    <row r="8" spans="2:22" ht="45">
      <c r="B8" s="166" t="s">
        <v>261</v>
      </c>
      <c r="C8" s="420" t="s">
        <v>856</v>
      </c>
      <c r="D8" s="577"/>
      <c r="E8" s="577"/>
      <c r="F8" s="577"/>
      <c r="G8" s="577"/>
      <c r="H8" s="577"/>
      <c r="I8" s="577"/>
      <c r="J8" s="577"/>
      <c r="K8" s="577"/>
      <c r="L8" s="577"/>
      <c r="M8" s="577"/>
      <c r="N8" s="577"/>
      <c r="O8" s="577"/>
      <c r="P8" s="577"/>
      <c r="Q8" s="577"/>
      <c r="R8" s="421"/>
      <c r="S8" s="421"/>
      <c r="T8" s="421"/>
      <c r="V8" s="166" t="s">
        <v>870</v>
      </c>
    </row>
    <row r="9" spans="3:22" ht="15">
      <c r="C9" s="420" t="s">
        <v>857</v>
      </c>
      <c r="D9" s="577"/>
      <c r="E9" s="577"/>
      <c r="F9" s="577"/>
      <c r="G9" s="577"/>
      <c r="H9" s="577"/>
      <c r="I9" s="577"/>
      <c r="J9" s="577"/>
      <c r="K9" s="577"/>
      <c r="L9" s="577"/>
      <c r="M9" s="577"/>
      <c r="N9" s="577"/>
      <c r="O9" s="577"/>
      <c r="P9" s="577"/>
      <c r="Q9" s="577"/>
      <c r="R9" s="421"/>
      <c r="S9" s="421"/>
      <c r="T9" s="421"/>
      <c r="V9" s="422" t="s">
        <v>871</v>
      </c>
    </row>
    <row r="10" spans="3:20" ht="45">
      <c r="C10" s="420" t="s">
        <v>858</v>
      </c>
      <c r="D10" s="577"/>
      <c r="E10" s="577"/>
      <c r="F10" s="577"/>
      <c r="G10" s="577"/>
      <c r="H10" s="577"/>
      <c r="I10" s="577"/>
      <c r="J10" s="577"/>
      <c r="K10" s="577"/>
      <c r="L10" s="577"/>
      <c r="M10" s="577"/>
      <c r="N10" s="577"/>
      <c r="O10" s="577"/>
      <c r="P10" s="577"/>
      <c r="Q10" s="577"/>
      <c r="R10" s="421"/>
      <c r="S10" s="421"/>
      <c r="T10" s="421"/>
    </row>
    <row r="11" spans="3:20" ht="15">
      <c r="C11" s="420" t="s">
        <v>859</v>
      </c>
      <c r="D11" s="577"/>
      <c r="E11" s="577"/>
      <c r="F11" s="577"/>
      <c r="G11" s="577"/>
      <c r="H11" s="577"/>
      <c r="I11" s="577"/>
      <c r="J11" s="577"/>
      <c r="K11" s="577"/>
      <c r="L11" s="577"/>
      <c r="M11" s="577"/>
      <c r="N11" s="577"/>
      <c r="O11" s="577"/>
      <c r="P11" s="577"/>
      <c r="Q11" s="577"/>
      <c r="R11" s="421"/>
      <c r="S11" s="421"/>
      <c r="T11" s="421"/>
    </row>
    <row r="12" spans="3:20" ht="45">
      <c r="C12" s="420" t="s">
        <v>860</v>
      </c>
      <c r="D12" s="577"/>
      <c r="E12" s="577"/>
      <c r="F12" s="577"/>
      <c r="G12" s="577"/>
      <c r="H12" s="577"/>
      <c r="I12" s="577"/>
      <c r="J12" s="577"/>
      <c r="K12" s="577"/>
      <c r="L12" s="577"/>
      <c r="M12" s="577"/>
      <c r="N12" s="577"/>
      <c r="O12" s="577"/>
      <c r="P12" s="577"/>
      <c r="Q12" s="577"/>
      <c r="R12" s="421"/>
      <c r="S12" s="421"/>
      <c r="T12" s="421"/>
    </row>
    <row r="13" spans="3:20" ht="15">
      <c r="C13" s="162" t="s">
        <v>212</v>
      </c>
      <c r="D13" s="577"/>
      <c r="E13" s="577"/>
      <c r="F13" s="577"/>
      <c r="G13" s="577"/>
      <c r="H13" s="577"/>
      <c r="I13" s="577"/>
      <c r="J13" s="577"/>
      <c r="K13" s="577"/>
      <c r="L13" s="577"/>
      <c r="M13" s="577"/>
      <c r="N13" s="577"/>
      <c r="O13" s="577"/>
      <c r="P13" s="577"/>
      <c r="Q13" s="577"/>
      <c r="R13" s="421"/>
      <c r="S13" s="421"/>
      <c r="T13" s="421"/>
    </row>
    <row r="14" spans="3:20" ht="15">
      <c r="C14" s="162" t="s">
        <v>213</v>
      </c>
      <c r="D14" s="577"/>
      <c r="E14" s="577"/>
      <c r="F14" s="577"/>
      <c r="G14" s="577"/>
      <c r="H14" s="577"/>
      <c r="I14" s="577"/>
      <c r="J14" s="577"/>
      <c r="K14" s="577"/>
      <c r="L14" s="577"/>
      <c r="M14" s="577"/>
      <c r="N14" s="577"/>
      <c r="O14" s="577"/>
      <c r="P14" s="577"/>
      <c r="Q14" s="577"/>
      <c r="R14" s="421"/>
      <c r="S14" s="421"/>
      <c r="T14" s="421"/>
    </row>
    <row r="15" spans="3:20" ht="15">
      <c r="C15" s="162" t="s">
        <v>861</v>
      </c>
      <c r="D15" s="577"/>
      <c r="E15" s="577"/>
      <c r="F15" s="577"/>
      <c r="G15" s="577"/>
      <c r="H15" s="577"/>
      <c r="I15" s="577"/>
      <c r="J15" s="577"/>
      <c r="K15" s="577"/>
      <c r="L15" s="577"/>
      <c r="M15" s="577"/>
      <c r="N15" s="577"/>
      <c r="O15" s="577"/>
      <c r="P15" s="577"/>
      <c r="Q15" s="577"/>
      <c r="R15" s="421"/>
      <c r="S15" s="421"/>
      <c r="T15" s="421"/>
    </row>
    <row r="16" spans="3:20" ht="15">
      <c r="C16" s="162" t="s">
        <v>862</v>
      </c>
      <c r="D16" s="577"/>
      <c r="E16" s="577"/>
      <c r="F16" s="577"/>
      <c r="G16" s="577"/>
      <c r="H16" s="577"/>
      <c r="I16" s="577"/>
      <c r="J16" s="577"/>
      <c r="K16" s="577"/>
      <c r="L16" s="577"/>
      <c r="M16" s="577"/>
      <c r="N16" s="577"/>
      <c r="O16" s="577"/>
      <c r="P16" s="577"/>
      <c r="Q16" s="577"/>
      <c r="R16" s="421"/>
      <c r="S16" s="421"/>
      <c r="T16" s="421"/>
    </row>
    <row r="17" spans="2:20" ht="30">
      <c r="B17" s="166" t="s">
        <v>296</v>
      </c>
      <c r="C17" s="420" t="s">
        <v>863</v>
      </c>
      <c r="D17" s="577"/>
      <c r="E17" s="577"/>
      <c r="F17" s="577"/>
      <c r="G17" s="577"/>
      <c r="H17" s="577"/>
      <c r="I17" s="577"/>
      <c r="J17" s="577"/>
      <c r="K17" s="577"/>
      <c r="L17" s="577"/>
      <c r="M17" s="577"/>
      <c r="N17" s="577"/>
      <c r="O17" s="577"/>
      <c r="P17" s="577"/>
      <c r="Q17" s="577"/>
      <c r="R17" s="421"/>
      <c r="S17" s="421"/>
      <c r="T17" s="421"/>
    </row>
    <row r="18" spans="3:20" ht="15">
      <c r="C18" s="420" t="s">
        <v>864</v>
      </c>
      <c r="D18" s="577"/>
      <c r="E18" s="577"/>
      <c r="F18" s="577"/>
      <c r="G18" s="577"/>
      <c r="H18" s="577"/>
      <c r="I18" s="577"/>
      <c r="J18" s="577"/>
      <c r="K18" s="577"/>
      <c r="L18" s="577"/>
      <c r="M18" s="577"/>
      <c r="N18" s="577"/>
      <c r="O18" s="577"/>
      <c r="P18" s="577"/>
      <c r="Q18" s="577"/>
      <c r="R18" s="421"/>
      <c r="S18" s="421"/>
      <c r="T18" s="421"/>
    </row>
    <row r="19" spans="3:20" ht="45">
      <c r="C19" s="420" t="s">
        <v>865</v>
      </c>
      <c r="D19" s="421"/>
      <c r="E19" s="421"/>
      <c r="F19" s="421"/>
      <c r="G19" s="421"/>
      <c r="H19" s="421"/>
      <c r="I19" s="421"/>
      <c r="J19" s="421"/>
      <c r="K19" s="421"/>
      <c r="L19" s="421"/>
      <c r="M19" s="421"/>
      <c r="N19" s="421"/>
      <c r="O19" s="421"/>
      <c r="P19" s="421"/>
      <c r="Q19" s="421"/>
      <c r="R19" s="577"/>
      <c r="S19" s="577"/>
      <c r="T19" s="577"/>
    </row>
    <row r="20" spans="3:20" ht="45">
      <c r="C20" s="420" t="s">
        <v>866</v>
      </c>
      <c r="D20" s="421"/>
      <c r="E20" s="421"/>
      <c r="F20" s="421"/>
      <c r="G20" s="421"/>
      <c r="H20" s="421"/>
      <c r="I20" s="421"/>
      <c r="J20" s="421"/>
      <c r="K20" s="421"/>
      <c r="L20" s="421"/>
      <c r="M20" s="421"/>
      <c r="N20" s="421"/>
      <c r="O20" s="421"/>
      <c r="P20" s="421"/>
      <c r="Q20" s="421"/>
      <c r="R20" s="577"/>
      <c r="S20" s="577"/>
      <c r="T20" s="577"/>
    </row>
    <row r="21" spans="3:20" ht="15">
      <c r="C21" s="420" t="s">
        <v>867</v>
      </c>
      <c r="D21" s="421"/>
      <c r="E21" s="421"/>
      <c r="F21" s="421"/>
      <c r="G21" s="421"/>
      <c r="H21" s="421"/>
      <c r="I21" s="421"/>
      <c r="J21" s="421"/>
      <c r="K21" s="421"/>
      <c r="L21" s="421"/>
      <c r="M21" s="421"/>
      <c r="N21" s="421"/>
      <c r="O21" s="421"/>
      <c r="P21" s="421"/>
      <c r="Q21" s="421"/>
      <c r="R21" s="577"/>
      <c r="S21" s="577"/>
      <c r="T21" s="577"/>
    </row>
    <row r="22" spans="3:20" ht="15">
      <c r="C22" s="414"/>
      <c r="D22" s="421"/>
      <c r="E22" s="421"/>
      <c r="F22" s="421"/>
      <c r="G22" s="421"/>
      <c r="H22" s="421"/>
      <c r="I22" s="421"/>
      <c r="J22" s="421"/>
      <c r="K22" s="421"/>
      <c r="L22" s="421"/>
      <c r="M22" s="421"/>
      <c r="N22" s="421"/>
      <c r="O22" s="421"/>
      <c r="P22" s="421"/>
      <c r="Q22" s="421"/>
      <c r="R22" s="421"/>
      <c r="S22" s="421"/>
      <c r="T22" s="421"/>
    </row>
    <row r="23" spans="3:20" ht="15">
      <c r="C23" s="414"/>
      <c r="D23" s="421" t="s">
        <v>872</v>
      </c>
      <c r="E23" s="421"/>
      <c r="F23" s="421"/>
      <c r="G23" s="421"/>
      <c r="H23" s="421"/>
      <c r="I23" s="421"/>
      <c r="J23" s="421"/>
      <c r="K23" s="421"/>
      <c r="L23" s="421"/>
      <c r="M23" s="421"/>
      <c r="N23" s="421"/>
      <c r="O23" s="421"/>
      <c r="P23" s="421"/>
      <c r="Q23" s="421"/>
      <c r="R23" s="421"/>
      <c r="S23" s="421"/>
      <c r="T23" s="421"/>
    </row>
    <row r="24" spans="4:5" ht="15">
      <c r="D24" s="423" t="s">
        <v>873</v>
      </c>
      <c r="E24" s="166" t="s">
        <v>874</v>
      </c>
    </row>
    <row r="25" spans="4:5" ht="15">
      <c r="D25" s="423" t="s">
        <v>875</v>
      </c>
      <c r="E25" s="166" t="s">
        <v>876</v>
      </c>
    </row>
    <row r="26" spans="4:5" ht="15">
      <c r="D26" s="424">
        <v>0</v>
      </c>
      <c r="E26" s="166" t="s">
        <v>877</v>
      </c>
    </row>
    <row r="27" spans="4:5" ht="15">
      <c r="D27" s="424">
        <v>-1</v>
      </c>
      <c r="E27" s="166" t="s">
        <v>878</v>
      </c>
    </row>
    <row r="28" spans="4:5" ht="15">
      <c r="D28" s="424">
        <v>-2</v>
      </c>
      <c r="E28" s="166" t="s">
        <v>879</v>
      </c>
    </row>
    <row r="30" ht="15">
      <c r="D30" s="166" t="s">
        <v>262</v>
      </c>
    </row>
    <row r="31" spans="3:20" ht="75">
      <c r="C31" s="425"/>
      <c r="D31" s="420" t="s">
        <v>853</v>
      </c>
      <c r="E31" s="420" t="s">
        <v>854</v>
      </c>
      <c r="F31" s="420" t="s">
        <v>855</v>
      </c>
      <c r="G31" s="420" t="s">
        <v>856</v>
      </c>
      <c r="H31" s="420" t="s">
        <v>857</v>
      </c>
      <c r="I31" s="420" t="s">
        <v>858</v>
      </c>
      <c r="J31" s="420" t="s">
        <v>859</v>
      </c>
      <c r="K31" s="420" t="s">
        <v>860</v>
      </c>
      <c r="L31" s="162" t="s">
        <v>212</v>
      </c>
      <c r="M31" s="162" t="s">
        <v>213</v>
      </c>
      <c r="N31" s="162" t="s">
        <v>861</v>
      </c>
      <c r="O31" s="420" t="s">
        <v>862</v>
      </c>
      <c r="P31" s="420" t="s">
        <v>863</v>
      </c>
      <c r="Q31" s="420" t="s">
        <v>864</v>
      </c>
      <c r="R31" s="420" t="s">
        <v>865</v>
      </c>
      <c r="S31" s="426" t="s">
        <v>866</v>
      </c>
      <c r="T31" s="427" t="s">
        <v>867</v>
      </c>
    </row>
    <row r="32" spans="3:20" ht="15">
      <c r="C32" s="420" t="s">
        <v>853</v>
      </c>
      <c r="D32" s="428">
        <v>0</v>
      </c>
      <c r="E32" s="428">
        <v>1</v>
      </c>
      <c r="F32" s="428">
        <v>1</v>
      </c>
      <c r="G32" s="428">
        <v>2</v>
      </c>
      <c r="H32" s="428">
        <v>0</v>
      </c>
      <c r="I32" s="428">
        <v>1</v>
      </c>
      <c r="J32" s="428">
        <v>1</v>
      </c>
      <c r="K32" s="428">
        <v>2</v>
      </c>
      <c r="L32" s="428">
        <v>2</v>
      </c>
      <c r="M32" s="428">
        <v>2</v>
      </c>
      <c r="N32" s="428">
        <v>2</v>
      </c>
      <c r="O32" s="428">
        <v>2</v>
      </c>
      <c r="P32" s="428">
        <v>2</v>
      </c>
      <c r="Q32" s="428">
        <v>1</v>
      </c>
      <c r="R32" s="429"/>
      <c r="S32" s="430"/>
      <c r="T32" s="430"/>
    </row>
    <row r="33" spans="3:20" ht="45">
      <c r="C33" s="420" t="s">
        <v>854</v>
      </c>
      <c r="D33" s="428">
        <v>-1</v>
      </c>
      <c r="E33" s="428">
        <v>0</v>
      </c>
      <c r="F33" s="428">
        <v>0</v>
      </c>
      <c r="G33" s="428">
        <v>1</v>
      </c>
      <c r="H33" s="428">
        <v>-1</v>
      </c>
      <c r="I33" s="428">
        <v>0</v>
      </c>
      <c r="J33" s="428">
        <v>0</v>
      </c>
      <c r="K33" s="428">
        <v>1</v>
      </c>
      <c r="L33" s="428">
        <v>2</v>
      </c>
      <c r="M33" s="428">
        <v>2</v>
      </c>
      <c r="N33" s="428">
        <v>2</v>
      </c>
      <c r="O33" s="428">
        <v>1</v>
      </c>
      <c r="P33" s="428">
        <v>1</v>
      </c>
      <c r="Q33" s="428">
        <v>0</v>
      </c>
      <c r="R33" s="429"/>
      <c r="S33" s="430"/>
      <c r="T33" s="430"/>
    </row>
    <row r="34" spans="3:20" ht="15">
      <c r="C34" s="420" t="s">
        <v>855</v>
      </c>
      <c r="D34" s="428">
        <v>-1</v>
      </c>
      <c r="E34" s="428">
        <v>-1</v>
      </c>
      <c r="F34" s="428">
        <v>0</v>
      </c>
      <c r="G34" s="428">
        <v>1</v>
      </c>
      <c r="H34" s="428">
        <v>-1</v>
      </c>
      <c r="I34" s="428">
        <v>0</v>
      </c>
      <c r="J34" s="428">
        <v>0</v>
      </c>
      <c r="K34" s="428">
        <v>1</v>
      </c>
      <c r="L34" s="428">
        <v>2</v>
      </c>
      <c r="M34" s="428">
        <v>2</v>
      </c>
      <c r="N34" s="428">
        <v>1</v>
      </c>
      <c r="O34" s="428">
        <v>1</v>
      </c>
      <c r="P34" s="428">
        <v>1</v>
      </c>
      <c r="Q34" s="428">
        <v>0</v>
      </c>
      <c r="R34" s="429"/>
      <c r="S34" s="430"/>
      <c r="T34" s="430"/>
    </row>
    <row r="35" spans="3:20" ht="45">
      <c r="C35" s="420" t="s">
        <v>856</v>
      </c>
      <c r="D35" s="428">
        <v>-2</v>
      </c>
      <c r="E35" s="428">
        <v>1</v>
      </c>
      <c r="F35" s="428">
        <v>-1</v>
      </c>
      <c r="G35" s="428">
        <v>0</v>
      </c>
      <c r="H35" s="428">
        <v>-2</v>
      </c>
      <c r="I35" s="428">
        <v>-1</v>
      </c>
      <c r="J35" s="428">
        <v>0</v>
      </c>
      <c r="K35" s="428">
        <v>1</v>
      </c>
      <c r="L35" s="428">
        <v>2</v>
      </c>
      <c r="M35" s="428">
        <v>2</v>
      </c>
      <c r="N35" s="428">
        <v>1</v>
      </c>
      <c r="O35" s="428">
        <v>1</v>
      </c>
      <c r="P35" s="428">
        <v>1</v>
      </c>
      <c r="Q35" s="428">
        <v>0</v>
      </c>
      <c r="R35" s="429"/>
      <c r="S35" s="430"/>
      <c r="T35" s="430"/>
    </row>
    <row r="36" spans="3:20" ht="15">
      <c r="C36" s="420" t="s">
        <v>857</v>
      </c>
      <c r="D36" s="428">
        <v>0</v>
      </c>
      <c r="E36" s="428">
        <v>0</v>
      </c>
      <c r="F36" s="428">
        <v>1</v>
      </c>
      <c r="G36" s="428">
        <v>2</v>
      </c>
      <c r="H36" s="428">
        <v>0</v>
      </c>
      <c r="I36" s="428">
        <v>1</v>
      </c>
      <c r="J36" s="428">
        <v>1</v>
      </c>
      <c r="K36" s="428">
        <v>2</v>
      </c>
      <c r="L36" s="428">
        <v>2</v>
      </c>
      <c r="M36" s="428">
        <v>2</v>
      </c>
      <c r="N36" s="428">
        <v>2</v>
      </c>
      <c r="O36" s="428">
        <v>2</v>
      </c>
      <c r="P36" s="428">
        <v>2</v>
      </c>
      <c r="Q36" s="428">
        <v>1</v>
      </c>
      <c r="R36" s="429"/>
      <c r="S36" s="430"/>
      <c r="T36" s="430"/>
    </row>
    <row r="37" spans="3:20" ht="45">
      <c r="C37" s="420" t="s">
        <v>858</v>
      </c>
      <c r="D37" s="428">
        <v>-1</v>
      </c>
      <c r="E37" s="428">
        <v>0</v>
      </c>
      <c r="F37" s="428">
        <v>0</v>
      </c>
      <c r="G37" s="428">
        <v>1</v>
      </c>
      <c r="H37" s="428">
        <v>-1</v>
      </c>
      <c r="I37" s="428">
        <v>0</v>
      </c>
      <c r="J37" s="428">
        <v>0</v>
      </c>
      <c r="K37" s="428">
        <v>1</v>
      </c>
      <c r="L37" s="428">
        <v>2</v>
      </c>
      <c r="M37" s="428">
        <v>2</v>
      </c>
      <c r="N37" s="428">
        <v>1</v>
      </c>
      <c r="O37" s="428">
        <v>1</v>
      </c>
      <c r="P37" s="428">
        <v>1</v>
      </c>
      <c r="Q37" s="428">
        <v>0</v>
      </c>
      <c r="R37" s="429"/>
      <c r="S37" s="430"/>
      <c r="T37" s="430"/>
    </row>
    <row r="38" spans="3:20" ht="15">
      <c r="C38" s="420" t="s">
        <v>859</v>
      </c>
      <c r="D38" s="428">
        <v>-1</v>
      </c>
      <c r="E38" s="428">
        <v>-1</v>
      </c>
      <c r="F38" s="428">
        <v>0</v>
      </c>
      <c r="G38" s="428">
        <v>0</v>
      </c>
      <c r="H38" s="428">
        <v>-1</v>
      </c>
      <c r="I38" s="428">
        <v>0</v>
      </c>
      <c r="J38" s="428">
        <v>0</v>
      </c>
      <c r="K38" s="428">
        <v>1</v>
      </c>
      <c r="L38" s="428">
        <v>2</v>
      </c>
      <c r="M38" s="428">
        <v>2</v>
      </c>
      <c r="N38" s="428">
        <v>1</v>
      </c>
      <c r="O38" s="428">
        <v>1</v>
      </c>
      <c r="P38" s="428">
        <v>1</v>
      </c>
      <c r="Q38" s="428">
        <v>0</v>
      </c>
      <c r="R38" s="429"/>
      <c r="S38" s="430"/>
      <c r="T38" s="430"/>
    </row>
    <row r="39" spans="3:20" ht="45">
      <c r="C39" s="420" t="s">
        <v>860</v>
      </c>
      <c r="D39" s="428">
        <v>-2</v>
      </c>
      <c r="E39" s="428">
        <v>-2</v>
      </c>
      <c r="F39" s="428">
        <v>-1</v>
      </c>
      <c r="G39" s="428">
        <v>-1</v>
      </c>
      <c r="H39" s="428">
        <v>-2</v>
      </c>
      <c r="I39" s="428">
        <v>-1</v>
      </c>
      <c r="J39" s="428">
        <v>-1</v>
      </c>
      <c r="K39" s="428">
        <v>0</v>
      </c>
      <c r="L39" s="428">
        <v>1</v>
      </c>
      <c r="M39" s="428">
        <v>1</v>
      </c>
      <c r="N39" s="428">
        <v>0</v>
      </c>
      <c r="O39" s="428">
        <v>0</v>
      </c>
      <c r="P39" s="428">
        <v>0</v>
      </c>
      <c r="Q39" s="428">
        <v>-1</v>
      </c>
      <c r="R39" s="429"/>
      <c r="S39" s="430"/>
      <c r="T39" s="430"/>
    </row>
    <row r="40" spans="3:20" ht="15">
      <c r="C40" s="162" t="s">
        <v>212</v>
      </c>
      <c r="D40" s="428">
        <v>-2</v>
      </c>
      <c r="E40" s="428">
        <v>-2</v>
      </c>
      <c r="F40" s="428">
        <v>-2</v>
      </c>
      <c r="G40" s="428">
        <v>-2</v>
      </c>
      <c r="H40" s="428">
        <v>-2</v>
      </c>
      <c r="I40" s="428">
        <v>-2</v>
      </c>
      <c r="J40" s="428">
        <v>-2</v>
      </c>
      <c r="K40" s="428">
        <v>-1</v>
      </c>
      <c r="L40" s="428">
        <v>0</v>
      </c>
      <c r="M40" s="428">
        <v>0</v>
      </c>
      <c r="N40" s="428">
        <v>-1</v>
      </c>
      <c r="O40" s="428">
        <v>-2</v>
      </c>
      <c r="P40" s="428">
        <v>-1</v>
      </c>
      <c r="Q40" s="428">
        <v>-2</v>
      </c>
      <c r="R40" s="429"/>
      <c r="S40" s="430"/>
      <c r="T40" s="430"/>
    </row>
    <row r="41" spans="3:20" ht="15">
      <c r="C41" s="162" t="s">
        <v>213</v>
      </c>
      <c r="D41" s="428">
        <v>-2</v>
      </c>
      <c r="E41" s="428">
        <v>-2</v>
      </c>
      <c r="F41" s="428">
        <v>-2</v>
      </c>
      <c r="G41" s="428">
        <v>-2</v>
      </c>
      <c r="H41" s="428">
        <v>-2</v>
      </c>
      <c r="I41" s="428">
        <v>-2</v>
      </c>
      <c r="J41" s="428">
        <v>-2</v>
      </c>
      <c r="K41" s="428">
        <v>-1</v>
      </c>
      <c r="L41" s="428">
        <v>0</v>
      </c>
      <c r="M41" s="428">
        <v>0</v>
      </c>
      <c r="N41" s="428">
        <v>-1</v>
      </c>
      <c r="O41" s="428">
        <v>-2</v>
      </c>
      <c r="P41" s="428">
        <v>-1</v>
      </c>
      <c r="Q41" s="428">
        <v>-2</v>
      </c>
      <c r="R41" s="429"/>
      <c r="S41" s="430"/>
      <c r="T41" s="430"/>
    </row>
    <row r="42" spans="3:20" ht="15">
      <c r="C42" s="162" t="s">
        <v>861</v>
      </c>
      <c r="D42" s="428">
        <v>-2</v>
      </c>
      <c r="E42" s="428">
        <v>-2</v>
      </c>
      <c r="F42" s="428">
        <v>-1</v>
      </c>
      <c r="G42" s="428">
        <v>-1</v>
      </c>
      <c r="H42" s="428">
        <v>-2</v>
      </c>
      <c r="I42" s="428">
        <v>-1</v>
      </c>
      <c r="J42" s="428">
        <v>-1</v>
      </c>
      <c r="K42" s="428">
        <v>0</v>
      </c>
      <c r="L42" s="428">
        <v>1</v>
      </c>
      <c r="M42" s="428">
        <v>1</v>
      </c>
      <c r="N42" s="428">
        <v>0</v>
      </c>
      <c r="O42" s="428">
        <v>-1</v>
      </c>
      <c r="P42" s="428">
        <v>-1</v>
      </c>
      <c r="Q42" s="428">
        <v>0</v>
      </c>
      <c r="R42" s="429"/>
      <c r="S42" s="430"/>
      <c r="T42" s="430"/>
    </row>
    <row r="43" spans="3:20" ht="15">
      <c r="C43" s="162" t="s">
        <v>862</v>
      </c>
      <c r="D43" s="428">
        <v>-2</v>
      </c>
      <c r="E43" s="428">
        <v>-1</v>
      </c>
      <c r="F43" s="428">
        <v>-1</v>
      </c>
      <c r="G43" s="428">
        <v>-1</v>
      </c>
      <c r="H43" s="428">
        <v>-2</v>
      </c>
      <c r="I43" s="428">
        <v>-1</v>
      </c>
      <c r="J43" s="428">
        <v>-1</v>
      </c>
      <c r="K43" s="428">
        <v>0</v>
      </c>
      <c r="L43" s="428">
        <v>2</v>
      </c>
      <c r="M43" s="428">
        <v>2</v>
      </c>
      <c r="N43" s="428">
        <v>1</v>
      </c>
      <c r="O43" s="428">
        <v>0</v>
      </c>
      <c r="P43" s="428">
        <v>0</v>
      </c>
      <c r="Q43" s="428">
        <v>-1</v>
      </c>
      <c r="R43" s="429"/>
      <c r="S43" s="430"/>
      <c r="T43" s="430"/>
    </row>
    <row r="44" spans="3:20" ht="30">
      <c r="C44" s="420" t="s">
        <v>863</v>
      </c>
      <c r="D44" s="428">
        <v>-2</v>
      </c>
      <c r="E44" s="428">
        <v>-1</v>
      </c>
      <c r="F44" s="428">
        <v>-1</v>
      </c>
      <c r="G44" s="428">
        <v>-1</v>
      </c>
      <c r="H44" s="428">
        <v>-2</v>
      </c>
      <c r="I44" s="428">
        <v>-1</v>
      </c>
      <c r="J44" s="428">
        <v>-1</v>
      </c>
      <c r="K44" s="428">
        <v>0</v>
      </c>
      <c r="L44" s="428">
        <v>1</v>
      </c>
      <c r="M44" s="428">
        <v>1</v>
      </c>
      <c r="N44" s="428">
        <v>1</v>
      </c>
      <c r="O44" s="428">
        <v>0</v>
      </c>
      <c r="P44" s="428">
        <v>0</v>
      </c>
      <c r="Q44" s="428">
        <v>-2</v>
      </c>
      <c r="R44" s="429"/>
      <c r="S44" s="430"/>
      <c r="T44" s="430"/>
    </row>
    <row r="45" spans="3:20" ht="15">
      <c r="C45" s="420" t="s">
        <v>864</v>
      </c>
      <c r="D45" s="428">
        <v>-1</v>
      </c>
      <c r="E45" s="428">
        <v>0</v>
      </c>
      <c r="F45" s="428">
        <v>0</v>
      </c>
      <c r="G45" s="428">
        <v>0</v>
      </c>
      <c r="H45" s="428">
        <v>-1</v>
      </c>
      <c r="I45" s="428">
        <v>0</v>
      </c>
      <c r="J45" s="428">
        <v>0</v>
      </c>
      <c r="K45" s="428">
        <v>1</v>
      </c>
      <c r="L45" s="428">
        <v>2</v>
      </c>
      <c r="M45" s="428">
        <v>2</v>
      </c>
      <c r="N45" s="428">
        <v>0</v>
      </c>
      <c r="O45" s="428">
        <v>1</v>
      </c>
      <c r="P45" s="428">
        <v>2</v>
      </c>
      <c r="Q45" s="428">
        <v>0</v>
      </c>
      <c r="R45" s="429"/>
      <c r="S45" s="430"/>
      <c r="T45" s="430"/>
    </row>
    <row r="46" spans="2:20" ht="15">
      <c r="B46" s="166" t="s">
        <v>261</v>
      </c>
      <c r="C46" s="431"/>
      <c r="D46" s="432"/>
      <c r="E46" s="432"/>
      <c r="F46" s="432"/>
      <c r="G46" s="432"/>
      <c r="H46" s="432"/>
      <c r="I46" s="432"/>
      <c r="J46" s="432"/>
      <c r="K46" s="432"/>
      <c r="L46" s="432"/>
      <c r="M46" s="432"/>
      <c r="N46" s="432"/>
      <c r="O46" s="432"/>
      <c r="P46" s="432"/>
      <c r="Q46" s="432"/>
      <c r="R46" s="430"/>
      <c r="S46" s="430"/>
      <c r="T46" s="430"/>
    </row>
    <row r="47" spans="3:20" ht="45">
      <c r="C47" s="420" t="s">
        <v>865</v>
      </c>
      <c r="D47" s="430"/>
      <c r="E47" s="430"/>
      <c r="F47" s="430"/>
      <c r="G47" s="430"/>
      <c r="H47" s="430"/>
      <c r="I47" s="430"/>
      <c r="J47" s="430"/>
      <c r="K47" s="430"/>
      <c r="L47" s="430"/>
      <c r="M47" s="430"/>
      <c r="N47" s="430"/>
      <c r="O47" s="430"/>
      <c r="P47" s="430"/>
      <c r="Q47" s="430"/>
      <c r="R47" s="433">
        <v>0</v>
      </c>
      <c r="S47" s="434">
        <v>-1</v>
      </c>
      <c r="T47" s="435">
        <v>-2</v>
      </c>
    </row>
    <row r="48" spans="3:20" ht="45">
      <c r="C48" s="420" t="s">
        <v>866</v>
      </c>
      <c r="D48" s="430"/>
      <c r="E48" s="430"/>
      <c r="F48" s="430"/>
      <c r="G48" s="430"/>
      <c r="H48" s="430"/>
      <c r="I48" s="430"/>
      <c r="J48" s="430"/>
      <c r="K48" s="430"/>
      <c r="L48" s="430"/>
      <c r="M48" s="430"/>
      <c r="N48" s="430"/>
      <c r="O48" s="430"/>
      <c r="P48" s="430"/>
      <c r="Q48" s="430"/>
      <c r="R48" s="436">
        <v>1</v>
      </c>
      <c r="S48" s="428">
        <v>0</v>
      </c>
      <c r="T48" s="437">
        <v>-1</v>
      </c>
    </row>
    <row r="49" spans="3:20" ht="15">
      <c r="C49" s="420" t="s">
        <v>867</v>
      </c>
      <c r="D49" s="430"/>
      <c r="E49" s="430"/>
      <c r="F49" s="430"/>
      <c r="G49" s="430"/>
      <c r="H49" s="430"/>
      <c r="I49" s="430"/>
      <c r="J49" s="430"/>
      <c r="K49" s="430"/>
      <c r="L49" s="430"/>
      <c r="M49" s="430"/>
      <c r="N49" s="430"/>
      <c r="O49" s="430"/>
      <c r="P49" s="430"/>
      <c r="Q49" s="430"/>
      <c r="R49" s="438">
        <v>2</v>
      </c>
      <c r="S49" s="439">
        <v>1</v>
      </c>
      <c r="T49" s="440">
        <v>0</v>
      </c>
    </row>
    <row r="50" spans="3:20" ht="14.25" customHeight="1">
      <c r="C50" s="163"/>
      <c r="D50" s="163"/>
      <c r="E50" s="163"/>
      <c r="F50" s="163"/>
      <c r="G50" s="163"/>
      <c r="H50" s="163"/>
      <c r="I50" s="163"/>
      <c r="J50" s="163"/>
      <c r="K50" s="163"/>
      <c r="L50" s="163"/>
      <c r="M50" s="163"/>
      <c r="N50" s="163"/>
      <c r="O50" s="163"/>
      <c r="P50" s="163"/>
      <c r="Q50" s="163"/>
      <c r="R50" s="163"/>
      <c r="S50" s="163"/>
      <c r="T50" s="163"/>
    </row>
    <row r="51" spans="3:20" ht="15">
      <c r="C51" s="163"/>
      <c r="D51" s="163"/>
      <c r="E51" s="163"/>
      <c r="F51" s="163"/>
      <c r="G51" s="163"/>
      <c r="H51" s="163"/>
      <c r="I51" s="163"/>
      <c r="J51" s="163"/>
      <c r="K51" s="163"/>
      <c r="L51" s="163"/>
      <c r="M51" s="163"/>
      <c r="N51" s="163"/>
      <c r="O51" s="163"/>
      <c r="P51" s="163"/>
      <c r="Q51" s="163"/>
      <c r="R51" s="163"/>
      <c r="S51" s="163"/>
      <c r="T51" s="163"/>
    </row>
    <row r="52" spans="4:7" ht="15">
      <c r="D52" s="166" t="s">
        <v>262</v>
      </c>
      <c r="G52" s="166" t="s">
        <v>880</v>
      </c>
    </row>
    <row r="53" spans="3:20" ht="75">
      <c r="C53" s="162"/>
      <c r="D53" s="420" t="s">
        <v>853</v>
      </c>
      <c r="E53" s="420" t="s">
        <v>854</v>
      </c>
      <c r="F53" s="420" t="s">
        <v>855</v>
      </c>
      <c r="G53" s="420" t="s">
        <v>856</v>
      </c>
      <c r="H53" s="420" t="s">
        <v>857</v>
      </c>
      <c r="I53" s="420" t="s">
        <v>858</v>
      </c>
      <c r="J53" s="420" t="s">
        <v>859</v>
      </c>
      <c r="K53" s="420" t="s">
        <v>860</v>
      </c>
      <c r="L53" s="162" t="s">
        <v>212</v>
      </c>
      <c r="M53" s="162" t="s">
        <v>213</v>
      </c>
      <c r="N53" s="162" t="s">
        <v>861</v>
      </c>
      <c r="O53" s="420" t="s">
        <v>862</v>
      </c>
      <c r="P53" s="420" t="s">
        <v>863</v>
      </c>
      <c r="Q53" s="420" t="s">
        <v>864</v>
      </c>
      <c r="R53" s="420" t="s">
        <v>865</v>
      </c>
      <c r="S53" s="426" t="s">
        <v>866</v>
      </c>
      <c r="T53" s="427" t="s">
        <v>867</v>
      </c>
    </row>
    <row r="54" spans="3:20" ht="15">
      <c r="C54" s="420" t="s">
        <v>853</v>
      </c>
      <c r="D54" s="194">
        <f aca="true" t="shared" si="0" ref="D54:Q54">D32*D5</f>
        <v>0</v>
      </c>
      <c r="E54" s="194">
        <f t="shared" si="0"/>
        <v>0</v>
      </c>
      <c r="F54" s="194">
        <f t="shared" si="0"/>
        <v>0</v>
      </c>
      <c r="G54" s="194">
        <f t="shared" si="0"/>
        <v>0</v>
      </c>
      <c r="H54" s="194">
        <f t="shared" si="0"/>
        <v>0</v>
      </c>
      <c r="I54" s="194">
        <f t="shared" si="0"/>
        <v>0</v>
      </c>
      <c r="J54" s="194">
        <f t="shared" si="0"/>
        <v>0</v>
      </c>
      <c r="K54" s="194">
        <f t="shared" si="0"/>
        <v>0</v>
      </c>
      <c r="L54" s="194">
        <f t="shared" si="0"/>
        <v>0</v>
      </c>
      <c r="M54" s="194">
        <f t="shared" si="0"/>
        <v>0</v>
      </c>
      <c r="N54" s="194">
        <f t="shared" si="0"/>
        <v>0</v>
      </c>
      <c r="O54" s="194">
        <f t="shared" si="0"/>
        <v>0</v>
      </c>
      <c r="P54" s="194">
        <f t="shared" si="0"/>
        <v>0</v>
      </c>
      <c r="Q54" s="194">
        <f t="shared" si="0"/>
        <v>0</v>
      </c>
      <c r="R54" s="421"/>
      <c r="S54" s="421"/>
      <c r="T54" s="421"/>
    </row>
    <row r="55" spans="3:20" ht="45">
      <c r="C55" s="420" t="s">
        <v>854</v>
      </c>
      <c r="D55" s="194">
        <f aca="true" t="shared" si="1" ref="D55:Q55">D33*D6</f>
        <v>0</v>
      </c>
      <c r="E55" s="194">
        <f t="shared" si="1"/>
        <v>0</v>
      </c>
      <c r="F55" s="194">
        <f t="shared" si="1"/>
        <v>0</v>
      </c>
      <c r="G55" s="194">
        <f t="shared" si="1"/>
        <v>0</v>
      </c>
      <c r="H55" s="194">
        <f t="shared" si="1"/>
        <v>0</v>
      </c>
      <c r="I55" s="194">
        <f t="shared" si="1"/>
        <v>0</v>
      </c>
      <c r="J55" s="194">
        <f t="shared" si="1"/>
        <v>0</v>
      </c>
      <c r="K55" s="194">
        <f t="shared" si="1"/>
        <v>0</v>
      </c>
      <c r="L55" s="194">
        <f t="shared" si="1"/>
        <v>0</v>
      </c>
      <c r="M55" s="194">
        <f t="shared" si="1"/>
        <v>0</v>
      </c>
      <c r="N55" s="194">
        <f t="shared" si="1"/>
        <v>0</v>
      </c>
      <c r="O55" s="194">
        <f t="shared" si="1"/>
        <v>0</v>
      </c>
      <c r="P55" s="194">
        <f t="shared" si="1"/>
        <v>0</v>
      </c>
      <c r="Q55" s="194">
        <f t="shared" si="1"/>
        <v>0</v>
      </c>
      <c r="R55" s="421"/>
      <c r="S55" s="421"/>
      <c r="T55" s="421"/>
    </row>
    <row r="56" spans="3:20" ht="15">
      <c r="C56" s="420" t="s">
        <v>855</v>
      </c>
      <c r="D56" s="194">
        <f aca="true" t="shared" si="2" ref="D56:Q56">D34*D7</f>
        <v>0</v>
      </c>
      <c r="E56" s="194">
        <f t="shared" si="2"/>
        <v>0</v>
      </c>
      <c r="F56" s="194">
        <f t="shared" si="2"/>
        <v>0</v>
      </c>
      <c r="G56" s="194">
        <f t="shared" si="2"/>
        <v>0</v>
      </c>
      <c r="H56" s="194">
        <f t="shared" si="2"/>
        <v>0</v>
      </c>
      <c r="I56" s="194">
        <f t="shared" si="2"/>
        <v>0</v>
      </c>
      <c r="J56" s="194">
        <f t="shared" si="2"/>
        <v>0</v>
      </c>
      <c r="K56" s="194">
        <f t="shared" si="2"/>
        <v>0</v>
      </c>
      <c r="L56" s="194">
        <f t="shared" si="2"/>
        <v>0</v>
      </c>
      <c r="M56" s="194">
        <f t="shared" si="2"/>
        <v>0</v>
      </c>
      <c r="N56" s="194">
        <f t="shared" si="2"/>
        <v>0</v>
      </c>
      <c r="O56" s="194">
        <f t="shared" si="2"/>
        <v>0</v>
      </c>
      <c r="P56" s="194">
        <f t="shared" si="2"/>
        <v>0</v>
      </c>
      <c r="Q56" s="194">
        <f t="shared" si="2"/>
        <v>0</v>
      </c>
      <c r="R56" s="421"/>
      <c r="S56" s="421"/>
      <c r="T56" s="421"/>
    </row>
    <row r="57" spans="3:20" ht="45">
      <c r="C57" s="420" t="s">
        <v>856</v>
      </c>
      <c r="D57" s="194">
        <f aca="true" t="shared" si="3" ref="D57:Q57">D35*D8</f>
        <v>0</v>
      </c>
      <c r="E57" s="194">
        <f t="shared" si="3"/>
        <v>0</v>
      </c>
      <c r="F57" s="194">
        <f t="shared" si="3"/>
        <v>0</v>
      </c>
      <c r="G57" s="194">
        <f t="shared" si="3"/>
        <v>0</v>
      </c>
      <c r="H57" s="194">
        <f t="shared" si="3"/>
        <v>0</v>
      </c>
      <c r="I57" s="194">
        <f t="shared" si="3"/>
        <v>0</v>
      </c>
      <c r="J57" s="194">
        <f t="shared" si="3"/>
        <v>0</v>
      </c>
      <c r="K57" s="194">
        <f t="shared" si="3"/>
        <v>0</v>
      </c>
      <c r="L57" s="194">
        <f t="shared" si="3"/>
        <v>0</v>
      </c>
      <c r="M57" s="194">
        <f t="shared" si="3"/>
        <v>0</v>
      </c>
      <c r="N57" s="194">
        <f t="shared" si="3"/>
        <v>0</v>
      </c>
      <c r="O57" s="194">
        <f t="shared" si="3"/>
        <v>0</v>
      </c>
      <c r="P57" s="194">
        <f t="shared" si="3"/>
        <v>0</v>
      </c>
      <c r="Q57" s="194">
        <f t="shared" si="3"/>
        <v>0</v>
      </c>
      <c r="R57" s="421"/>
      <c r="S57" s="421"/>
      <c r="T57" s="421"/>
    </row>
    <row r="58" spans="3:20" ht="15">
      <c r="C58" s="420" t="s">
        <v>857</v>
      </c>
      <c r="D58" s="194">
        <f aca="true" t="shared" si="4" ref="D58:Q58">D36*D9</f>
        <v>0</v>
      </c>
      <c r="E58" s="194">
        <f t="shared" si="4"/>
        <v>0</v>
      </c>
      <c r="F58" s="194">
        <f t="shared" si="4"/>
        <v>0</v>
      </c>
      <c r="G58" s="194">
        <f t="shared" si="4"/>
        <v>0</v>
      </c>
      <c r="H58" s="194">
        <f t="shared" si="4"/>
        <v>0</v>
      </c>
      <c r="I58" s="194">
        <f t="shared" si="4"/>
        <v>0</v>
      </c>
      <c r="J58" s="194">
        <f t="shared" si="4"/>
        <v>0</v>
      </c>
      <c r="K58" s="194">
        <f t="shared" si="4"/>
        <v>0</v>
      </c>
      <c r="L58" s="194">
        <f t="shared" si="4"/>
        <v>0</v>
      </c>
      <c r="M58" s="194">
        <f t="shared" si="4"/>
        <v>0</v>
      </c>
      <c r="N58" s="194">
        <f t="shared" si="4"/>
        <v>0</v>
      </c>
      <c r="O58" s="194">
        <f t="shared" si="4"/>
        <v>0</v>
      </c>
      <c r="P58" s="194">
        <f t="shared" si="4"/>
        <v>0</v>
      </c>
      <c r="Q58" s="194">
        <f t="shared" si="4"/>
        <v>0</v>
      </c>
      <c r="R58" s="421"/>
      <c r="S58" s="421"/>
      <c r="T58" s="421"/>
    </row>
    <row r="59" spans="3:20" ht="45">
      <c r="C59" s="420" t="s">
        <v>858</v>
      </c>
      <c r="D59" s="194">
        <f aca="true" t="shared" si="5" ref="D59:Q59">D37*D10</f>
        <v>0</v>
      </c>
      <c r="E59" s="194">
        <f t="shared" si="5"/>
        <v>0</v>
      </c>
      <c r="F59" s="194">
        <f t="shared" si="5"/>
        <v>0</v>
      </c>
      <c r="G59" s="194">
        <f t="shared" si="5"/>
        <v>0</v>
      </c>
      <c r="H59" s="194">
        <f t="shared" si="5"/>
        <v>0</v>
      </c>
      <c r="I59" s="194">
        <f t="shared" si="5"/>
        <v>0</v>
      </c>
      <c r="J59" s="194">
        <f t="shared" si="5"/>
        <v>0</v>
      </c>
      <c r="K59" s="194">
        <f t="shared" si="5"/>
        <v>0</v>
      </c>
      <c r="L59" s="194">
        <f t="shared" si="5"/>
        <v>0</v>
      </c>
      <c r="M59" s="194">
        <f t="shared" si="5"/>
        <v>0</v>
      </c>
      <c r="N59" s="194">
        <f t="shared" si="5"/>
        <v>0</v>
      </c>
      <c r="O59" s="194">
        <f t="shared" si="5"/>
        <v>0</v>
      </c>
      <c r="P59" s="194">
        <f t="shared" si="5"/>
        <v>0</v>
      </c>
      <c r="Q59" s="194">
        <f t="shared" si="5"/>
        <v>0</v>
      </c>
      <c r="R59" s="421"/>
      <c r="S59" s="421"/>
      <c r="T59" s="421"/>
    </row>
    <row r="60" spans="3:20" ht="15">
      <c r="C60" s="420" t="s">
        <v>859</v>
      </c>
      <c r="D60" s="194">
        <f aca="true" t="shared" si="6" ref="D60:Q60">D38*D11</f>
        <v>0</v>
      </c>
      <c r="E60" s="194">
        <f t="shared" si="6"/>
        <v>0</v>
      </c>
      <c r="F60" s="194">
        <f t="shared" si="6"/>
        <v>0</v>
      </c>
      <c r="G60" s="194">
        <f t="shared" si="6"/>
        <v>0</v>
      </c>
      <c r="H60" s="194">
        <f t="shared" si="6"/>
        <v>0</v>
      </c>
      <c r="I60" s="194">
        <f t="shared" si="6"/>
        <v>0</v>
      </c>
      <c r="J60" s="194">
        <f t="shared" si="6"/>
        <v>0</v>
      </c>
      <c r="K60" s="194">
        <f t="shared" si="6"/>
        <v>0</v>
      </c>
      <c r="L60" s="194">
        <f t="shared" si="6"/>
        <v>0</v>
      </c>
      <c r="M60" s="194">
        <f t="shared" si="6"/>
        <v>0</v>
      </c>
      <c r="N60" s="194">
        <f t="shared" si="6"/>
        <v>0</v>
      </c>
      <c r="O60" s="194">
        <f t="shared" si="6"/>
        <v>0</v>
      </c>
      <c r="P60" s="194">
        <f t="shared" si="6"/>
        <v>0</v>
      </c>
      <c r="Q60" s="194">
        <f t="shared" si="6"/>
        <v>0</v>
      </c>
      <c r="R60" s="421"/>
      <c r="S60" s="421"/>
      <c r="T60" s="421"/>
    </row>
    <row r="61" spans="3:20" ht="45">
      <c r="C61" s="420" t="s">
        <v>860</v>
      </c>
      <c r="D61" s="194">
        <f aca="true" t="shared" si="7" ref="D61:Q61">D39*D12</f>
        <v>0</v>
      </c>
      <c r="E61" s="194">
        <f t="shared" si="7"/>
        <v>0</v>
      </c>
      <c r="F61" s="194">
        <f t="shared" si="7"/>
        <v>0</v>
      </c>
      <c r="G61" s="194">
        <f t="shared" si="7"/>
        <v>0</v>
      </c>
      <c r="H61" s="194">
        <f t="shared" si="7"/>
        <v>0</v>
      </c>
      <c r="I61" s="194">
        <f t="shared" si="7"/>
        <v>0</v>
      </c>
      <c r="J61" s="194">
        <f t="shared" si="7"/>
        <v>0</v>
      </c>
      <c r="K61" s="194">
        <f t="shared" si="7"/>
        <v>0</v>
      </c>
      <c r="L61" s="194">
        <f t="shared" si="7"/>
        <v>0</v>
      </c>
      <c r="M61" s="194">
        <f t="shared" si="7"/>
        <v>0</v>
      </c>
      <c r="N61" s="194">
        <f t="shared" si="7"/>
        <v>0</v>
      </c>
      <c r="O61" s="194">
        <f t="shared" si="7"/>
        <v>0</v>
      </c>
      <c r="P61" s="194">
        <f t="shared" si="7"/>
        <v>0</v>
      </c>
      <c r="Q61" s="194">
        <f t="shared" si="7"/>
        <v>0</v>
      </c>
      <c r="R61" s="421"/>
      <c r="S61" s="421"/>
      <c r="T61" s="421"/>
    </row>
    <row r="62" spans="3:20" ht="15">
      <c r="C62" s="162" t="s">
        <v>212</v>
      </c>
      <c r="D62" s="194">
        <f aca="true" t="shared" si="8" ref="D62:Q62">D40*D13</f>
        <v>0</v>
      </c>
      <c r="E62" s="194">
        <f t="shared" si="8"/>
        <v>0</v>
      </c>
      <c r="F62" s="194">
        <f t="shared" si="8"/>
        <v>0</v>
      </c>
      <c r="G62" s="194">
        <f t="shared" si="8"/>
        <v>0</v>
      </c>
      <c r="H62" s="194">
        <f t="shared" si="8"/>
        <v>0</v>
      </c>
      <c r="I62" s="194">
        <f t="shared" si="8"/>
        <v>0</v>
      </c>
      <c r="J62" s="194">
        <f t="shared" si="8"/>
        <v>0</v>
      </c>
      <c r="K62" s="194">
        <f t="shared" si="8"/>
        <v>0</v>
      </c>
      <c r="L62" s="194">
        <f t="shared" si="8"/>
        <v>0</v>
      </c>
      <c r="M62" s="194">
        <f t="shared" si="8"/>
        <v>0</v>
      </c>
      <c r="N62" s="194">
        <f t="shared" si="8"/>
        <v>0</v>
      </c>
      <c r="O62" s="194">
        <f t="shared" si="8"/>
        <v>0</v>
      </c>
      <c r="P62" s="194">
        <f t="shared" si="8"/>
        <v>0</v>
      </c>
      <c r="Q62" s="194">
        <f t="shared" si="8"/>
        <v>0</v>
      </c>
      <c r="R62" s="421"/>
      <c r="S62" s="421"/>
      <c r="T62" s="421"/>
    </row>
    <row r="63" spans="3:20" ht="15">
      <c r="C63" s="162" t="s">
        <v>213</v>
      </c>
      <c r="D63" s="194">
        <f aca="true" t="shared" si="9" ref="D63:Q63">D41*D14</f>
        <v>0</v>
      </c>
      <c r="E63" s="194">
        <f t="shared" si="9"/>
        <v>0</v>
      </c>
      <c r="F63" s="194">
        <f t="shared" si="9"/>
        <v>0</v>
      </c>
      <c r="G63" s="194">
        <f t="shared" si="9"/>
        <v>0</v>
      </c>
      <c r="H63" s="194">
        <f t="shared" si="9"/>
        <v>0</v>
      </c>
      <c r="I63" s="194">
        <f t="shared" si="9"/>
        <v>0</v>
      </c>
      <c r="J63" s="194">
        <f t="shared" si="9"/>
        <v>0</v>
      </c>
      <c r="K63" s="194">
        <f t="shared" si="9"/>
        <v>0</v>
      </c>
      <c r="L63" s="194">
        <f t="shared" si="9"/>
        <v>0</v>
      </c>
      <c r="M63" s="194">
        <f t="shared" si="9"/>
        <v>0</v>
      </c>
      <c r="N63" s="194">
        <f t="shared" si="9"/>
        <v>0</v>
      </c>
      <c r="O63" s="194">
        <f t="shared" si="9"/>
        <v>0</v>
      </c>
      <c r="P63" s="194">
        <f t="shared" si="9"/>
        <v>0</v>
      </c>
      <c r="Q63" s="194">
        <f t="shared" si="9"/>
        <v>0</v>
      </c>
      <c r="R63" s="421"/>
      <c r="S63" s="421"/>
      <c r="T63" s="421"/>
    </row>
    <row r="64" spans="3:20" ht="15">
      <c r="C64" s="162" t="s">
        <v>861</v>
      </c>
      <c r="D64" s="194">
        <f aca="true" t="shared" si="10" ref="D64:Q64">D42*D15</f>
        <v>0</v>
      </c>
      <c r="E64" s="194">
        <f t="shared" si="10"/>
        <v>0</v>
      </c>
      <c r="F64" s="194">
        <f t="shared" si="10"/>
        <v>0</v>
      </c>
      <c r="G64" s="194">
        <f t="shared" si="10"/>
        <v>0</v>
      </c>
      <c r="H64" s="194">
        <f t="shared" si="10"/>
        <v>0</v>
      </c>
      <c r="I64" s="194">
        <f t="shared" si="10"/>
        <v>0</v>
      </c>
      <c r="J64" s="194">
        <f t="shared" si="10"/>
        <v>0</v>
      </c>
      <c r="K64" s="194">
        <f t="shared" si="10"/>
        <v>0</v>
      </c>
      <c r="L64" s="194">
        <f t="shared" si="10"/>
        <v>0</v>
      </c>
      <c r="M64" s="194">
        <f t="shared" si="10"/>
        <v>0</v>
      </c>
      <c r="N64" s="194">
        <f t="shared" si="10"/>
        <v>0</v>
      </c>
      <c r="O64" s="194">
        <f t="shared" si="10"/>
        <v>0</v>
      </c>
      <c r="P64" s="194">
        <f t="shared" si="10"/>
        <v>0</v>
      </c>
      <c r="Q64" s="194">
        <f t="shared" si="10"/>
        <v>0</v>
      </c>
      <c r="R64" s="421"/>
      <c r="S64" s="421"/>
      <c r="T64" s="421"/>
    </row>
    <row r="65" spans="3:20" ht="15">
      <c r="C65" s="162" t="s">
        <v>862</v>
      </c>
      <c r="D65" s="194">
        <f aca="true" t="shared" si="11" ref="D65:Q65">D43*D16</f>
        <v>0</v>
      </c>
      <c r="E65" s="194">
        <f t="shared" si="11"/>
        <v>0</v>
      </c>
      <c r="F65" s="194">
        <f t="shared" si="11"/>
        <v>0</v>
      </c>
      <c r="G65" s="194">
        <f t="shared" si="11"/>
        <v>0</v>
      </c>
      <c r="H65" s="194">
        <f t="shared" si="11"/>
        <v>0</v>
      </c>
      <c r="I65" s="194">
        <f t="shared" si="11"/>
        <v>0</v>
      </c>
      <c r="J65" s="194">
        <f t="shared" si="11"/>
        <v>0</v>
      </c>
      <c r="K65" s="194">
        <f t="shared" si="11"/>
        <v>0</v>
      </c>
      <c r="L65" s="194">
        <f t="shared" si="11"/>
        <v>0</v>
      </c>
      <c r="M65" s="194">
        <f t="shared" si="11"/>
        <v>0</v>
      </c>
      <c r="N65" s="194">
        <f t="shared" si="11"/>
        <v>0</v>
      </c>
      <c r="O65" s="194">
        <f t="shared" si="11"/>
        <v>0</v>
      </c>
      <c r="P65" s="194">
        <f t="shared" si="11"/>
        <v>0</v>
      </c>
      <c r="Q65" s="194">
        <f t="shared" si="11"/>
        <v>0</v>
      </c>
      <c r="R65" s="421"/>
      <c r="S65" s="421"/>
      <c r="T65" s="421"/>
    </row>
    <row r="66" spans="3:20" ht="30">
      <c r="C66" s="420" t="s">
        <v>863</v>
      </c>
      <c r="D66" s="194">
        <f aca="true" t="shared" si="12" ref="D66:Q66">D44*D17</f>
        <v>0</v>
      </c>
      <c r="E66" s="194">
        <f t="shared" si="12"/>
        <v>0</v>
      </c>
      <c r="F66" s="194">
        <f t="shared" si="12"/>
        <v>0</v>
      </c>
      <c r="G66" s="194">
        <f t="shared" si="12"/>
        <v>0</v>
      </c>
      <c r="H66" s="194">
        <f t="shared" si="12"/>
        <v>0</v>
      </c>
      <c r="I66" s="194">
        <f t="shared" si="12"/>
        <v>0</v>
      </c>
      <c r="J66" s="194">
        <f t="shared" si="12"/>
        <v>0</v>
      </c>
      <c r="K66" s="194">
        <f t="shared" si="12"/>
        <v>0</v>
      </c>
      <c r="L66" s="194">
        <f t="shared" si="12"/>
        <v>0</v>
      </c>
      <c r="M66" s="194">
        <f t="shared" si="12"/>
        <v>0</v>
      </c>
      <c r="N66" s="194">
        <f t="shared" si="12"/>
        <v>0</v>
      </c>
      <c r="O66" s="194">
        <f t="shared" si="12"/>
        <v>0</v>
      </c>
      <c r="P66" s="194">
        <f t="shared" si="12"/>
        <v>0</v>
      </c>
      <c r="Q66" s="194">
        <f t="shared" si="12"/>
        <v>0</v>
      </c>
      <c r="R66" s="421"/>
      <c r="S66" s="421"/>
      <c r="T66" s="421"/>
    </row>
    <row r="67" spans="2:20" ht="15">
      <c r="B67" s="166" t="s">
        <v>261</v>
      </c>
      <c r="C67" s="420" t="s">
        <v>864</v>
      </c>
      <c r="D67" s="194">
        <f aca="true" t="shared" si="13" ref="D67:Q67">D45*D18</f>
        <v>0</v>
      </c>
      <c r="E67" s="194">
        <f t="shared" si="13"/>
        <v>0</v>
      </c>
      <c r="F67" s="194">
        <f t="shared" si="13"/>
        <v>0</v>
      </c>
      <c r="G67" s="194">
        <f t="shared" si="13"/>
        <v>0</v>
      </c>
      <c r="H67" s="194">
        <f t="shared" si="13"/>
        <v>0</v>
      </c>
      <c r="I67" s="194">
        <f t="shared" si="13"/>
        <v>0</v>
      </c>
      <c r="J67" s="194">
        <f t="shared" si="13"/>
        <v>0</v>
      </c>
      <c r="K67" s="194">
        <f t="shared" si="13"/>
        <v>0</v>
      </c>
      <c r="L67" s="194">
        <f t="shared" si="13"/>
        <v>0</v>
      </c>
      <c r="M67" s="194">
        <f t="shared" si="13"/>
        <v>0</v>
      </c>
      <c r="N67" s="194">
        <f t="shared" si="13"/>
        <v>0</v>
      </c>
      <c r="O67" s="194">
        <f t="shared" si="13"/>
        <v>0</v>
      </c>
      <c r="P67" s="194">
        <f t="shared" si="13"/>
        <v>0</v>
      </c>
      <c r="Q67" s="194">
        <f t="shared" si="13"/>
        <v>0</v>
      </c>
      <c r="R67" s="421"/>
      <c r="S67" s="421"/>
      <c r="T67" s="421"/>
    </row>
    <row r="68" spans="3:20" ht="45">
      <c r="C68" s="420" t="s">
        <v>865</v>
      </c>
      <c r="D68" s="421"/>
      <c r="E68" s="421"/>
      <c r="F68" s="421"/>
      <c r="G68" s="421"/>
      <c r="H68" s="421"/>
      <c r="I68" s="421"/>
      <c r="J68" s="421"/>
      <c r="K68" s="421"/>
      <c r="L68" s="421"/>
      <c r="M68" s="421"/>
      <c r="N68" s="421"/>
      <c r="O68" s="421"/>
      <c r="P68" s="421"/>
      <c r="Q68" s="421"/>
      <c r="R68" s="194">
        <f aca="true" t="shared" si="14" ref="R68:T70">R47*R19</f>
        <v>0</v>
      </c>
      <c r="S68" s="194">
        <f t="shared" si="14"/>
        <v>0</v>
      </c>
      <c r="T68" s="194">
        <f t="shared" si="14"/>
        <v>0</v>
      </c>
    </row>
    <row r="69" spans="3:20" ht="45">
      <c r="C69" s="420" t="s">
        <v>866</v>
      </c>
      <c r="D69" s="421"/>
      <c r="E69" s="421"/>
      <c r="F69" s="421"/>
      <c r="G69" s="421"/>
      <c r="H69" s="421"/>
      <c r="I69" s="421"/>
      <c r="J69" s="421"/>
      <c r="K69" s="421"/>
      <c r="L69" s="421"/>
      <c r="M69" s="421"/>
      <c r="N69" s="421"/>
      <c r="O69" s="421"/>
      <c r="P69" s="421"/>
      <c r="Q69" s="421"/>
      <c r="R69" s="194">
        <f t="shared" si="14"/>
        <v>0</v>
      </c>
      <c r="S69" s="194">
        <f t="shared" si="14"/>
        <v>0</v>
      </c>
      <c r="T69" s="194">
        <f t="shared" si="14"/>
        <v>0</v>
      </c>
    </row>
    <row r="70" spans="3:20" ht="15">
      <c r="C70" s="420" t="s">
        <v>867</v>
      </c>
      <c r="D70" s="421"/>
      <c r="E70" s="421"/>
      <c r="F70" s="421"/>
      <c r="G70" s="421"/>
      <c r="H70" s="421"/>
      <c r="I70" s="733"/>
      <c r="J70" s="590"/>
      <c r="K70" s="733"/>
      <c r="L70" s="590"/>
      <c r="M70" s="421"/>
      <c r="N70" s="421"/>
      <c r="O70" s="421"/>
      <c r="P70" s="421"/>
      <c r="Q70" s="421"/>
      <c r="R70" s="194">
        <f t="shared" si="14"/>
        <v>0</v>
      </c>
      <c r="S70" s="194">
        <f t="shared" si="14"/>
        <v>0</v>
      </c>
      <c r="T70" s="194">
        <f t="shared" si="14"/>
        <v>0</v>
      </c>
    </row>
    <row r="71" spans="9:12" ht="15">
      <c r="I71" s="733"/>
      <c r="J71" s="590"/>
      <c r="K71" s="733"/>
      <c r="L71" s="590"/>
    </row>
    <row r="72" spans="3:21" ht="15">
      <c r="C72" s="441" t="s">
        <v>881</v>
      </c>
      <c r="D72" s="442">
        <f>IF(ISERROR(SUM(D54:Q67)/SUM(D5:Q18)),0,SUM(D54:Q67)/SUM(D5:Q18))</f>
        <v>0</v>
      </c>
      <c r="E72" s="443">
        <f>D72/2</f>
        <v>0</v>
      </c>
      <c r="F72" s="166" t="s">
        <v>882</v>
      </c>
      <c r="J72" s="444"/>
      <c r="K72" s="445"/>
      <c r="L72" s="444"/>
      <c r="R72" s="441" t="s">
        <v>881</v>
      </c>
      <c r="S72" s="442">
        <f>IF(ISERROR(SUM(R68:T70)/SUM(R19:T21)),0,(SUM(R68:T70)/SUM(R19:T21)))</f>
        <v>0</v>
      </c>
      <c r="T72" s="443">
        <f>S72/2</f>
        <v>0</v>
      </c>
      <c r="U72" s="166" t="s">
        <v>882</v>
      </c>
    </row>
    <row r="73" spans="10:12" ht="15">
      <c r="J73" s="444"/>
      <c r="K73" s="445"/>
      <c r="L73" s="444"/>
    </row>
    <row r="74" spans="3:20" ht="15">
      <c r="C74" s="163" t="s">
        <v>883</v>
      </c>
      <c r="D74" s="163"/>
      <c r="E74" s="555">
        <v>190</v>
      </c>
      <c r="F74" s="166" t="s">
        <v>884</v>
      </c>
      <c r="G74" s="417" t="s">
        <v>885</v>
      </c>
      <c r="I74" s="163"/>
      <c r="J74" s="163"/>
      <c r="K74" s="163"/>
      <c r="L74" s="163"/>
      <c r="M74" s="163"/>
      <c r="N74" s="163"/>
      <c r="O74" s="163"/>
      <c r="P74" s="163"/>
      <c r="Q74" s="163"/>
      <c r="R74" s="163"/>
      <c r="S74" s="163"/>
      <c r="T74" s="163"/>
    </row>
    <row r="75" spans="3:20" ht="15">
      <c r="C75" s="163"/>
      <c r="D75" s="163"/>
      <c r="E75" s="168"/>
      <c r="G75" s="417"/>
      <c r="I75" s="163"/>
      <c r="J75" s="163"/>
      <c r="K75" s="163"/>
      <c r="L75" s="163"/>
      <c r="M75" s="163"/>
      <c r="N75" s="163"/>
      <c r="O75" s="163"/>
      <c r="P75" s="163"/>
      <c r="Q75" s="163"/>
      <c r="R75" s="163"/>
      <c r="S75" s="163"/>
      <c r="T75" s="163"/>
    </row>
    <row r="76" spans="3:20" ht="15">
      <c r="C76" s="163" t="s">
        <v>886</v>
      </c>
      <c r="D76" s="163"/>
      <c r="E76" s="555">
        <v>190</v>
      </c>
      <c r="F76" s="166" t="s">
        <v>884</v>
      </c>
      <c r="G76" s="417" t="s">
        <v>885</v>
      </c>
      <c r="I76" s="163"/>
      <c r="J76" s="163"/>
      <c r="K76" s="163"/>
      <c r="L76" s="163"/>
      <c r="M76" s="163"/>
      <c r="N76" s="163"/>
      <c r="O76" s="163"/>
      <c r="P76" s="163"/>
      <c r="Q76" s="163"/>
      <c r="R76" s="163"/>
      <c r="S76" s="163"/>
      <c r="T76" s="163"/>
    </row>
    <row r="77" spans="3:20" ht="15">
      <c r="C77" s="163" t="s">
        <v>887</v>
      </c>
      <c r="D77" s="163"/>
      <c r="E77" s="578">
        <v>1</v>
      </c>
      <c r="F77" s="166" t="s">
        <v>888</v>
      </c>
      <c r="G77" s="417" t="s">
        <v>889</v>
      </c>
      <c r="I77" s="163"/>
      <c r="J77" s="163"/>
      <c r="K77" s="163"/>
      <c r="L77" s="163"/>
      <c r="M77" s="163"/>
      <c r="N77" s="163"/>
      <c r="O77" s="163"/>
      <c r="P77" s="163"/>
      <c r="Q77" s="163"/>
      <c r="R77" s="163"/>
      <c r="S77" s="163"/>
      <c r="T77" s="163"/>
    </row>
    <row r="78" spans="3:20" ht="15.75" thickBot="1">
      <c r="C78" s="163"/>
      <c r="D78" s="163"/>
      <c r="E78" s="168"/>
      <c r="G78" s="417"/>
      <c r="H78" s="163"/>
      <c r="I78" s="163"/>
      <c r="J78" s="163"/>
      <c r="K78" s="163"/>
      <c r="L78" s="163"/>
      <c r="M78" s="163"/>
      <c r="N78" s="163"/>
      <c r="O78" s="163"/>
      <c r="P78" s="163"/>
      <c r="Q78" s="163"/>
      <c r="R78" s="163"/>
      <c r="S78" s="163"/>
      <c r="T78" s="163"/>
    </row>
    <row r="79" spans="3:20" ht="16.5" thickBot="1" thickTop="1">
      <c r="C79" s="734" t="str">
        <f>IF(SUM(D54:T70)&gt;0,"Total annual benefits",IF(SUM(D54:T70)&lt;0,"Total annual damages","Enter ha and/or km of watercourses"))</f>
        <v>Enter ha and/or km of watercourses</v>
      </c>
      <c r="D79" s="735"/>
      <c r="E79" s="736"/>
      <c r="F79" s="736"/>
      <c r="G79" s="736"/>
      <c r="H79" s="736"/>
      <c r="I79" s="736"/>
      <c r="J79" s="736"/>
      <c r="K79" s="736"/>
      <c r="L79" s="286"/>
      <c r="M79" s="286"/>
      <c r="N79" s="286"/>
      <c r="O79" s="737">
        <f>IF(C79="Enter ha and/or km of watercourses",0,E74*E72*SUM(D5:Q18)+T72*E76*E77*SUM(R19:T21))</f>
        <v>0</v>
      </c>
      <c r="P79" s="738"/>
      <c r="Q79" s="730" t="s">
        <v>811</v>
      </c>
      <c r="R79" s="731"/>
      <c r="S79" s="731"/>
      <c r="T79" s="732"/>
    </row>
    <row r="80" ht="15.75" thickTop="1"/>
  </sheetData>
  <sheetProtection sheet="1" objects="1" scenarios="1"/>
  <mergeCells count="9">
    <mergeCell ref="H1:J1"/>
    <mergeCell ref="Q79:T79"/>
    <mergeCell ref="I70:J70"/>
    <mergeCell ref="K70:L70"/>
    <mergeCell ref="I71:J71"/>
    <mergeCell ref="K71:L71"/>
    <mergeCell ref="C79:K79"/>
    <mergeCell ref="O79:P79"/>
    <mergeCell ref="P1:T1"/>
  </mergeCells>
  <dataValidations count="1">
    <dataValidation type="list" allowBlank="1" showInputMessage="1" showErrorMessage="1" sqref="Q79">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84"/>
  <headerFooter>
    <oddHeader>&amp;C&amp;A</oddHeader>
  </headerFooter>
  <drawing r:id="rId3"/>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3"/>
  <sheetViews>
    <sheetView workbookViewId="0" topLeftCell="A1"/>
  </sheetViews>
  <sheetFormatPr defaultColWidth="9.140625" defaultRowHeight="15"/>
  <cols>
    <col min="1" max="2" width="9.140625" style="166" customWidth="1"/>
    <col min="3" max="3" width="10.140625" style="166" customWidth="1"/>
    <col min="4" max="8" width="10.8515625" style="166" customWidth="1"/>
    <col min="9" max="16384" width="9.140625" style="166" customWidth="1"/>
  </cols>
  <sheetData>
    <row r="1" spans="1:20" ht="15">
      <c r="A1" s="164" t="s">
        <v>259</v>
      </c>
      <c r="B1" s="165"/>
      <c r="C1" s="165"/>
      <c r="D1" s="166" t="s">
        <v>260</v>
      </c>
      <c r="M1" s="176" t="s">
        <v>992</v>
      </c>
      <c r="N1" s="176">
        <v>13</v>
      </c>
      <c r="O1" s="176" t="s">
        <v>991</v>
      </c>
      <c r="P1" s="707"/>
      <c r="Q1" s="590"/>
      <c r="R1" s="590"/>
      <c r="S1" s="590"/>
      <c r="T1" s="590"/>
    </row>
    <row r="2" spans="4:5" ht="15">
      <c r="D2" s="166" t="s">
        <v>262</v>
      </c>
      <c r="E2" s="166" t="s">
        <v>272</v>
      </c>
    </row>
    <row r="3" spans="3:8" ht="15">
      <c r="C3" s="162"/>
      <c r="D3" s="162" t="s">
        <v>210</v>
      </c>
      <c r="E3" s="162" t="s">
        <v>211</v>
      </c>
      <c r="F3" s="162" t="s">
        <v>212</v>
      </c>
      <c r="G3" s="162" t="s">
        <v>213</v>
      </c>
      <c r="H3" s="162" t="s">
        <v>214</v>
      </c>
    </row>
    <row r="4" spans="3:10" ht="15">
      <c r="C4" s="162" t="s">
        <v>210</v>
      </c>
      <c r="D4" s="577"/>
      <c r="E4" s="577"/>
      <c r="F4" s="577"/>
      <c r="G4" s="577"/>
      <c r="H4" s="577"/>
      <c r="J4" s="166" t="s">
        <v>263</v>
      </c>
    </row>
    <row r="5" spans="2:10" ht="15" customHeight="1">
      <c r="B5" s="166" t="s">
        <v>261</v>
      </c>
      <c r="C5" s="162" t="s">
        <v>211</v>
      </c>
      <c r="D5" s="577"/>
      <c r="E5" s="577"/>
      <c r="F5" s="577"/>
      <c r="G5" s="577"/>
      <c r="H5" s="577"/>
      <c r="J5" s="166" t="s">
        <v>278</v>
      </c>
    </row>
    <row r="6" spans="2:10" ht="15">
      <c r="B6" s="166" t="s">
        <v>296</v>
      </c>
      <c r="C6" s="162" t="s">
        <v>212</v>
      </c>
      <c r="D6" s="577"/>
      <c r="E6" s="577"/>
      <c r="F6" s="577"/>
      <c r="G6" s="577"/>
      <c r="H6" s="577"/>
      <c r="J6" s="166" t="s">
        <v>279</v>
      </c>
    </row>
    <row r="7" spans="3:8" ht="15">
      <c r="C7" s="162" t="s">
        <v>213</v>
      </c>
      <c r="D7" s="577"/>
      <c r="E7" s="577"/>
      <c r="F7" s="577"/>
      <c r="G7" s="577"/>
      <c r="H7" s="577"/>
    </row>
    <row r="8" spans="3:8" ht="15">
      <c r="C8" s="162" t="s">
        <v>214</v>
      </c>
      <c r="D8" s="577"/>
      <c r="E8" s="577"/>
      <c r="F8" s="577"/>
      <c r="G8" s="577"/>
      <c r="H8" s="577"/>
    </row>
    <row r="9" spans="4:5" ht="15">
      <c r="D9" s="166" t="s">
        <v>262</v>
      </c>
      <c r="E9" s="166" t="s">
        <v>273</v>
      </c>
    </row>
    <row r="10" spans="3:8" ht="15">
      <c r="C10" s="162"/>
      <c r="D10" s="162" t="s">
        <v>210</v>
      </c>
      <c r="E10" s="162" t="s">
        <v>211</v>
      </c>
      <c r="F10" s="162" t="s">
        <v>212</v>
      </c>
      <c r="G10" s="162" t="s">
        <v>213</v>
      </c>
      <c r="H10" s="162" t="s">
        <v>214</v>
      </c>
    </row>
    <row r="11" spans="3:8" ht="15">
      <c r="C11" s="162" t="s">
        <v>210</v>
      </c>
      <c r="D11" s="288">
        <v>0</v>
      </c>
      <c r="E11" s="288">
        <f>0.3/27%</f>
        <v>1.111111111111111</v>
      </c>
      <c r="F11" s="288">
        <f>2.2/27%</f>
        <v>8.148148148148149</v>
      </c>
      <c r="G11" s="288">
        <f>2.2/27%</f>
        <v>8.148148148148149</v>
      </c>
      <c r="H11" s="288">
        <f>0.5/27%</f>
        <v>1.8518518518518516</v>
      </c>
    </row>
    <row r="12" spans="2:8" ht="15">
      <c r="B12" s="166" t="s">
        <v>261</v>
      </c>
      <c r="C12" s="162" t="s">
        <v>211</v>
      </c>
      <c r="D12" s="288">
        <f>-1/27%</f>
        <v>-3.7037037037037033</v>
      </c>
      <c r="E12" s="288">
        <v>0</v>
      </c>
      <c r="F12" s="288">
        <f>0.8/27%</f>
        <v>2.962962962962963</v>
      </c>
      <c r="G12" s="288">
        <f>0.8/27%</f>
        <v>2.962962962962963</v>
      </c>
      <c r="H12" s="288">
        <f>0.1/27%</f>
        <v>0.37037037037037035</v>
      </c>
    </row>
    <row r="13" spans="3:8" ht="15">
      <c r="C13" s="162" t="s">
        <v>212</v>
      </c>
      <c r="D13" s="288">
        <f>-1/27%</f>
        <v>-3.7037037037037033</v>
      </c>
      <c r="E13" s="288">
        <f>-0.9/27%</f>
        <v>-3.333333333333333</v>
      </c>
      <c r="F13" s="288">
        <v>0</v>
      </c>
      <c r="G13" s="288">
        <v>0</v>
      </c>
      <c r="H13" s="288">
        <f>-0.9/27%</f>
        <v>-3.333333333333333</v>
      </c>
    </row>
    <row r="14" spans="3:8" ht="15">
      <c r="C14" s="162" t="s">
        <v>213</v>
      </c>
      <c r="D14" s="288">
        <f>-2.2/27%</f>
        <v>-8.148148148148149</v>
      </c>
      <c r="E14" s="288">
        <f>-0.8/27%</f>
        <v>-2.962962962962963</v>
      </c>
      <c r="F14" s="288">
        <f>-0.1/27%</f>
        <v>-0.37037037037037035</v>
      </c>
      <c r="G14" s="288">
        <v>0</v>
      </c>
      <c r="H14" s="288">
        <f>-0.8/27%</f>
        <v>-2.962962962962963</v>
      </c>
    </row>
    <row r="15" spans="3:8" ht="15">
      <c r="C15" s="162" t="s">
        <v>214</v>
      </c>
      <c r="D15" s="288">
        <f>-0.6/27%</f>
        <v>-2.222222222222222</v>
      </c>
      <c r="E15" s="288">
        <f>-0.1/27%</f>
        <v>-0.37037037037037035</v>
      </c>
      <c r="F15" s="288">
        <f>0.1/27%</f>
        <v>0.37037037037037035</v>
      </c>
      <c r="G15" s="288">
        <f>0.8/27%</f>
        <v>2.962962962962963</v>
      </c>
      <c r="H15" s="288">
        <v>0</v>
      </c>
    </row>
    <row r="16" spans="3:8" ht="15">
      <c r="C16" s="163"/>
      <c r="D16" s="163"/>
      <c r="E16" s="163"/>
      <c r="F16" s="163"/>
      <c r="G16" s="163"/>
      <c r="H16" s="163"/>
    </row>
    <row r="17" spans="3:13" ht="18">
      <c r="C17" s="163" t="s">
        <v>298</v>
      </c>
      <c r="D17" s="163"/>
      <c r="E17" s="163"/>
      <c r="F17" s="555">
        <v>56</v>
      </c>
      <c r="G17" s="163"/>
      <c r="H17" s="163"/>
      <c r="J17" s="166" t="s">
        <v>264</v>
      </c>
      <c r="M17" s="273" t="s">
        <v>265</v>
      </c>
    </row>
    <row r="18" spans="3:8" ht="15">
      <c r="C18" s="163"/>
      <c r="D18" s="166" t="s">
        <v>262</v>
      </c>
      <c r="E18" s="163" t="s">
        <v>274</v>
      </c>
      <c r="F18" s="163"/>
      <c r="G18" s="163"/>
      <c r="H18" s="163"/>
    </row>
    <row r="19" spans="3:8" ht="15">
      <c r="C19" s="162"/>
      <c r="D19" s="162" t="s">
        <v>210</v>
      </c>
      <c r="E19" s="162" t="s">
        <v>211</v>
      </c>
      <c r="F19" s="162" t="s">
        <v>212</v>
      </c>
      <c r="G19" s="162" t="s">
        <v>213</v>
      </c>
      <c r="H19" s="162" t="s">
        <v>214</v>
      </c>
    </row>
    <row r="20" spans="3:8" ht="15">
      <c r="C20" s="162" t="s">
        <v>210</v>
      </c>
      <c r="D20" s="289">
        <f>D11*$F$17</f>
        <v>0</v>
      </c>
      <c r="E20" s="289">
        <f aca="true" t="shared" si="0" ref="E20:H20">E11*$F$17</f>
        <v>62.222222222222214</v>
      </c>
      <c r="F20" s="289">
        <f t="shared" si="0"/>
        <v>456.2962962962963</v>
      </c>
      <c r="G20" s="289">
        <f t="shared" si="0"/>
        <v>456.2962962962963</v>
      </c>
      <c r="H20" s="289">
        <f t="shared" si="0"/>
        <v>103.7037037037037</v>
      </c>
    </row>
    <row r="21" spans="2:8" ht="15">
      <c r="B21" s="166" t="s">
        <v>261</v>
      </c>
      <c r="C21" s="162" t="s">
        <v>211</v>
      </c>
      <c r="D21" s="289">
        <f aca="true" t="shared" si="1" ref="D21:H21">D12*$F$17</f>
        <v>-207.4074074074074</v>
      </c>
      <c r="E21" s="289">
        <f t="shared" si="1"/>
        <v>0</v>
      </c>
      <c r="F21" s="289">
        <f t="shared" si="1"/>
        <v>165.92592592592592</v>
      </c>
      <c r="G21" s="289">
        <f t="shared" si="1"/>
        <v>165.92592592592592</v>
      </c>
      <c r="H21" s="289">
        <f t="shared" si="1"/>
        <v>20.74074074074074</v>
      </c>
    </row>
    <row r="22" spans="3:8" ht="15">
      <c r="C22" s="162" t="s">
        <v>212</v>
      </c>
      <c r="D22" s="289">
        <f aca="true" t="shared" si="2" ref="D22:H22">D13*$F$17</f>
        <v>-207.4074074074074</v>
      </c>
      <c r="E22" s="289">
        <f t="shared" si="2"/>
        <v>-186.66666666666666</v>
      </c>
      <c r="F22" s="289">
        <f t="shared" si="2"/>
        <v>0</v>
      </c>
      <c r="G22" s="289">
        <f t="shared" si="2"/>
        <v>0</v>
      </c>
      <c r="H22" s="289">
        <f t="shared" si="2"/>
        <v>-186.66666666666666</v>
      </c>
    </row>
    <row r="23" spans="3:8" ht="15">
      <c r="C23" s="162" t="s">
        <v>213</v>
      </c>
      <c r="D23" s="289">
        <f aca="true" t="shared" si="3" ref="D23:H23">D14*$F$17</f>
        <v>-456.2962962962963</v>
      </c>
      <c r="E23" s="289">
        <f t="shared" si="3"/>
        <v>-165.92592592592592</v>
      </c>
      <c r="F23" s="289">
        <f t="shared" si="3"/>
        <v>-20.74074074074074</v>
      </c>
      <c r="G23" s="289">
        <f t="shared" si="3"/>
        <v>0</v>
      </c>
      <c r="H23" s="289">
        <f t="shared" si="3"/>
        <v>-165.92592592592592</v>
      </c>
    </row>
    <row r="24" spans="3:8" ht="15">
      <c r="C24" s="162" t="s">
        <v>214</v>
      </c>
      <c r="D24" s="289">
        <f aca="true" t="shared" si="4" ref="D24:H24">D15*$F$17</f>
        <v>-124.44444444444443</v>
      </c>
      <c r="E24" s="289">
        <f t="shared" si="4"/>
        <v>-20.74074074074074</v>
      </c>
      <c r="F24" s="289">
        <f t="shared" si="4"/>
        <v>20.74074074074074</v>
      </c>
      <c r="G24" s="289">
        <f t="shared" si="4"/>
        <v>165.92592592592592</v>
      </c>
      <c r="H24" s="289">
        <f t="shared" si="4"/>
        <v>0</v>
      </c>
    </row>
    <row r="25" spans="4:5" ht="15">
      <c r="D25" s="166" t="s">
        <v>262</v>
      </c>
      <c r="E25" s="166" t="s">
        <v>275</v>
      </c>
    </row>
    <row r="26" spans="3:8" ht="15">
      <c r="C26" s="162"/>
      <c r="D26" s="162" t="s">
        <v>210</v>
      </c>
      <c r="E26" s="162" t="s">
        <v>211</v>
      </c>
      <c r="F26" s="162" t="s">
        <v>212</v>
      </c>
      <c r="G26" s="162" t="s">
        <v>213</v>
      </c>
      <c r="H26" s="162" t="s">
        <v>214</v>
      </c>
    </row>
    <row r="27" spans="3:8" ht="15">
      <c r="C27" s="162" t="s">
        <v>210</v>
      </c>
      <c r="D27" s="289">
        <f aca="true" t="shared" si="5" ref="D27:H27">D20*D4</f>
        <v>0</v>
      </c>
      <c r="E27" s="289">
        <f t="shared" si="5"/>
        <v>0</v>
      </c>
      <c r="F27" s="289">
        <f t="shared" si="5"/>
        <v>0</v>
      </c>
      <c r="G27" s="289">
        <f t="shared" si="5"/>
        <v>0</v>
      </c>
      <c r="H27" s="289">
        <f t="shared" si="5"/>
        <v>0</v>
      </c>
    </row>
    <row r="28" spans="2:8" ht="15">
      <c r="B28" s="166" t="s">
        <v>261</v>
      </c>
      <c r="C28" s="162" t="s">
        <v>211</v>
      </c>
      <c r="D28" s="289">
        <f aca="true" t="shared" si="6" ref="D28:H28">D21*D5</f>
        <v>0</v>
      </c>
      <c r="E28" s="289">
        <f t="shared" si="6"/>
        <v>0</v>
      </c>
      <c r="F28" s="289">
        <f t="shared" si="6"/>
        <v>0</v>
      </c>
      <c r="G28" s="289">
        <f t="shared" si="6"/>
        <v>0</v>
      </c>
      <c r="H28" s="289">
        <f t="shared" si="6"/>
        <v>0</v>
      </c>
    </row>
    <row r="29" spans="3:8" ht="15">
      <c r="C29" s="162" t="s">
        <v>212</v>
      </c>
      <c r="D29" s="289">
        <f aca="true" t="shared" si="7" ref="D29:H29">D22*D6</f>
        <v>0</v>
      </c>
      <c r="E29" s="289">
        <f t="shared" si="7"/>
        <v>0</v>
      </c>
      <c r="F29" s="289">
        <f t="shared" si="7"/>
        <v>0</v>
      </c>
      <c r="G29" s="289">
        <f t="shared" si="7"/>
        <v>0</v>
      </c>
      <c r="H29" s="289">
        <f t="shared" si="7"/>
        <v>0</v>
      </c>
    </row>
    <row r="30" spans="3:8" ht="15">
      <c r="C30" s="162" t="s">
        <v>213</v>
      </c>
      <c r="D30" s="289">
        <f aca="true" t="shared" si="8" ref="D30:H30">D23*D7</f>
        <v>0</v>
      </c>
      <c r="E30" s="289">
        <f t="shared" si="8"/>
        <v>0</v>
      </c>
      <c r="F30" s="289">
        <f t="shared" si="8"/>
        <v>0</v>
      </c>
      <c r="G30" s="289">
        <f t="shared" si="8"/>
        <v>0</v>
      </c>
      <c r="H30" s="289">
        <f t="shared" si="8"/>
        <v>0</v>
      </c>
    </row>
    <row r="31" spans="3:8" ht="15">
      <c r="C31" s="162" t="s">
        <v>214</v>
      </c>
      <c r="D31" s="289">
        <f aca="true" t="shared" si="9" ref="D31:H31">D24*D8</f>
        <v>0</v>
      </c>
      <c r="E31" s="289">
        <f t="shared" si="9"/>
        <v>0</v>
      </c>
      <c r="F31" s="289">
        <f t="shared" si="9"/>
        <v>0</v>
      </c>
      <c r="G31" s="289">
        <f t="shared" si="9"/>
        <v>0</v>
      </c>
      <c r="H31" s="289">
        <f t="shared" si="9"/>
        <v>0</v>
      </c>
    </row>
    <row r="32" ht="15.75" thickBot="1"/>
    <row r="33" spans="3:11" ht="16.5" thickBot="1" thickTop="1">
      <c r="C33" s="734" t="str">
        <f>IF(SUM(D27:H31)&gt;0,"Total annual benefits",IF(SUM(D27:H31)&lt;0,"Total annual damages","Enter ha"))</f>
        <v>Enter ha</v>
      </c>
      <c r="D33" s="735"/>
      <c r="E33" s="286"/>
      <c r="F33" s="287">
        <f>SUM(D27:H31)</f>
        <v>0</v>
      </c>
      <c r="G33" s="366" t="s">
        <v>804</v>
      </c>
      <c r="H33" s="593" t="s">
        <v>811</v>
      </c>
      <c r="I33" s="594"/>
      <c r="J33" s="594"/>
      <c r="K33" s="595"/>
    </row>
    <row r="34" ht="15.75" thickTop="1"/>
  </sheetData>
  <sheetProtection sheet="1" objects="1" scenarios="1"/>
  <mergeCells count="3">
    <mergeCell ref="C33:D33"/>
    <mergeCell ref="H33:K33"/>
    <mergeCell ref="P1:T1"/>
  </mergeCells>
  <dataValidations count="1">
    <dataValidation type="list" allowBlank="1" showInputMessage="1" showErrorMessage="1" sqref="H33:K33">
      <formula1>"High:  default values used throughout, Moderate:  some specific data included, Low:  specific data used throughout"</formula1>
    </dataValidation>
  </dataValidations>
  <hyperlinks>
    <hyperlink ref="M17" r:id="rId1" display="http://www.decc.gov.uk/assets/decc/11/cutting-emissions/carbon-valuation/3136-guide-carbon-valuation-methodology.pdf"/>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headerFooter>
    <oddHeader>&amp;C&amp;A</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Y156"/>
  <sheetViews>
    <sheetView zoomScale="85" zoomScaleNormal="85" workbookViewId="0" topLeftCell="A1"/>
  </sheetViews>
  <sheetFormatPr defaultColWidth="9.140625" defaultRowHeight="15"/>
  <cols>
    <col min="1" max="1" width="9.140625" style="161" customWidth="1"/>
    <col min="2" max="2" width="11.140625" style="161" customWidth="1"/>
    <col min="3" max="3" width="15.57421875" style="161" customWidth="1"/>
    <col min="4" max="4" width="16.57421875" style="161" customWidth="1"/>
    <col min="5" max="14" width="15.57421875" style="161" customWidth="1"/>
    <col min="15" max="16384" width="9.140625" style="161" customWidth="1"/>
  </cols>
  <sheetData>
    <row r="1" spans="1:16" ht="15">
      <c r="A1" s="158" t="s">
        <v>257</v>
      </c>
      <c r="B1" s="156"/>
      <c r="C1" s="156"/>
      <c r="E1" s="157"/>
      <c r="F1" s="157" t="s">
        <v>260</v>
      </c>
      <c r="I1" s="215" t="s">
        <v>992</v>
      </c>
      <c r="J1" s="215">
        <v>14</v>
      </c>
      <c r="K1" s="215" t="s">
        <v>991</v>
      </c>
      <c r="L1" s="724"/>
      <c r="M1" s="724"/>
      <c r="N1" s="724"/>
      <c r="O1" s="724"/>
      <c r="P1" s="724"/>
    </row>
    <row r="3" spans="3:14" ht="15">
      <c r="C3" s="160" t="s">
        <v>468</v>
      </c>
      <c r="D3" s="246" t="s">
        <v>469</v>
      </c>
      <c r="E3" s="243"/>
      <c r="F3" s="243"/>
      <c r="G3" s="243"/>
      <c r="H3" s="243"/>
      <c r="I3" s="243"/>
      <c r="J3" s="243"/>
      <c r="K3" s="243"/>
      <c r="L3" s="243"/>
      <c r="M3" s="475"/>
      <c r="N3" s="475"/>
    </row>
    <row r="4" spans="3:12" ht="45">
      <c r="C4" s="160"/>
      <c r="D4" s="245" t="s">
        <v>454</v>
      </c>
      <c r="E4" s="245" t="s">
        <v>455</v>
      </c>
      <c r="F4" s="245" t="s">
        <v>456</v>
      </c>
      <c r="G4" s="245" t="s">
        <v>457</v>
      </c>
      <c r="H4" s="245" t="s">
        <v>458</v>
      </c>
      <c r="I4" s="245" t="s">
        <v>459</v>
      </c>
      <c r="J4" s="245" t="s">
        <v>460</v>
      </c>
      <c r="K4" s="245" t="s">
        <v>92</v>
      </c>
      <c r="L4" s="245" t="s">
        <v>242</v>
      </c>
    </row>
    <row r="5" spans="3:12" ht="15">
      <c r="C5" s="160" t="s">
        <v>461</v>
      </c>
      <c r="D5" s="244">
        <v>6.9646464646464645</v>
      </c>
      <c r="E5" s="244">
        <v>0.009560229445506692</v>
      </c>
      <c r="F5" s="244">
        <v>0.017605633802816902</v>
      </c>
      <c r="G5" s="244">
        <v>72.1864406779661</v>
      </c>
      <c r="H5" s="244">
        <v>0.9395509499136442</v>
      </c>
      <c r="I5" s="244">
        <v>0.45</v>
      </c>
      <c r="J5" s="244">
        <v>0.017857142857142856</v>
      </c>
      <c r="K5" s="244">
        <v>0.07692307692307693</v>
      </c>
      <c r="L5" s="244">
        <v>3.510722347629797</v>
      </c>
    </row>
    <row r="6" spans="3:12" ht="15">
      <c r="C6" s="160" t="s">
        <v>462</v>
      </c>
      <c r="D6" s="244">
        <v>13.487654320987655</v>
      </c>
      <c r="E6" s="244">
        <v>0.018036072144288578</v>
      </c>
      <c r="F6" s="244">
        <v>0.018050541516245487</v>
      </c>
      <c r="G6" s="244">
        <v>71.64444444444445</v>
      </c>
      <c r="H6" s="244">
        <v>0.6409335727109515</v>
      </c>
      <c r="I6" s="244">
        <v>5.984375</v>
      </c>
      <c r="J6" s="244">
        <v>0.021164021164021163</v>
      </c>
      <c r="K6" s="244">
        <v>0.2631578947368421</v>
      </c>
      <c r="L6" s="244">
        <v>2.6750324534833405</v>
      </c>
    </row>
    <row r="7" spans="3:12" ht="15">
      <c r="C7" s="160" t="s">
        <v>463</v>
      </c>
      <c r="D7" s="244">
        <v>11.209302325581396</v>
      </c>
      <c r="E7" s="244">
        <v>0.020289855072463767</v>
      </c>
      <c r="F7" s="244">
        <v>0.011142061281337047</v>
      </c>
      <c r="G7" s="244">
        <v>74.45833333333333</v>
      </c>
      <c r="H7" s="244">
        <v>1.0779569892473118</v>
      </c>
      <c r="I7" s="244">
        <v>0.6666666666666666</v>
      </c>
      <c r="J7" s="244">
        <v>0.017341040462427744</v>
      </c>
      <c r="K7" s="244">
        <v>0.5675675675675675</v>
      </c>
      <c r="L7" s="244">
        <v>1.7053152039555006</v>
      </c>
    </row>
    <row r="8" spans="3:12" ht="15">
      <c r="C8" s="160" t="s">
        <v>464</v>
      </c>
      <c r="D8" s="244">
        <v>8.252</v>
      </c>
      <c r="E8" s="244">
        <v>0.04786652078774617</v>
      </c>
      <c r="F8" s="244">
        <v>0.01015228426395939</v>
      </c>
      <c r="G8" s="244">
        <v>223.55</v>
      </c>
      <c r="H8" s="244">
        <v>0.6341463414634146</v>
      </c>
      <c r="I8" s="244">
        <v>2.0454545454545454</v>
      </c>
      <c r="J8" s="244">
        <v>0.043478260869565216</v>
      </c>
      <c r="K8" s="244">
        <v>0.046511627906976744</v>
      </c>
      <c r="L8" s="244">
        <v>1.3790557606372644</v>
      </c>
    </row>
    <row r="9" spans="3:12" ht="15">
      <c r="C9" s="160" t="s">
        <v>465</v>
      </c>
      <c r="D9" s="244">
        <v>0.044715447154471545</v>
      </c>
      <c r="E9" s="244">
        <v>0.0112</v>
      </c>
      <c r="F9" s="244">
        <v>3.711246200607903</v>
      </c>
      <c r="G9" s="244">
        <v>17.842105263157894</v>
      </c>
      <c r="H9" s="244">
        <v>0.4429223744292237</v>
      </c>
      <c r="I9" s="244">
        <v>0.11267605633802817</v>
      </c>
      <c r="J9" s="244">
        <v>0.0364963503649635</v>
      </c>
      <c r="K9" s="244">
        <v>155.83783783783784</v>
      </c>
      <c r="L9" s="244">
        <v>0</v>
      </c>
    </row>
    <row r="10" spans="3:12" ht="15">
      <c r="C10" s="160" t="s">
        <v>466</v>
      </c>
      <c r="D10" s="244">
        <v>7.134408602150538</v>
      </c>
      <c r="E10" s="244">
        <v>0.020293122886133032</v>
      </c>
      <c r="F10" s="244">
        <v>0.09180327868852459</v>
      </c>
      <c r="G10" s="244">
        <v>160.25</v>
      </c>
      <c r="H10" s="244">
        <v>9.61111111111111</v>
      </c>
      <c r="I10" s="244">
        <v>8.446043165467627</v>
      </c>
      <c r="J10" s="244">
        <v>0.02564102564102564</v>
      </c>
      <c r="K10" s="244">
        <v>0.5517241379310345</v>
      </c>
      <c r="L10" s="244">
        <v>4.217741935483871</v>
      </c>
    </row>
    <row r="11" spans="3:12" ht="15">
      <c r="C11" s="160" t="s">
        <v>467</v>
      </c>
      <c r="D11" s="244">
        <v>5.113636363636363</v>
      </c>
      <c r="E11" s="244">
        <v>0.006369426751592357</v>
      </c>
      <c r="F11" s="244">
        <v>0.017191977077363897</v>
      </c>
      <c r="G11" s="244">
        <v>16.660714285714285</v>
      </c>
      <c r="H11" s="244">
        <v>0.379073756432247</v>
      </c>
      <c r="I11" s="244">
        <v>4.21170266009852</v>
      </c>
      <c r="J11" s="244">
        <v>0.0078125</v>
      </c>
      <c r="K11" s="244">
        <v>0.26666666666666666</v>
      </c>
      <c r="L11" s="244">
        <v>1.8123421147600145</v>
      </c>
    </row>
    <row r="13" spans="3:4" ht="15">
      <c r="C13" s="160" t="s">
        <v>453</v>
      </c>
      <c r="D13" s="579" t="s">
        <v>464</v>
      </c>
    </row>
    <row r="15" spans="3:12" ht="15">
      <c r="C15" s="232" t="s">
        <v>470</v>
      </c>
      <c r="D15" s="160"/>
      <c r="E15" s="160"/>
      <c r="F15" s="160"/>
      <c r="G15" s="160"/>
      <c r="H15" s="160"/>
      <c r="I15" s="160"/>
      <c r="J15" s="160"/>
      <c r="K15" s="160"/>
      <c r="L15" s="160"/>
    </row>
    <row r="16" spans="3:12" ht="45">
      <c r="C16" s="160"/>
      <c r="D16" s="247" t="s">
        <v>454</v>
      </c>
      <c r="E16" s="247" t="s">
        <v>455</v>
      </c>
      <c r="F16" s="247" t="s">
        <v>456</v>
      </c>
      <c r="G16" s="247" t="s">
        <v>457</v>
      </c>
      <c r="H16" s="247" t="s">
        <v>458</v>
      </c>
      <c r="I16" s="247" t="s">
        <v>459</v>
      </c>
      <c r="J16" s="247" t="s">
        <v>460</v>
      </c>
      <c r="K16" s="247" t="s">
        <v>92</v>
      </c>
      <c r="L16" s="247" t="s">
        <v>242</v>
      </c>
    </row>
    <row r="17" spans="3:15" ht="15">
      <c r="C17" s="160" t="s">
        <v>471</v>
      </c>
      <c r="D17" s="580"/>
      <c r="E17" s="580"/>
      <c r="F17" s="580"/>
      <c r="G17" s="580"/>
      <c r="H17" s="580"/>
      <c r="I17" s="580"/>
      <c r="J17" s="580"/>
      <c r="K17" s="580"/>
      <c r="L17" s="243">
        <f>SUM(D17:K17)</f>
        <v>0</v>
      </c>
      <c r="O17" s="161" t="s">
        <v>473</v>
      </c>
    </row>
    <row r="18" spans="3:15" ht="30">
      <c r="C18" s="229" t="s">
        <v>472</v>
      </c>
      <c r="D18" s="581">
        <f>D17*VLOOKUP($D$13,$C$5:$L$11,2,FALSE)</f>
        <v>0</v>
      </c>
      <c r="E18" s="581">
        <f>E17*VLOOKUP($D$13,$C$5:$L$11,3,FALSE)</f>
        <v>0</v>
      </c>
      <c r="F18" s="581">
        <f>F17*VLOOKUP($D$13,$C$5:$L$11,4,FALSE)</f>
        <v>0</v>
      </c>
      <c r="G18" s="581">
        <f>G17*VLOOKUP($D$13,$C$5:$L$11,5,FALSE)</f>
        <v>0</v>
      </c>
      <c r="H18" s="581">
        <f>H17*VLOOKUP($D$13,$C$5:$L$11,6,FALSE)</f>
        <v>0</v>
      </c>
      <c r="I18" s="581">
        <f>I17*VLOOKUP($D$13,$C$5:$L$11,7,FALSE)</f>
        <v>0</v>
      </c>
      <c r="J18" s="581">
        <f>J17*VLOOKUP($D$13,$C$5:$L$11,8,FALSE)</f>
        <v>0</v>
      </c>
      <c r="K18" s="581">
        <f>K17*VLOOKUP($D$13,$C$5:$L$11,9,FALSE)</f>
        <v>0</v>
      </c>
      <c r="L18" s="243">
        <f>SUM(D18:K18)</f>
        <v>0</v>
      </c>
      <c r="O18" s="161" t="s">
        <v>600</v>
      </c>
    </row>
    <row r="20" spans="3:12" ht="15">
      <c r="C20" s="232" t="s">
        <v>474</v>
      </c>
      <c r="D20" s="160"/>
      <c r="E20" s="160"/>
      <c r="F20" s="160"/>
      <c r="G20" s="160"/>
      <c r="H20" s="160"/>
      <c r="I20" s="160"/>
      <c r="J20" s="160"/>
      <c r="K20" s="160"/>
      <c r="L20" s="160"/>
    </row>
    <row r="21" spans="3:12" ht="45">
      <c r="C21" s="160"/>
      <c r="D21" s="247" t="s">
        <v>454</v>
      </c>
      <c r="E21" s="247" t="s">
        <v>455</v>
      </c>
      <c r="F21" s="247" t="s">
        <v>456</v>
      </c>
      <c r="G21" s="247" t="s">
        <v>457</v>
      </c>
      <c r="H21" s="247" t="s">
        <v>458</v>
      </c>
      <c r="I21" s="247" t="s">
        <v>459</v>
      </c>
      <c r="J21" s="247" t="s">
        <v>460</v>
      </c>
      <c r="K21" s="247" t="s">
        <v>92</v>
      </c>
      <c r="L21" s="247" t="s">
        <v>479</v>
      </c>
    </row>
    <row r="22" spans="3:12" ht="15">
      <c r="C22" s="160" t="s">
        <v>476</v>
      </c>
      <c r="D22" s="582">
        <v>1120</v>
      </c>
      <c r="E22" s="582">
        <v>3840</v>
      </c>
      <c r="F22" s="582">
        <v>1040</v>
      </c>
      <c r="G22" s="582">
        <v>1040</v>
      </c>
      <c r="H22" s="582">
        <v>1040</v>
      </c>
      <c r="I22" s="582">
        <v>1040</v>
      </c>
      <c r="J22" s="582">
        <v>1040</v>
      </c>
      <c r="K22" s="582">
        <v>1040</v>
      </c>
      <c r="L22" s="582">
        <f>K22</f>
        <v>1040</v>
      </c>
    </row>
    <row r="23" spans="3:12" ht="60">
      <c r="C23" s="160"/>
      <c r="D23" s="229" t="s">
        <v>475</v>
      </c>
      <c r="E23" s="229" t="s">
        <v>477</v>
      </c>
      <c r="F23" s="229" t="s">
        <v>478</v>
      </c>
      <c r="G23" s="229" t="s">
        <v>478</v>
      </c>
      <c r="H23" s="229" t="s">
        <v>478</v>
      </c>
      <c r="I23" s="229" t="s">
        <v>478</v>
      </c>
      <c r="J23" s="229" t="s">
        <v>478</v>
      </c>
      <c r="K23" s="229" t="s">
        <v>478</v>
      </c>
      <c r="L23" s="229"/>
    </row>
    <row r="25" spans="3:6" ht="15">
      <c r="C25" s="226"/>
      <c r="E25" s="161" t="s">
        <v>262</v>
      </c>
      <c r="F25" s="161" t="str">
        <f>"Number of "&amp;A26&amp;" whose availability changes due to changes in water levels"</f>
        <v>Number of PUBLIC WATER SUPPLY ABSTRACTIONS whose availability changes due to changes in water levels</v>
      </c>
    </row>
    <row r="26" spans="1:13" ht="30" customHeight="1">
      <c r="A26" s="722" t="s">
        <v>514</v>
      </c>
      <c r="B26" s="592"/>
      <c r="C26" s="592"/>
      <c r="D26" s="209">
        <v>1</v>
      </c>
      <c r="E26" s="209">
        <v>0.5</v>
      </c>
      <c r="F26" s="209">
        <v>0.2</v>
      </c>
      <c r="G26" s="209">
        <v>0.1</v>
      </c>
      <c r="H26" s="209">
        <v>0.04</v>
      </c>
      <c r="I26" s="209">
        <v>0.02</v>
      </c>
      <c r="J26" s="411">
        <v>0.0133</v>
      </c>
      <c r="K26" s="209">
        <v>0.01</v>
      </c>
      <c r="L26" s="210">
        <v>0.005</v>
      </c>
      <c r="M26" s="210">
        <v>0.001</v>
      </c>
    </row>
    <row r="27" spans="3:15" ht="15">
      <c r="C27" s="209">
        <v>1</v>
      </c>
      <c r="D27" s="550"/>
      <c r="E27" s="550"/>
      <c r="F27" s="550"/>
      <c r="G27" s="550"/>
      <c r="H27" s="550"/>
      <c r="I27" s="550"/>
      <c r="J27" s="550"/>
      <c r="K27" s="550"/>
      <c r="L27" s="550"/>
      <c r="M27" s="550"/>
      <c r="O27" s="161" t="s">
        <v>495</v>
      </c>
    </row>
    <row r="28" spans="3:13" ht="15">
      <c r="C28" s="209">
        <v>0.5</v>
      </c>
      <c r="D28" s="550"/>
      <c r="E28" s="550"/>
      <c r="F28" s="550"/>
      <c r="G28" s="550"/>
      <c r="H28" s="550"/>
      <c r="I28" s="550"/>
      <c r="J28" s="550"/>
      <c r="K28" s="550"/>
      <c r="L28" s="550"/>
      <c r="M28" s="550"/>
    </row>
    <row r="29" spans="3:15" ht="15">
      <c r="C29" s="209">
        <v>0.2</v>
      </c>
      <c r="D29" s="550"/>
      <c r="E29" s="550"/>
      <c r="F29" s="550"/>
      <c r="G29" s="550"/>
      <c r="H29" s="550"/>
      <c r="I29" s="550"/>
      <c r="J29" s="550"/>
      <c r="K29" s="550"/>
      <c r="L29" s="550"/>
      <c r="M29" s="550"/>
      <c r="O29" s="161" t="s">
        <v>623</v>
      </c>
    </row>
    <row r="30" spans="3:15" ht="15">
      <c r="C30" s="209">
        <v>0.1</v>
      </c>
      <c r="D30" s="550"/>
      <c r="E30" s="550"/>
      <c r="F30" s="550"/>
      <c r="G30" s="550"/>
      <c r="H30" s="550"/>
      <c r="I30" s="550"/>
      <c r="J30" s="550"/>
      <c r="K30" s="550"/>
      <c r="L30" s="550"/>
      <c r="M30" s="550"/>
      <c r="O30" s="161" t="s">
        <v>480</v>
      </c>
    </row>
    <row r="31" spans="3:15" ht="15">
      <c r="C31" s="209">
        <v>0.04</v>
      </c>
      <c r="D31" s="550"/>
      <c r="E31" s="550"/>
      <c r="F31" s="550"/>
      <c r="G31" s="550"/>
      <c r="H31" s="550"/>
      <c r="I31" s="550"/>
      <c r="J31" s="550"/>
      <c r="K31" s="550"/>
      <c r="L31" s="550"/>
      <c r="M31" s="550"/>
      <c r="O31" s="161" t="s">
        <v>620</v>
      </c>
    </row>
    <row r="32" spans="3:13" ht="15">
      <c r="C32" s="209">
        <v>0.02</v>
      </c>
      <c r="D32" s="550"/>
      <c r="E32" s="550"/>
      <c r="F32" s="550"/>
      <c r="G32" s="550"/>
      <c r="H32" s="550"/>
      <c r="I32" s="550"/>
      <c r="J32" s="550"/>
      <c r="K32" s="550"/>
      <c r="L32" s="550"/>
      <c r="M32" s="550"/>
    </row>
    <row r="33" spans="3:13" ht="15">
      <c r="C33" s="411">
        <v>0.0133</v>
      </c>
      <c r="D33" s="550"/>
      <c r="E33" s="550"/>
      <c r="F33" s="550"/>
      <c r="G33" s="550"/>
      <c r="H33" s="550"/>
      <c r="I33" s="550"/>
      <c r="J33" s="550"/>
      <c r="K33" s="550"/>
      <c r="L33" s="550"/>
      <c r="M33" s="550"/>
    </row>
    <row r="34" spans="3:13" ht="15">
      <c r="C34" s="209">
        <v>0.01</v>
      </c>
      <c r="D34" s="550"/>
      <c r="E34" s="550"/>
      <c r="F34" s="550"/>
      <c r="G34" s="550"/>
      <c r="H34" s="550"/>
      <c r="I34" s="550"/>
      <c r="J34" s="550"/>
      <c r="K34" s="550"/>
      <c r="L34" s="550"/>
      <c r="M34" s="550"/>
    </row>
    <row r="35" spans="3:13" ht="15">
      <c r="C35" s="210">
        <v>0.005</v>
      </c>
      <c r="D35" s="550"/>
      <c r="E35" s="550"/>
      <c r="F35" s="550"/>
      <c r="G35" s="550"/>
      <c r="H35" s="550"/>
      <c r="I35" s="550"/>
      <c r="J35" s="550"/>
      <c r="K35" s="550"/>
      <c r="L35" s="550"/>
      <c r="M35" s="550"/>
    </row>
    <row r="36" spans="3:13" ht="15">
      <c r="C36" s="210">
        <v>0.001</v>
      </c>
      <c r="D36" s="550"/>
      <c r="E36" s="550"/>
      <c r="F36" s="550"/>
      <c r="G36" s="550"/>
      <c r="H36" s="550"/>
      <c r="I36" s="550"/>
      <c r="J36" s="550"/>
      <c r="K36" s="550"/>
      <c r="L36" s="550"/>
      <c r="M36" s="550"/>
    </row>
    <row r="38" spans="3:6" ht="15">
      <c r="C38" s="226"/>
      <c r="E38" s="161" t="s">
        <v>262</v>
      </c>
      <c r="F38" s="161" t="str">
        <f>"Number of "&amp;A39&amp;" whose availability changes due to changes in water levels"</f>
        <v>Number of SPRAY IRRIGATION whose availability changes due to changes in water levels</v>
      </c>
    </row>
    <row r="39" spans="1:13" ht="15">
      <c r="A39" s="722" t="s">
        <v>515</v>
      </c>
      <c r="B39" s="592"/>
      <c r="C39" s="592"/>
      <c r="D39" s="209">
        <v>1</v>
      </c>
      <c r="E39" s="209">
        <v>0.5</v>
      </c>
      <c r="F39" s="209">
        <v>0.2</v>
      </c>
      <c r="G39" s="209">
        <v>0.1</v>
      </c>
      <c r="H39" s="209">
        <v>0.04</v>
      </c>
      <c r="I39" s="209">
        <v>0.02</v>
      </c>
      <c r="J39" s="411">
        <v>0.0133</v>
      </c>
      <c r="K39" s="209">
        <v>0.01</v>
      </c>
      <c r="L39" s="210">
        <v>0.005</v>
      </c>
      <c r="M39" s="210">
        <v>0.001</v>
      </c>
    </row>
    <row r="40" spans="3:15" ht="15">
      <c r="C40" s="209">
        <v>1</v>
      </c>
      <c r="D40" s="550"/>
      <c r="E40" s="550"/>
      <c r="F40" s="550"/>
      <c r="G40" s="550"/>
      <c r="H40" s="550"/>
      <c r="I40" s="550"/>
      <c r="J40" s="550"/>
      <c r="K40" s="550"/>
      <c r="L40" s="550"/>
      <c r="M40" s="550"/>
      <c r="O40" s="161" t="s">
        <v>495</v>
      </c>
    </row>
    <row r="41" spans="3:13" ht="15">
      <c r="C41" s="209">
        <v>0.5</v>
      </c>
      <c r="D41" s="550"/>
      <c r="E41" s="550"/>
      <c r="F41" s="550"/>
      <c r="G41" s="550"/>
      <c r="H41" s="550"/>
      <c r="I41" s="550"/>
      <c r="J41" s="550"/>
      <c r="K41" s="550"/>
      <c r="L41" s="550"/>
      <c r="M41" s="550"/>
    </row>
    <row r="42" spans="3:15" ht="15">
      <c r="C42" s="209">
        <v>0.2</v>
      </c>
      <c r="D42" s="550"/>
      <c r="E42" s="550"/>
      <c r="F42" s="550"/>
      <c r="G42" s="550"/>
      <c r="H42" s="550"/>
      <c r="I42" s="550"/>
      <c r="J42" s="550"/>
      <c r="K42" s="550"/>
      <c r="L42" s="550"/>
      <c r="M42" s="550"/>
      <c r="O42" s="161" t="s">
        <v>960</v>
      </c>
    </row>
    <row r="43" spans="3:15" ht="15">
      <c r="C43" s="209">
        <v>0.1</v>
      </c>
      <c r="D43" s="550"/>
      <c r="E43" s="550"/>
      <c r="F43" s="550"/>
      <c r="G43" s="550"/>
      <c r="H43" s="550"/>
      <c r="I43" s="550"/>
      <c r="J43" s="550"/>
      <c r="K43" s="550"/>
      <c r="L43" s="550"/>
      <c r="M43" s="550"/>
      <c r="O43" s="161" t="s">
        <v>480</v>
      </c>
    </row>
    <row r="44" spans="3:15" ht="15">
      <c r="C44" s="209">
        <v>0.04</v>
      </c>
      <c r="D44" s="550"/>
      <c r="E44" s="550"/>
      <c r="F44" s="550"/>
      <c r="G44" s="550"/>
      <c r="H44" s="550"/>
      <c r="I44" s="550"/>
      <c r="J44" s="550"/>
      <c r="K44" s="550"/>
      <c r="L44" s="550"/>
      <c r="M44" s="550"/>
      <c r="O44" s="161" t="s">
        <v>961</v>
      </c>
    </row>
    <row r="45" spans="3:13" ht="15">
      <c r="C45" s="209">
        <v>0.02</v>
      </c>
      <c r="D45" s="550"/>
      <c r="E45" s="550"/>
      <c r="F45" s="550"/>
      <c r="G45" s="550"/>
      <c r="H45" s="550"/>
      <c r="I45" s="550"/>
      <c r="J45" s="550"/>
      <c r="K45" s="550"/>
      <c r="L45" s="550"/>
      <c r="M45" s="550"/>
    </row>
    <row r="46" spans="3:13" ht="15">
      <c r="C46" s="411">
        <v>0.0133</v>
      </c>
      <c r="D46" s="550"/>
      <c r="E46" s="550"/>
      <c r="F46" s="550"/>
      <c r="G46" s="550"/>
      <c r="H46" s="550"/>
      <c r="I46" s="550"/>
      <c r="J46" s="550"/>
      <c r="K46" s="550"/>
      <c r="L46" s="550"/>
      <c r="M46" s="550"/>
    </row>
    <row r="47" spans="3:13" ht="15">
      <c r="C47" s="209">
        <v>0.01</v>
      </c>
      <c r="D47" s="550"/>
      <c r="E47" s="550"/>
      <c r="F47" s="550"/>
      <c r="G47" s="550"/>
      <c r="H47" s="550"/>
      <c r="I47" s="550"/>
      <c r="J47" s="550"/>
      <c r="K47" s="550"/>
      <c r="L47" s="550"/>
      <c r="M47" s="550"/>
    </row>
    <row r="48" spans="3:13" ht="15">
      <c r="C48" s="210">
        <v>0.005</v>
      </c>
      <c r="D48" s="550"/>
      <c r="E48" s="550"/>
      <c r="F48" s="550"/>
      <c r="G48" s="550"/>
      <c r="H48" s="550"/>
      <c r="I48" s="550"/>
      <c r="J48" s="550"/>
      <c r="K48" s="550"/>
      <c r="L48" s="550"/>
      <c r="M48" s="550"/>
    </row>
    <row r="49" spans="3:13" ht="15">
      <c r="C49" s="210">
        <v>0.001</v>
      </c>
      <c r="D49" s="550"/>
      <c r="E49" s="550"/>
      <c r="F49" s="550"/>
      <c r="G49" s="550"/>
      <c r="H49" s="550"/>
      <c r="I49" s="550"/>
      <c r="J49" s="550"/>
      <c r="K49" s="550"/>
      <c r="L49" s="550"/>
      <c r="M49" s="550"/>
    </row>
    <row r="51" spans="3:6" ht="15">
      <c r="C51" s="226"/>
      <c r="E51" s="161" t="s">
        <v>262</v>
      </c>
      <c r="F51" s="161" t="str">
        <f>"Number of "&amp;A52&amp;" whose availability changes due to changes in water levels"</f>
        <v>Number of ALL OTHER LICENCES whose availability changes due to changes in water levels</v>
      </c>
    </row>
    <row r="52" spans="1:13" ht="15">
      <c r="A52" s="722" t="s">
        <v>516</v>
      </c>
      <c r="B52" s="592"/>
      <c r="C52" s="592"/>
      <c r="D52" s="209">
        <v>1</v>
      </c>
      <c r="E52" s="209">
        <v>0.5</v>
      </c>
      <c r="F52" s="209">
        <v>0.2</v>
      </c>
      <c r="G52" s="209">
        <v>0.1</v>
      </c>
      <c r="H52" s="209">
        <v>0.04</v>
      </c>
      <c r="I52" s="209">
        <v>0.02</v>
      </c>
      <c r="J52" s="411">
        <v>0.0133</v>
      </c>
      <c r="K52" s="209">
        <v>0.01</v>
      </c>
      <c r="L52" s="210">
        <v>0.005</v>
      </c>
      <c r="M52" s="210">
        <v>0.001</v>
      </c>
    </row>
    <row r="53" spans="3:15" ht="15">
      <c r="C53" s="209">
        <v>1</v>
      </c>
      <c r="D53" s="550"/>
      <c r="E53" s="550"/>
      <c r="F53" s="550"/>
      <c r="G53" s="550"/>
      <c r="H53" s="550"/>
      <c r="I53" s="550"/>
      <c r="J53" s="550"/>
      <c r="K53" s="550"/>
      <c r="L53" s="550"/>
      <c r="M53" s="550"/>
      <c r="O53" s="161" t="s">
        <v>495</v>
      </c>
    </row>
    <row r="54" spans="3:13" ht="15">
      <c r="C54" s="209">
        <v>0.5</v>
      </c>
      <c r="D54" s="550"/>
      <c r="E54" s="550"/>
      <c r="F54" s="550"/>
      <c r="G54" s="550"/>
      <c r="H54" s="550"/>
      <c r="I54" s="550"/>
      <c r="J54" s="550"/>
      <c r="K54" s="550"/>
      <c r="L54" s="550"/>
      <c r="M54" s="550"/>
    </row>
    <row r="55" spans="3:15" ht="15">
      <c r="C55" s="209">
        <v>0.2</v>
      </c>
      <c r="D55" s="550"/>
      <c r="E55" s="550"/>
      <c r="F55" s="550"/>
      <c r="G55" s="550"/>
      <c r="H55" s="550"/>
      <c r="I55" s="550"/>
      <c r="J55" s="550"/>
      <c r="K55" s="550"/>
      <c r="L55" s="550"/>
      <c r="M55" s="550"/>
      <c r="O55" s="161" t="s">
        <v>962</v>
      </c>
    </row>
    <row r="56" spans="3:15" ht="15">
      <c r="C56" s="209">
        <v>0.1</v>
      </c>
      <c r="D56" s="550"/>
      <c r="E56" s="550"/>
      <c r="F56" s="550"/>
      <c r="G56" s="550"/>
      <c r="H56" s="550"/>
      <c r="I56" s="550"/>
      <c r="J56" s="550"/>
      <c r="K56" s="550"/>
      <c r="L56" s="550"/>
      <c r="M56" s="550"/>
      <c r="O56" s="161" t="s">
        <v>480</v>
      </c>
    </row>
    <row r="57" spans="3:15" ht="15">
      <c r="C57" s="209">
        <v>0.04</v>
      </c>
      <c r="D57" s="550"/>
      <c r="E57" s="550"/>
      <c r="F57" s="550"/>
      <c r="G57" s="550"/>
      <c r="H57" s="550"/>
      <c r="I57" s="550"/>
      <c r="J57" s="550"/>
      <c r="K57" s="550"/>
      <c r="L57" s="550"/>
      <c r="M57" s="550"/>
      <c r="O57" s="161" t="s">
        <v>963</v>
      </c>
    </row>
    <row r="58" spans="3:13" ht="15">
      <c r="C58" s="209">
        <v>0.02</v>
      </c>
      <c r="D58" s="550"/>
      <c r="E58" s="550"/>
      <c r="F58" s="550"/>
      <c r="G58" s="550"/>
      <c r="H58" s="550"/>
      <c r="I58" s="550"/>
      <c r="J58" s="550"/>
      <c r="K58" s="550"/>
      <c r="L58" s="550"/>
      <c r="M58" s="550"/>
    </row>
    <row r="59" spans="3:13" ht="15">
      <c r="C59" s="411">
        <v>0.0133</v>
      </c>
      <c r="D59" s="550"/>
      <c r="E59" s="550"/>
      <c r="F59" s="550"/>
      <c r="G59" s="550"/>
      <c r="H59" s="550"/>
      <c r="I59" s="550"/>
      <c r="J59" s="550"/>
      <c r="K59" s="550"/>
      <c r="L59" s="550"/>
      <c r="M59" s="550"/>
    </row>
    <row r="60" spans="3:13" ht="15">
      <c r="C60" s="209">
        <v>0.01</v>
      </c>
      <c r="D60" s="550"/>
      <c r="E60" s="550"/>
      <c r="F60" s="550"/>
      <c r="G60" s="550"/>
      <c r="H60" s="550"/>
      <c r="I60" s="550"/>
      <c r="J60" s="550"/>
      <c r="K60" s="550"/>
      <c r="L60" s="550"/>
      <c r="M60" s="550"/>
    </row>
    <row r="61" spans="3:13" ht="15">
      <c r="C61" s="210">
        <v>0.005</v>
      </c>
      <c r="D61" s="550"/>
      <c r="E61" s="550"/>
      <c r="F61" s="550"/>
      <c r="G61" s="550"/>
      <c r="H61" s="550"/>
      <c r="I61" s="550"/>
      <c r="J61" s="550"/>
      <c r="K61" s="550"/>
      <c r="L61" s="550"/>
      <c r="M61" s="550"/>
    </row>
    <row r="62" spans="3:13" ht="15">
      <c r="C62" s="210">
        <v>0.001</v>
      </c>
      <c r="D62" s="550"/>
      <c r="E62" s="550"/>
      <c r="F62" s="550"/>
      <c r="G62" s="550"/>
      <c r="H62" s="550"/>
      <c r="I62" s="550"/>
      <c r="J62" s="550"/>
      <c r="K62" s="550"/>
      <c r="L62" s="550"/>
      <c r="M62" s="550"/>
    </row>
    <row r="64" spans="3:13" ht="15">
      <c r="C64" s="299" t="s">
        <v>668</v>
      </c>
      <c r="D64" s="311">
        <v>1</v>
      </c>
      <c r="E64" s="311">
        <v>0.5</v>
      </c>
      <c r="F64" s="311">
        <v>0.2</v>
      </c>
      <c r="G64" s="311">
        <v>0.1</v>
      </c>
      <c r="H64" s="311">
        <v>0.04</v>
      </c>
      <c r="I64" s="311">
        <v>0.02</v>
      </c>
      <c r="J64" s="411">
        <v>0.0133</v>
      </c>
      <c r="K64" s="209">
        <v>0.01</v>
      </c>
      <c r="L64" s="210">
        <v>0.005</v>
      </c>
      <c r="M64" s="210">
        <v>0.001</v>
      </c>
    </row>
    <row r="65" spans="3:25" ht="15">
      <c r="C65" s="161" t="s">
        <v>377</v>
      </c>
      <c r="D65" s="568" t="s">
        <v>195</v>
      </c>
      <c r="E65" s="568" t="s">
        <v>195</v>
      </c>
      <c r="F65" s="568" t="s">
        <v>378</v>
      </c>
      <c r="G65" s="568" t="s">
        <v>378</v>
      </c>
      <c r="H65" s="568" t="s">
        <v>378</v>
      </c>
      <c r="I65" s="568" t="s">
        <v>378</v>
      </c>
      <c r="J65" s="568" t="s">
        <v>378</v>
      </c>
      <c r="K65" s="568" t="s">
        <v>378</v>
      </c>
      <c r="L65" s="568" t="s">
        <v>378</v>
      </c>
      <c r="M65" s="568" t="s">
        <v>378</v>
      </c>
      <c r="O65" s="723"/>
      <c r="P65" s="724"/>
      <c r="Q65" s="724"/>
      <c r="R65" s="724"/>
      <c r="S65" s="724"/>
      <c r="T65" s="724"/>
      <c r="U65" s="724"/>
      <c r="V65" s="724"/>
      <c r="W65" s="724"/>
      <c r="X65" s="724"/>
      <c r="Y65" s="724"/>
    </row>
    <row r="66" spans="4:25" ht="15">
      <c r="D66" s="583"/>
      <c r="E66" s="583"/>
      <c r="F66" s="583"/>
      <c r="G66" s="583"/>
      <c r="H66" s="583"/>
      <c r="I66" s="583"/>
      <c r="J66" s="583"/>
      <c r="K66" s="583"/>
      <c r="L66" s="583"/>
      <c r="M66" s="583"/>
      <c r="O66" s="301"/>
      <c r="P66" s="300"/>
      <c r="Q66" s="300"/>
      <c r="R66" s="300"/>
      <c r="S66" s="300"/>
      <c r="T66" s="300"/>
      <c r="U66" s="300"/>
      <c r="V66" s="300"/>
      <c r="W66" s="300"/>
      <c r="X66" s="300"/>
      <c r="Y66" s="300"/>
    </row>
    <row r="67" spans="3:7" ht="15">
      <c r="C67" s="299" t="str">
        <f>C64</f>
        <v>WATER SUPPLY</v>
      </c>
      <c r="D67" s="301" t="s">
        <v>195</v>
      </c>
      <c r="G67" s="301"/>
    </row>
    <row r="68" spans="3:10" ht="15">
      <c r="C68" s="299" t="s">
        <v>670</v>
      </c>
      <c r="D68" s="569">
        <v>2500000</v>
      </c>
      <c r="E68" s="300" t="s">
        <v>672</v>
      </c>
      <c r="F68" s="300"/>
      <c r="G68" s="301"/>
      <c r="H68" s="312"/>
      <c r="I68" s="301"/>
      <c r="J68" s="400"/>
    </row>
    <row r="69" spans="3:10" ht="15">
      <c r="C69" s="299" t="s">
        <v>669</v>
      </c>
      <c r="D69" s="569">
        <v>2500000</v>
      </c>
      <c r="E69" s="300" t="s">
        <v>672</v>
      </c>
      <c r="F69" s="300"/>
      <c r="G69" s="301"/>
      <c r="H69" s="312"/>
      <c r="I69" s="301"/>
      <c r="J69" s="400"/>
    </row>
    <row r="70" spans="3:10" ht="15">
      <c r="C70" s="299" t="s">
        <v>671</v>
      </c>
      <c r="D70" s="569">
        <v>2500000</v>
      </c>
      <c r="E70" s="300" t="s">
        <v>672</v>
      </c>
      <c r="F70" s="300"/>
      <c r="G70" s="301"/>
      <c r="H70" s="312"/>
      <c r="I70" s="301"/>
      <c r="J70" s="400"/>
    </row>
    <row r="71" spans="3:7" ht="15">
      <c r="C71" s="380" t="str">
        <f>C68</f>
        <v>Public Water Supply</v>
      </c>
      <c r="D71" s="378" t="s">
        <v>195</v>
      </c>
      <c r="G71" s="378"/>
    </row>
    <row r="72" spans="3:10" ht="15">
      <c r="C72" s="380" t="s">
        <v>670</v>
      </c>
      <c r="D72" s="575">
        <f>D68*D18</f>
        <v>0</v>
      </c>
      <c r="E72" s="379" t="s">
        <v>823</v>
      </c>
      <c r="F72" s="379"/>
      <c r="G72" s="378"/>
      <c r="H72" s="312"/>
      <c r="I72" s="378"/>
      <c r="J72" s="400"/>
    </row>
    <row r="73" spans="3:10" ht="15">
      <c r="C73" s="380" t="s">
        <v>669</v>
      </c>
      <c r="D73" s="575">
        <f>D69*E18</f>
        <v>0</v>
      </c>
      <c r="E73" s="379" t="s">
        <v>823</v>
      </c>
      <c r="F73" s="379"/>
      <c r="G73" s="378"/>
      <c r="H73" s="312"/>
      <c r="I73" s="378"/>
      <c r="J73" s="400"/>
    </row>
    <row r="74" spans="3:10" ht="15">
      <c r="C74" s="380" t="s">
        <v>671</v>
      </c>
      <c r="D74" s="575">
        <f>D70*AVERAGE(F18:K18)</f>
        <v>0</v>
      </c>
      <c r="E74" s="379" t="s">
        <v>823</v>
      </c>
      <c r="F74" s="379"/>
      <c r="G74" s="378"/>
      <c r="H74" s="312"/>
      <c r="I74" s="378"/>
      <c r="J74" s="400"/>
    </row>
    <row r="75" spans="3:4" ht="15">
      <c r="C75" s="299"/>
      <c r="D75" s="161" t="s">
        <v>386</v>
      </c>
    </row>
    <row r="76" ht="15">
      <c r="D76" s="161" t="s">
        <v>387</v>
      </c>
    </row>
    <row r="77" spans="1:5" ht="27.75" customHeight="1">
      <c r="A77" s="722" t="s">
        <v>673</v>
      </c>
      <c r="B77" s="723"/>
      <c r="C77" s="723"/>
      <c r="D77" s="570">
        <v>25</v>
      </c>
      <c r="E77" s="161" t="s">
        <v>391</v>
      </c>
    </row>
    <row r="78" spans="1:5" ht="15">
      <c r="A78" s="301"/>
      <c r="B78" s="301"/>
      <c r="C78" s="299" t="s">
        <v>390</v>
      </c>
      <c r="D78" s="160">
        <f>VLOOKUP(D77-1,Sheet1!A$15:C$114,3,FALSE)</f>
        <v>17.058367603016084</v>
      </c>
      <c r="E78" s="161" t="str">
        <f>"Sum of discount factors from year 0 to year "&amp;D77</f>
        <v>Sum of discount factors from year 0 to year 25</v>
      </c>
    </row>
    <row r="79" spans="1:5" ht="15">
      <c r="A79" s="331"/>
      <c r="B79" s="331"/>
      <c r="C79" s="334" t="s">
        <v>785</v>
      </c>
      <c r="D79" s="338">
        <v>0.5</v>
      </c>
      <c r="E79" s="161" t="s">
        <v>786</v>
      </c>
    </row>
    <row r="80" spans="3:5" ht="15">
      <c r="C80" s="299" t="s">
        <v>670</v>
      </c>
      <c r="D80" s="224">
        <f>D72/D78-D72/D78*D79</f>
        <v>0</v>
      </c>
      <c r="E80" s="161" t="s">
        <v>824</v>
      </c>
    </row>
    <row r="81" spans="3:5" ht="15">
      <c r="C81" s="299" t="s">
        <v>669</v>
      </c>
      <c r="D81" s="224">
        <f>D73/D78-D73/D78*D79</f>
        <v>0</v>
      </c>
      <c r="E81" s="161" t="s">
        <v>824</v>
      </c>
    </row>
    <row r="82" spans="3:5" ht="15">
      <c r="C82" s="299" t="s">
        <v>671</v>
      </c>
      <c r="D82" s="224">
        <f>D74/D78-D74/D78*D79</f>
        <v>0</v>
      </c>
      <c r="E82" s="161" t="s">
        <v>824</v>
      </c>
    </row>
    <row r="83" spans="3:4" ht="15">
      <c r="C83" s="299"/>
      <c r="D83" s="313"/>
    </row>
    <row r="84" spans="4:14" ht="15">
      <c r="D84" s="209">
        <v>1</v>
      </c>
      <c r="E84" s="209">
        <v>0.5</v>
      </c>
      <c r="F84" s="209">
        <v>0.2</v>
      </c>
      <c r="G84" s="209">
        <v>0.1</v>
      </c>
      <c r="H84" s="209">
        <v>0.04</v>
      </c>
      <c r="I84" s="209">
        <v>0.02</v>
      </c>
      <c r="J84" s="411">
        <v>0.0133</v>
      </c>
      <c r="K84" s="209">
        <v>0.01</v>
      </c>
      <c r="L84" s="210">
        <v>0.005</v>
      </c>
      <c r="M84" s="210">
        <v>0.001</v>
      </c>
      <c r="N84" s="215" t="s">
        <v>61</v>
      </c>
    </row>
    <row r="85" spans="3:14" ht="15">
      <c r="C85" s="216" t="s">
        <v>367</v>
      </c>
      <c r="D85" s="567">
        <f>'Energy (indirect)'!D112</f>
        <v>1</v>
      </c>
      <c r="E85" s="567">
        <f>'Energy (indirect)'!E112</f>
        <v>1</v>
      </c>
      <c r="F85" s="567">
        <f>'Energy (indirect)'!F112</f>
        <v>0.72</v>
      </c>
      <c r="G85" s="567">
        <f>'Energy (indirect)'!G112</f>
        <v>0.5882230666038492</v>
      </c>
      <c r="H85" s="567">
        <f>'Energy (indirect)'!H112</f>
        <v>0.3190324601806128</v>
      </c>
      <c r="I85" s="567">
        <f>'Energy (indirect)'!I112</f>
        <v>0.15058386858767778</v>
      </c>
      <c r="J85" s="567">
        <f>'Energy (indirect)'!J112</f>
        <v>0.07548650722667177</v>
      </c>
      <c r="K85" s="567">
        <f>'Energy (indirect)'!K112</f>
        <v>0.03813239947900169</v>
      </c>
      <c r="L85" s="567">
        <f>'Energy (indirect)'!L112</f>
        <v>0.017864723005257294</v>
      </c>
      <c r="M85" s="567">
        <f>'Energy (indirect)'!M112</f>
        <v>0</v>
      </c>
      <c r="N85" s="217" t="s">
        <v>368</v>
      </c>
    </row>
    <row r="86" spans="3:14" ht="15">
      <c r="C86" s="226" t="s">
        <v>454</v>
      </c>
      <c r="D86" s="219">
        <f>IF(D65="One-off loss",$D$18*$D$22*D85,$D80)</f>
        <v>0</v>
      </c>
      <c r="E86" s="219">
        <f aca="true" t="shared" si="0" ref="E86:M86">IF(E65="One-off loss",$D$18*$D$22*E85,$D80)</f>
        <v>0</v>
      </c>
      <c r="F86" s="219">
        <f t="shared" si="0"/>
        <v>0</v>
      </c>
      <c r="G86" s="219">
        <f t="shared" si="0"/>
        <v>0</v>
      </c>
      <c r="H86" s="219">
        <f t="shared" si="0"/>
        <v>0</v>
      </c>
      <c r="I86" s="219">
        <f t="shared" si="0"/>
        <v>0</v>
      </c>
      <c r="J86" s="219">
        <f t="shared" si="0"/>
        <v>0</v>
      </c>
      <c r="K86" s="219">
        <f t="shared" si="0"/>
        <v>0</v>
      </c>
      <c r="L86" s="219">
        <f t="shared" si="0"/>
        <v>0</v>
      </c>
      <c r="M86" s="219">
        <f t="shared" si="0"/>
        <v>0</v>
      </c>
      <c r="N86" s="217"/>
    </row>
    <row r="87" spans="3:14" ht="15">
      <c r="C87" s="226" t="s">
        <v>455</v>
      </c>
      <c r="D87" s="219">
        <f>IF(D65="One-off loss",$E$18*$E$22*D85,$D81)</f>
        <v>0</v>
      </c>
      <c r="E87" s="219">
        <f aca="true" t="shared" si="1" ref="E87:M87">IF(E65="One-off loss",$E$18*$E$22*E85,$D81)</f>
        <v>0</v>
      </c>
      <c r="F87" s="219">
        <f t="shared" si="1"/>
        <v>0</v>
      </c>
      <c r="G87" s="219">
        <f t="shared" si="1"/>
        <v>0</v>
      </c>
      <c r="H87" s="219">
        <f t="shared" si="1"/>
        <v>0</v>
      </c>
      <c r="I87" s="219">
        <f t="shared" si="1"/>
        <v>0</v>
      </c>
      <c r="J87" s="219">
        <f t="shared" si="1"/>
        <v>0</v>
      </c>
      <c r="K87" s="219">
        <f t="shared" si="1"/>
        <v>0</v>
      </c>
      <c r="L87" s="219">
        <f t="shared" si="1"/>
        <v>0</v>
      </c>
      <c r="M87" s="219">
        <f t="shared" si="1"/>
        <v>0</v>
      </c>
      <c r="N87" s="217"/>
    </row>
    <row r="88" spans="3:13" ht="15">
      <c r="C88" s="161" t="s">
        <v>517</v>
      </c>
      <c r="D88" s="219">
        <f aca="true" t="shared" si="2" ref="D88:M88">IF(D65="One-off loss",$L$18*$L$22*D85,$D82)</f>
        <v>0</v>
      </c>
      <c r="E88" s="219">
        <f t="shared" si="2"/>
        <v>0</v>
      </c>
      <c r="F88" s="219">
        <f t="shared" si="2"/>
        <v>0</v>
      </c>
      <c r="G88" s="219">
        <f t="shared" si="2"/>
        <v>0</v>
      </c>
      <c r="H88" s="219">
        <f t="shared" si="2"/>
        <v>0</v>
      </c>
      <c r="I88" s="219">
        <f t="shared" si="2"/>
        <v>0</v>
      </c>
      <c r="J88" s="219">
        <f t="shared" si="2"/>
        <v>0</v>
      </c>
      <c r="K88" s="219">
        <f t="shared" si="2"/>
        <v>0</v>
      </c>
      <c r="L88" s="219">
        <f t="shared" si="2"/>
        <v>0</v>
      </c>
      <c r="M88" s="219">
        <f t="shared" si="2"/>
        <v>0</v>
      </c>
    </row>
    <row r="90" spans="5:6" ht="15">
      <c r="E90" s="161" t="s">
        <v>262</v>
      </c>
      <c r="F90" s="161" t="s">
        <v>280</v>
      </c>
    </row>
    <row r="91" spans="1:13" ht="15">
      <c r="A91" s="728" t="str">
        <f>A26</f>
        <v>PUBLIC WATER SUPPLY ABSTRACTIONS</v>
      </c>
      <c r="B91" s="724"/>
      <c r="C91" s="724"/>
      <c r="D91" s="209">
        <v>1</v>
      </c>
      <c r="E91" s="209">
        <v>0.5</v>
      </c>
      <c r="F91" s="209">
        <v>0.2</v>
      </c>
      <c r="G91" s="209">
        <v>0.1</v>
      </c>
      <c r="H91" s="209">
        <v>0.04</v>
      </c>
      <c r="I91" s="209">
        <v>0.02</v>
      </c>
      <c r="J91" s="411">
        <v>0.0133</v>
      </c>
      <c r="K91" s="209">
        <v>0.01</v>
      </c>
      <c r="L91" s="210">
        <v>0.005</v>
      </c>
      <c r="M91" s="210">
        <v>0.001</v>
      </c>
    </row>
    <row r="92" spans="3:13" ht="15">
      <c r="C92" s="209">
        <v>1</v>
      </c>
      <c r="D92" s="224">
        <f>IF($D86-D86&lt;0,0,$D86-D86)</f>
        <v>0</v>
      </c>
      <c r="E92" s="224">
        <f aca="true" t="shared" si="3" ref="E92:M92">IF($D86-E86&lt;0,0,$D86-E86)</f>
        <v>0</v>
      </c>
      <c r="F92" s="224">
        <f t="shared" si="3"/>
        <v>0</v>
      </c>
      <c r="G92" s="224">
        <f t="shared" si="3"/>
        <v>0</v>
      </c>
      <c r="H92" s="224">
        <f t="shared" si="3"/>
        <v>0</v>
      </c>
      <c r="I92" s="224">
        <f t="shared" si="3"/>
        <v>0</v>
      </c>
      <c r="J92" s="224">
        <f t="shared" si="3"/>
        <v>0</v>
      </c>
      <c r="K92" s="224">
        <f t="shared" si="3"/>
        <v>0</v>
      </c>
      <c r="L92" s="224">
        <f t="shared" si="3"/>
        <v>0</v>
      </c>
      <c r="M92" s="224">
        <f t="shared" si="3"/>
        <v>0</v>
      </c>
    </row>
    <row r="93" spans="2:13" ht="15">
      <c r="B93" s="161" t="s">
        <v>261</v>
      </c>
      <c r="C93" s="209">
        <v>0.5</v>
      </c>
      <c r="D93" s="224">
        <f>IF($E86-D86&gt;0,0,$E86-D86)</f>
        <v>0</v>
      </c>
      <c r="E93" s="224">
        <f aca="true" t="shared" si="4" ref="E93">$E86-E86</f>
        <v>0</v>
      </c>
      <c r="F93" s="224">
        <f>IF($E86-F86&lt;0,0,$E86-F86)</f>
        <v>0</v>
      </c>
      <c r="G93" s="224">
        <f aca="true" t="shared" si="5" ref="G93:M93">IF($E86-G86&lt;0,0,$E86-G86)</f>
        <v>0</v>
      </c>
      <c r="H93" s="224">
        <f t="shared" si="5"/>
        <v>0</v>
      </c>
      <c r="I93" s="224">
        <f t="shared" si="5"/>
        <v>0</v>
      </c>
      <c r="J93" s="224">
        <f t="shared" si="5"/>
        <v>0</v>
      </c>
      <c r="K93" s="224">
        <f t="shared" si="5"/>
        <v>0</v>
      </c>
      <c r="L93" s="224">
        <f t="shared" si="5"/>
        <v>0</v>
      </c>
      <c r="M93" s="224">
        <f t="shared" si="5"/>
        <v>0</v>
      </c>
    </row>
    <row r="94" spans="2:13" ht="15">
      <c r="B94" s="725" t="s">
        <v>281</v>
      </c>
      <c r="C94" s="209">
        <v>0.2</v>
      </c>
      <c r="D94" s="224">
        <f>IF($F86-D86&gt;0,0,$F86-D86)</f>
        <v>0</v>
      </c>
      <c r="E94" s="224">
        <f>IF($F86-E86&gt;0,0,$F86-E86)</f>
        <v>0</v>
      </c>
      <c r="F94" s="224">
        <f aca="true" t="shared" si="6" ref="F94">$F86-F86</f>
        <v>0</v>
      </c>
      <c r="G94" s="224">
        <f>IF($F86-G86&lt;0,0,$F86-G86)</f>
        <v>0</v>
      </c>
      <c r="H94" s="224">
        <f aca="true" t="shared" si="7" ref="H94:M94">IF($F86-H86&lt;0,0,$F86-H86)</f>
        <v>0</v>
      </c>
      <c r="I94" s="224">
        <f t="shared" si="7"/>
        <v>0</v>
      </c>
      <c r="J94" s="224">
        <f t="shared" si="7"/>
        <v>0</v>
      </c>
      <c r="K94" s="224">
        <f t="shared" si="7"/>
        <v>0</v>
      </c>
      <c r="L94" s="224">
        <f t="shared" si="7"/>
        <v>0</v>
      </c>
      <c r="M94" s="224">
        <f t="shared" si="7"/>
        <v>0</v>
      </c>
    </row>
    <row r="95" spans="2:13" ht="15">
      <c r="B95" s="725"/>
      <c r="C95" s="209">
        <v>0.1</v>
      </c>
      <c r="D95" s="224">
        <f>IF($G86-D86&gt;0,0,$G86-D86)</f>
        <v>0</v>
      </c>
      <c r="E95" s="224">
        <f aca="true" t="shared" si="8" ref="E95:F95">IF($G86-E86&gt;0,0,$G86-E86)</f>
        <v>0</v>
      </c>
      <c r="F95" s="224">
        <f t="shared" si="8"/>
        <v>0</v>
      </c>
      <c r="G95" s="224">
        <f aca="true" t="shared" si="9" ref="G95">$G86-G86</f>
        <v>0</v>
      </c>
      <c r="H95" s="224">
        <f>IF($G86-H86&lt;0,0,$G86-H86)</f>
        <v>0</v>
      </c>
      <c r="I95" s="224">
        <f aca="true" t="shared" si="10" ref="I95:M95">IF($G86-I86&lt;0,0,$G86-I86)</f>
        <v>0</v>
      </c>
      <c r="J95" s="224">
        <f t="shared" si="10"/>
        <v>0</v>
      </c>
      <c r="K95" s="224">
        <f t="shared" si="10"/>
        <v>0</v>
      </c>
      <c r="L95" s="224">
        <f t="shared" si="10"/>
        <v>0</v>
      </c>
      <c r="M95" s="224">
        <f t="shared" si="10"/>
        <v>0</v>
      </c>
    </row>
    <row r="96" spans="2:13" ht="15">
      <c r="B96" s="725"/>
      <c r="C96" s="209">
        <v>0.04</v>
      </c>
      <c r="D96" s="224">
        <f>IF($H86-D86&gt;0,0,$H86-D86)</f>
        <v>0</v>
      </c>
      <c r="E96" s="224">
        <f aca="true" t="shared" si="11" ref="E96:G96">IF($H86-E86&gt;0,0,$H86-E86)</f>
        <v>0</v>
      </c>
      <c r="F96" s="224">
        <f t="shared" si="11"/>
        <v>0</v>
      </c>
      <c r="G96" s="224">
        <f t="shared" si="11"/>
        <v>0</v>
      </c>
      <c r="H96" s="224">
        <f aca="true" t="shared" si="12" ref="H96">$H86-H86</f>
        <v>0</v>
      </c>
      <c r="I96" s="224">
        <f>IF($H86-I86&lt;0,0,$H86-I86)</f>
        <v>0</v>
      </c>
      <c r="J96" s="224">
        <f aca="true" t="shared" si="13" ref="J96:M96">IF($H86-J86&lt;0,0,$H86-J86)</f>
        <v>0</v>
      </c>
      <c r="K96" s="224">
        <f t="shared" si="13"/>
        <v>0</v>
      </c>
      <c r="L96" s="224">
        <f t="shared" si="13"/>
        <v>0</v>
      </c>
      <c r="M96" s="224">
        <f t="shared" si="13"/>
        <v>0</v>
      </c>
    </row>
    <row r="97" spans="2:13" ht="15">
      <c r="B97" s="725"/>
      <c r="C97" s="209">
        <v>0.02</v>
      </c>
      <c r="D97" s="224">
        <f>IF($I86-D86&gt;0,0,$I86-D86)</f>
        <v>0</v>
      </c>
      <c r="E97" s="224">
        <f aca="true" t="shared" si="14" ref="E97:H97">IF($I86-E86&gt;0,0,$I86-E86)</f>
        <v>0</v>
      </c>
      <c r="F97" s="224">
        <f t="shared" si="14"/>
        <v>0</v>
      </c>
      <c r="G97" s="224">
        <f t="shared" si="14"/>
        <v>0</v>
      </c>
      <c r="H97" s="224">
        <f t="shared" si="14"/>
        <v>0</v>
      </c>
      <c r="I97" s="224">
        <f aca="true" t="shared" si="15" ref="I97">$I86-I86</f>
        <v>0</v>
      </c>
      <c r="J97" s="224">
        <f>IF($I86-J86&lt;0,0,$I86-J86)</f>
        <v>0</v>
      </c>
      <c r="K97" s="224">
        <f aca="true" t="shared" si="16" ref="K97:M97">IF($I86-K86&lt;0,0,$I86-K86)</f>
        <v>0</v>
      </c>
      <c r="L97" s="224">
        <f t="shared" si="16"/>
        <v>0</v>
      </c>
      <c r="M97" s="224">
        <f t="shared" si="16"/>
        <v>0</v>
      </c>
    </row>
    <row r="98" spans="2:13" ht="15">
      <c r="B98" s="725"/>
      <c r="C98" s="411">
        <v>0.0133</v>
      </c>
      <c r="D98" s="224">
        <f>IF($J86-D86&gt;0,0,$J86-D86)</f>
        <v>0</v>
      </c>
      <c r="E98" s="224">
        <f aca="true" t="shared" si="17" ref="E98:I98">IF($J86-E86&gt;0,0,$J86-E86)</f>
        <v>0</v>
      </c>
      <c r="F98" s="224">
        <f t="shared" si="17"/>
        <v>0</v>
      </c>
      <c r="G98" s="224">
        <f t="shared" si="17"/>
        <v>0</v>
      </c>
      <c r="H98" s="224">
        <f t="shared" si="17"/>
        <v>0</v>
      </c>
      <c r="I98" s="224">
        <f t="shared" si="17"/>
        <v>0</v>
      </c>
      <c r="J98" s="224">
        <f aca="true" t="shared" si="18" ref="J98">$J86-J86</f>
        <v>0</v>
      </c>
      <c r="K98" s="224">
        <f>IF($J86-K86&lt;0,0,$J86-K86)</f>
        <v>0</v>
      </c>
      <c r="L98" s="224">
        <f aca="true" t="shared" si="19" ref="L98:M98">IF($J86-L86&lt;0,0,$J86-L86)</f>
        <v>0</v>
      </c>
      <c r="M98" s="224">
        <f t="shared" si="19"/>
        <v>0</v>
      </c>
    </row>
    <row r="99" spans="2:13" ht="15">
      <c r="B99" s="725"/>
      <c r="C99" s="209">
        <v>0.01</v>
      </c>
      <c r="D99" s="224">
        <f>IF($K86-D86&gt;0,0,$K86-D86)</f>
        <v>0</v>
      </c>
      <c r="E99" s="224">
        <f aca="true" t="shared" si="20" ref="E99:J99">IF($K86-E86&gt;0,0,$K86-E86)</f>
        <v>0</v>
      </c>
      <c r="F99" s="224">
        <f t="shared" si="20"/>
        <v>0</v>
      </c>
      <c r="G99" s="224">
        <f t="shared" si="20"/>
        <v>0</v>
      </c>
      <c r="H99" s="224">
        <f t="shared" si="20"/>
        <v>0</v>
      </c>
      <c r="I99" s="224">
        <f t="shared" si="20"/>
        <v>0</v>
      </c>
      <c r="J99" s="224">
        <f t="shared" si="20"/>
        <v>0</v>
      </c>
      <c r="K99" s="224">
        <f aca="true" t="shared" si="21" ref="K99">$K86-K86</f>
        <v>0</v>
      </c>
      <c r="L99" s="224">
        <f>IF($K86-L86&lt;0,0,$K86-L86)</f>
        <v>0</v>
      </c>
      <c r="M99" s="224">
        <f>IF($K86-M86&lt;0,0,$K86-M86)</f>
        <v>0</v>
      </c>
    </row>
    <row r="100" spans="2:13" ht="15">
      <c r="B100" s="725"/>
      <c r="C100" s="210">
        <v>0.005</v>
      </c>
      <c r="D100" s="224">
        <f>IF($L86-D86&gt;0,0,$L86-D86)</f>
        <v>0</v>
      </c>
      <c r="E100" s="224">
        <f aca="true" t="shared" si="22" ref="E100:K100">IF($L86-E86&gt;0,0,$L86-E86)</f>
        <v>0</v>
      </c>
      <c r="F100" s="224">
        <f t="shared" si="22"/>
        <v>0</v>
      </c>
      <c r="G100" s="224">
        <f t="shared" si="22"/>
        <v>0</v>
      </c>
      <c r="H100" s="224">
        <f t="shared" si="22"/>
        <v>0</v>
      </c>
      <c r="I100" s="224">
        <f t="shared" si="22"/>
        <v>0</v>
      </c>
      <c r="J100" s="224">
        <f t="shared" si="22"/>
        <v>0</v>
      </c>
      <c r="K100" s="224">
        <f t="shared" si="22"/>
        <v>0</v>
      </c>
      <c r="L100" s="224">
        <f aca="true" t="shared" si="23" ref="L100">$L86-L86</f>
        <v>0</v>
      </c>
      <c r="M100" s="224">
        <f>IF($L86-M86&lt;0,0,$L86-M86)</f>
        <v>0</v>
      </c>
    </row>
    <row r="101" spans="2:13" ht="15">
      <c r="B101" s="725"/>
      <c r="C101" s="210">
        <v>0.001</v>
      </c>
      <c r="D101" s="224">
        <f>IF($M86-D86&gt;0,0,$M86-D86)</f>
        <v>0</v>
      </c>
      <c r="E101" s="224">
        <f aca="true" t="shared" si="24" ref="E101:L101">IF($M86-E86&gt;0,0,$M86-E86)</f>
        <v>0</v>
      </c>
      <c r="F101" s="224">
        <f t="shared" si="24"/>
        <v>0</v>
      </c>
      <c r="G101" s="224">
        <f t="shared" si="24"/>
        <v>0</v>
      </c>
      <c r="H101" s="224">
        <f t="shared" si="24"/>
        <v>0</v>
      </c>
      <c r="I101" s="224">
        <f t="shared" si="24"/>
        <v>0</v>
      </c>
      <c r="J101" s="224">
        <f t="shared" si="24"/>
        <v>0</v>
      </c>
      <c r="K101" s="224">
        <f t="shared" si="24"/>
        <v>0</v>
      </c>
      <c r="L101" s="224">
        <f t="shared" si="24"/>
        <v>0</v>
      </c>
      <c r="M101" s="224">
        <f aca="true" t="shared" si="25" ref="M101">$M86-M86</f>
        <v>0</v>
      </c>
    </row>
    <row r="103" spans="5:6" ht="15">
      <c r="E103" s="161" t="s">
        <v>262</v>
      </c>
      <c r="F103" s="161" t="s">
        <v>280</v>
      </c>
    </row>
    <row r="104" spans="1:13" ht="15">
      <c r="A104" s="728" t="str">
        <f>A39</f>
        <v>SPRAY IRRIGATION</v>
      </c>
      <c r="B104" s="724"/>
      <c r="C104" s="724"/>
      <c r="D104" s="209">
        <v>1</v>
      </c>
      <c r="E104" s="209">
        <v>0.5</v>
      </c>
      <c r="F104" s="209">
        <v>0.2</v>
      </c>
      <c r="G104" s="209">
        <v>0.1</v>
      </c>
      <c r="H104" s="209">
        <v>0.04</v>
      </c>
      <c r="I104" s="209">
        <v>0.02</v>
      </c>
      <c r="J104" s="411">
        <v>0.0133</v>
      </c>
      <c r="K104" s="209">
        <v>0.01</v>
      </c>
      <c r="L104" s="210">
        <v>0.005</v>
      </c>
      <c r="M104" s="210">
        <v>0.001</v>
      </c>
    </row>
    <row r="105" spans="3:13" ht="15">
      <c r="C105" s="209">
        <v>1</v>
      </c>
      <c r="D105" s="224">
        <f>IF($D87-D87&lt;0,0,$D87-D87)</f>
        <v>0</v>
      </c>
      <c r="E105" s="224">
        <f aca="true" t="shared" si="26" ref="E105:M105">IF($D87-E87&lt;0,0,$D87-E87)</f>
        <v>0</v>
      </c>
      <c r="F105" s="224">
        <f t="shared" si="26"/>
        <v>0</v>
      </c>
      <c r="G105" s="224">
        <f t="shared" si="26"/>
        <v>0</v>
      </c>
      <c r="H105" s="224">
        <f t="shared" si="26"/>
        <v>0</v>
      </c>
      <c r="I105" s="224">
        <f t="shared" si="26"/>
        <v>0</v>
      </c>
      <c r="J105" s="224">
        <f t="shared" si="26"/>
        <v>0</v>
      </c>
      <c r="K105" s="224">
        <f t="shared" si="26"/>
        <v>0</v>
      </c>
      <c r="L105" s="224">
        <f t="shared" si="26"/>
        <v>0</v>
      </c>
      <c r="M105" s="224">
        <f t="shared" si="26"/>
        <v>0</v>
      </c>
    </row>
    <row r="106" spans="2:13" ht="15">
      <c r="B106" s="161" t="s">
        <v>261</v>
      </c>
      <c r="C106" s="209">
        <v>0.5</v>
      </c>
      <c r="D106" s="224">
        <f>IF($E87-D87&gt;0,0,$E87-D87)</f>
        <v>0</v>
      </c>
      <c r="E106" s="224">
        <f aca="true" t="shared" si="27" ref="E106">$E87-E87</f>
        <v>0</v>
      </c>
      <c r="F106" s="224">
        <f>IF($E87-F87&lt;0,0,$E87-F87)</f>
        <v>0</v>
      </c>
      <c r="G106" s="224">
        <f aca="true" t="shared" si="28" ref="G106:M106">IF($E87-G87&lt;0,0,$E87-G87)</f>
        <v>0</v>
      </c>
      <c r="H106" s="224">
        <f t="shared" si="28"/>
        <v>0</v>
      </c>
      <c r="I106" s="224">
        <f t="shared" si="28"/>
        <v>0</v>
      </c>
      <c r="J106" s="224">
        <f t="shared" si="28"/>
        <v>0</v>
      </c>
      <c r="K106" s="224">
        <f t="shared" si="28"/>
        <v>0</v>
      </c>
      <c r="L106" s="224">
        <f t="shared" si="28"/>
        <v>0</v>
      </c>
      <c r="M106" s="224">
        <f t="shared" si="28"/>
        <v>0</v>
      </c>
    </row>
    <row r="107" spans="2:13" ht="15">
      <c r="B107" s="725" t="s">
        <v>281</v>
      </c>
      <c r="C107" s="209">
        <v>0.2</v>
      </c>
      <c r="D107" s="224">
        <f>IF($F87-D87&gt;0,0,$F87-D87)</f>
        <v>0</v>
      </c>
      <c r="E107" s="224">
        <f>IF($F87-E87&gt;0,0,$F87-E87)</f>
        <v>0</v>
      </c>
      <c r="F107" s="224">
        <f aca="true" t="shared" si="29" ref="F107">$F87-F87</f>
        <v>0</v>
      </c>
      <c r="G107" s="224">
        <f>IF($F87-G87&lt;0,0,$F87-G870)</f>
        <v>0</v>
      </c>
      <c r="H107" s="224">
        <f aca="true" t="shared" si="30" ref="H107:M107">IF($F87-H87&lt;0,0,$F87-H870)</f>
        <v>0</v>
      </c>
      <c r="I107" s="224">
        <f t="shared" si="30"/>
        <v>0</v>
      </c>
      <c r="J107" s="224">
        <f t="shared" si="30"/>
        <v>0</v>
      </c>
      <c r="K107" s="224">
        <f t="shared" si="30"/>
        <v>0</v>
      </c>
      <c r="L107" s="224">
        <f t="shared" si="30"/>
        <v>0</v>
      </c>
      <c r="M107" s="224">
        <f t="shared" si="30"/>
        <v>0</v>
      </c>
    </row>
    <row r="108" spans="2:13" ht="15">
      <c r="B108" s="725"/>
      <c r="C108" s="209">
        <v>0.1</v>
      </c>
      <c r="D108" s="224">
        <f>IF($G87-D87&gt;0,0,$G87-D87)</f>
        <v>0</v>
      </c>
      <c r="E108" s="224">
        <f aca="true" t="shared" si="31" ref="E108:F108">IF($G87-E87&gt;0,0,$G87-E87)</f>
        <v>0</v>
      </c>
      <c r="F108" s="224">
        <f t="shared" si="31"/>
        <v>0</v>
      </c>
      <c r="G108" s="224">
        <f aca="true" t="shared" si="32" ref="G108">$G87-G87</f>
        <v>0</v>
      </c>
      <c r="H108" s="224">
        <f>IF($G87-H87&lt;0,0,$G87-H87)</f>
        <v>0</v>
      </c>
      <c r="I108" s="224">
        <f aca="true" t="shared" si="33" ref="I108:M108">IF($G87-I87&lt;0,0,$G87-I87)</f>
        <v>0</v>
      </c>
      <c r="J108" s="224">
        <f t="shared" si="33"/>
        <v>0</v>
      </c>
      <c r="K108" s="224">
        <f t="shared" si="33"/>
        <v>0</v>
      </c>
      <c r="L108" s="224">
        <f t="shared" si="33"/>
        <v>0</v>
      </c>
      <c r="M108" s="224">
        <f t="shared" si="33"/>
        <v>0</v>
      </c>
    </row>
    <row r="109" spans="2:13" ht="15">
      <c r="B109" s="725"/>
      <c r="C109" s="209">
        <v>0.04</v>
      </c>
      <c r="D109" s="224">
        <f>IF($H87-D87&gt;0,0,$H87-D87)</f>
        <v>0</v>
      </c>
      <c r="E109" s="224">
        <f aca="true" t="shared" si="34" ref="E109:G109">IF($H87-E87&gt;0,0,$H87-E87)</f>
        <v>0</v>
      </c>
      <c r="F109" s="224">
        <f t="shared" si="34"/>
        <v>0</v>
      </c>
      <c r="G109" s="224">
        <f t="shared" si="34"/>
        <v>0</v>
      </c>
      <c r="H109" s="224">
        <f aca="true" t="shared" si="35" ref="H109">$H87-H87</f>
        <v>0</v>
      </c>
      <c r="I109" s="224">
        <f>IF($H87-I87&lt;0,0,$H87-I87)</f>
        <v>0</v>
      </c>
      <c r="J109" s="224">
        <f aca="true" t="shared" si="36" ref="J109:M109">IF($H87-J87&lt;0,0,$H87-J87)</f>
        <v>0</v>
      </c>
      <c r="K109" s="224">
        <f t="shared" si="36"/>
        <v>0</v>
      </c>
      <c r="L109" s="224">
        <f t="shared" si="36"/>
        <v>0</v>
      </c>
      <c r="M109" s="224">
        <f t="shared" si="36"/>
        <v>0</v>
      </c>
    </row>
    <row r="110" spans="2:13" ht="15">
      <c r="B110" s="725"/>
      <c r="C110" s="209">
        <v>0.02</v>
      </c>
      <c r="D110" s="224">
        <f>IF($I87-D87&gt;0,0,$I87-D87)</f>
        <v>0</v>
      </c>
      <c r="E110" s="224">
        <f aca="true" t="shared" si="37" ref="E110:H110">IF($I87-E87&gt;0,0,$I87-E87)</f>
        <v>0</v>
      </c>
      <c r="F110" s="224">
        <f t="shared" si="37"/>
        <v>0</v>
      </c>
      <c r="G110" s="224">
        <f t="shared" si="37"/>
        <v>0</v>
      </c>
      <c r="H110" s="224">
        <f t="shared" si="37"/>
        <v>0</v>
      </c>
      <c r="I110" s="224">
        <f aca="true" t="shared" si="38" ref="I110">$I87-I87</f>
        <v>0</v>
      </c>
      <c r="J110" s="224">
        <f>IF($I87-J87&lt;0,0,$I87-J87)</f>
        <v>0</v>
      </c>
      <c r="K110" s="224">
        <f aca="true" t="shared" si="39" ref="K110:M110">IF($I87-K87&lt;0,0,$I87-K87)</f>
        <v>0</v>
      </c>
      <c r="L110" s="224">
        <f t="shared" si="39"/>
        <v>0</v>
      </c>
      <c r="M110" s="224">
        <f t="shared" si="39"/>
        <v>0</v>
      </c>
    </row>
    <row r="111" spans="2:13" ht="15">
      <c r="B111" s="725"/>
      <c r="C111" s="411">
        <v>0.0133</v>
      </c>
      <c r="D111" s="224">
        <f>IF($J87-D87&gt;0,0,$J87-D87)</f>
        <v>0</v>
      </c>
      <c r="E111" s="224">
        <f aca="true" t="shared" si="40" ref="E111:I111">IF($J87-E87&gt;0,0,$J87-E87)</f>
        <v>0</v>
      </c>
      <c r="F111" s="224">
        <f t="shared" si="40"/>
        <v>0</v>
      </c>
      <c r="G111" s="224">
        <f t="shared" si="40"/>
        <v>0</v>
      </c>
      <c r="H111" s="224">
        <f t="shared" si="40"/>
        <v>0</v>
      </c>
      <c r="I111" s="224">
        <f t="shared" si="40"/>
        <v>0</v>
      </c>
      <c r="J111" s="224">
        <f aca="true" t="shared" si="41" ref="J111">$J87-J87</f>
        <v>0</v>
      </c>
      <c r="K111" s="224">
        <f>IF($J87-K87&lt;0,0,$J87-K87)</f>
        <v>0</v>
      </c>
      <c r="L111" s="224">
        <f aca="true" t="shared" si="42" ref="L111:M111">IF($J87-L87&lt;0,0,$J87-L87)</f>
        <v>0</v>
      </c>
      <c r="M111" s="224">
        <f t="shared" si="42"/>
        <v>0</v>
      </c>
    </row>
    <row r="112" spans="2:13" ht="15">
      <c r="B112" s="725"/>
      <c r="C112" s="209">
        <v>0.01</v>
      </c>
      <c r="D112" s="224">
        <f>IF($K87-D87&gt;0,0,$K87-D87)</f>
        <v>0</v>
      </c>
      <c r="E112" s="224">
        <f aca="true" t="shared" si="43" ref="E112:J112">IF($K87-E87&gt;0,0,$K87-E87)</f>
        <v>0</v>
      </c>
      <c r="F112" s="224">
        <f t="shared" si="43"/>
        <v>0</v>
      </c>
      <c r="G112" s="224">
        <f t="shared" si="43"/>
        <v>0</v>
      </c>
      <c r="H112" s="224">
        <f t="shared" si="43"/>
        <v>0</v>
      </c>
      <c r="I112" s="224">
        <f t="shared" si="43"/>
        <v>0</v>
      </c>
      <c r="J112" s="224">
        <f t="shared" si="43"/>
        <v>0</v>
      </c>
      <c r="K112" s="224">
        <f aca="true" t="shared" si="44" ref="K112">$K87-K87</f>
        <v>0</v>
      </c>
      <c r="L112" s="224">
        <f>IF($K87-L87&lt;0,0,$K87-L87)</f>
        <v>0</v>
      </c>
      <c r="M112" s="224">
        <f>IF($K87-M87&lt;0,0,$K87-M87)</f>
        <v>0</v>
      </c>
    </row>
    <row r="113" spans="2:13" ht="15">
      <c r="B113" s="725"/>
      <c r="C113" s="210">
        <v>0.005</v>
      </c>
      <c r="D113" s="224">
        <f>IF($L87-D87&gt;0,0,$L87-D87)</f>
        <v>0</v>
      </c>
      <c r="E113" s="224">
        <f aca="true" t="shared" si="45" ref="E113:K113">IF($L87-E87&gt;0,0,$L87-E87)</f>
        <v>0</v>
      </c>
      <c r="F113" s="224">
        <f t="shared" si="45"/>
        <v>0</v>
      </c>
      <c r="G113" s="224">
        <f t="shared" si="45"/>
        <v>0</v>
      </c>
      <c r="H113" s="224">
        <f t="shared" si="45"/>
        <v>0</v>
      </c>
      <c r="I113" s="224">
        <f t="shared" si="45"/>
        <v>0</v>
      </c>
      <c r="J113" s="224">
        <f t="shared" si="45"/>
        <v>0</v>
      </c>
      <c r="K113" s="224">
        <f t="shared" si="45"/>
        <v>0</v>
      </c>
      <c r="L113" s="224">
        <f aca="true" t="shared" si="46" ref="L113">$L87-L87</f>
        <v>0</v>
      </c>
      <c r="M113" s="224">
        <f>IF($L87-M87&lt;0,0,$L87-M87)</f>
        <v>0</v>
      </c>
    </row>
    <row r="114" spans="2:13" ht="15">
      <c r="B114" s="725"/>
      <c r="C114" s="210">
        <v>0.001</v>
      </c>
      <c r="D114" s="224">
        <f>IF($M87-D87&gt;0,0,$M87-D87)</f>
        <v>0</v>
      </c>
      <c r="E114" s="224">
        <f aca="true" t="shared" si="47" ref="E114:L114">IF($M87-E87&gt;0,0,$M87-E87)</f>
        <v>0</v>
      </c>
      <c r="F114" s="224">
        <f t="shared" si="47"/>
        <v>0</v>
      </c>
      <c r="G114" s="224">
        <f t="shared" si="47"/>
        <v>0</v>
      </c>
      <c r="H114" s="224">
        <f t="shared" si="47"/>
        <v>0</v>
      </c>
      <c r="I114" s="224">
        <f t="shared" si="47"/>
        <v>0</v>
      </c>
      <c r="J114" s="224">
        <f t="shared" si="47"/>
        <v>0</v>
      </c>
      <c r="K114" s="224">
        <f t="shared" si="47"/>
        <v>0</v>
      </c>
      <c r="L114" s="224">
        <f t="shared" si="47"/>
        <v>0</v>
      </c>
      <c r="M114" s="224">
        <f aca="true" t="shared" si="48" ref="M114">$M87-M87</f>
        <v>0</v>
      </c>
    </row>
    <row r="116" spans="5:6" ht="15">
      <c r="E116" s="161" t="s">
        <v>262</v>
      </c>
      <c r="F116" s="161" t="s">
        <v>280</v>
      </c>
    </row>
    <row r="117" spans="1:13" ht="15">
      <c r="A117" s="728" t="str">
        <f>A52</f>
        <v>ALL OTHER LICENCES</v>
      </c>
      <c r="B117" s="724"/>
      <c r="C117" s="724"/>
      <c r="D117" s="209">
        <v>1</v>
      </c>
      <c r="E117" s="209">
        <v>0.5</v>
      </c>
      <c r="F117" s="209">
        <v>0.2</v>
      </c>
      <c r="G117" s="209">
        <v>0.1</v>
      </c>
      <c r="H117" s="209">
        <v>0.04</v>
      </c>
      <c r="I117" s="209">
        <v>0.02</v>
      </c>
      <c r="J117" s="411">
        <v>0.0133</v>
      </c>
      <c r="K117" s="209">
        <v>0.01</v>
      </c>
      <c r="L117" s="210">
        <v>0.005</v>
      </c>
      <c r="M117" s="210">
        <v>0.001</v>
      </c>
    </row>
    <row r="118" spans="3:13" ht="15">
      <c r="C118" s="209">
        <v>1</v>
      </c>
      <c r="D118" s="224">
        <f>IF($D88-D88&lt;0,0,$D88-D88)</f>
        <v>0</v>
      </c>
      <c r="E118" s="224">
        <f aca="true" t="shared" si="49" ref="E118:M118">IF($D88-E88&lt;0,0,$D88-E88)</f>
        <v>0</v>
      </c>
      <c r="F118" s="224">
        <f t="shared" si="49"/>
        <v>0</v>
      </c>
      <c r="G118" s="224">
        <f t="shared" si="49"/>
        <v>0</v>
      </c>
      <c r="H118" s="224">
        <f t="shared" si="49"/>
        <v>0</v>
      </c>
      <c r="I118" s="224">
        <f t="shared" si="49"/>
        <v>0</v>
      </c>
      <c r="J118" s="224">
        <f t="shared" si="49"/>
        <v>0</v>
      </c>
      <c r="K118" s="224">
        <f t="shared" si="49"/>
        <v>0</v>
      </c>
      <c r="L118" s="224">
        <f t="shared" si="49"/>
        <v>0</v>
      </c>
      <c r="M118" s="224">
        <f t="shared" si="49"/>
        <v>0</v>
      </c>
    </row>
    <row r="119" spans="2:13" ht="15">
      <c r="B119" s="161" t="s">
        <v>261</v>
      </c>
      <c r="C119" s="209">
        <v>0.5</v>
      </c>
      <c r="D119" s="224">
        <f>IF($E88-D88&gt;0,0,$E88-D88)</f>
        <v>0</v>
      </c>
      <c r="E119" s="224">
        <f aca="true" t="shared" si="50" ref="E119">$E88-E88</f>
        <v>0</v>
      </c>
      <c r="F119" s="224">
        <f>IF($E88-F88&lt;0,0,$E88-F88)</f>
        <v>0</v>
      </c>
      <c r="G119" s="224">
        <f aca="true" t="shared" si="51" ref="G119:M119">IF($E88-G88&lt;0,0,$E88-G88)</f>
        <v>0</v>
      </c>
      <c r="H119" s="224">
        <f t="shared" si="51"/>
        <v>0</v>
      </c>
      <c r="I119" s="224">
        <f t="shared" si="51"/>
        <v>0</v>
      </c>
      <c r="J119" s="224">
        <f t="shared" si="51"/>
        <v>0</v>
      </c>
      <c r="K119" s="224">
        <f t="shared" si="51"/>
        <v>0</v>
      </c>
      <c r="L119" s="224">
        <f t="shared" si="51"/>
        <v>0</v>
      </c>
      <c r="M119" s="224">
        <f t="shared" si="51"/>
        <v>0</v>
      </c>
    </row>
    <row r="120" spans="2:13" ht="15">
      <c r="B120" s="725" t="s">
        <v>281</v>
      </c>
      <c r="C120" s="209">
        <v>0.2</v>
      </c>
      <c r="D120" s="224">
        <f>IF($F88-D88&gt;0,0,$F88-D88)</f>
        <v>0</v>
      </c>
      <c r="E120" s="224">
        <f>IF($F88-E88&gt;0,0,$F88-E88)</f>
        <v>0</v>
      </c>
      <c r="F120" s="224">
        <f aca="true" t="shared" si="52" ref="F120">$F88-F88</f>
        <v>0</v>
      </c>
      <c r="G120" s="224">
        <f>IF($F88-G88&lt;0,0,$F88-G88)</f>
        <v>0</v>
      </c>
      <c r="H120" s="224">
        <f aca="true" t="shared" si="53" ref="H120:M120">IF($F88-H88&lt;0,0,$F88-H88)</f>
        <v>0</v>
      </c>
      <c r="I120" s="224">
        <f t="shared" si="53"/>
        <v>0</v>
      </c>
      <c r="J120" s="224">
        <f t="shared" si="53"/>
        <v>0</v>
      </c>
      <c r="K120" s="224">
        <f t="shared" si="53"/>
        <v>0</v>
      </c>
      <c r="L120" s="224">
        <f t="shared" si="53"/>
        <v>0</v>
      </c>
      <c r="M120" s="224">
        <f t="shared" si="53"/>
        <v>0</v>
      </c>
    </row>
    <row r="121" spans="2:13" ht="15">
      <c r="B121" s="725"/>
      <c r="C121" s="209">
        <v>0.1</v>
      </c>
      <c r="D121" s="224">
        <f>IF($G88-D88&gt;0,0,$G88-D88)</f>
        <v>0</v>
      </c>
      <c r="E121" s="224">
        <f aca="true" t="shared" si="54" ref="E121:F121">IF($G88-E88&gt;0,0,$G88-E88)</f>
        <v>0</v>
      </c>
      <c r="F121" s="224">
        <f t="shared" si="54"/>
        <v>0</v>
      </c>
      <c r="G121" s="224">
        <f aca="true" t="shared" si="55" ref="G121">$G88-G88</f>
        <v>0</v>
      </c>
      <c r="H121" s="224">
        <f>IF($G88-H88&lt;0,0,$G88-H88)</f>
        <v>0</v>
      </c>
      <c r="I121" s="224">
        <f aca="true" t="shared" si="56" ref="I121:M121">IF($G88-I88&lt;0,0,$G88-I88)</f>
        <v>0</v>
      </c>
      <c r="J121" s="224">
        <f t="shared" si="56"/>
        <v>0</v>
      </c>
      <c r="K121" s="224">
        <f t="shared" si="56"/>
        <v>0</v>
      </c>
      <c r="L121" s="224">
        <f t="shared" si="56"/>
        <v>0</v>
      </c>
      <c r="M121" s="224">
        <f t="shared" si="56"/>
        <v>0</v>
      </c>
    </row>
    <row r="122" spans="2:13" ht="15">
      <c r="B122" s="725"/>
      <c r="C122" s="209">
        <v>0.04</v>
      </c>
      <c r="D122" s="224">
        <f>IF($H88-D88&gt;0,0,$H88-D88)</f>
        <v>0</v>
      </c>
      <c r="E122" s="224">
        <f aca="true" t="shared" si="57" ref="E122:G122">IF($H88-E88&gt;0,0,$H88-E88)</f>
        <v>0</v>
      </c>
      <c r="F122" s="224">
        <f t="shared" si="57"/>
        <v>0</v>
      </c>
      <c r="G122" s="224">
        <f t="shared" si="57"/>
        <v>0</v>
      </c>
      <c r="H122" s="224">
        <f aca="true" t="shared" si="58" ref="H122">$H88-H88</f>
        <v>0</v>
      </c>
      <c r="I122" s="224">
        <f>IF($H88-I88&lt;0,0,$H88-I88)</f>
        <v>0</v>
      </c>
      <c r="J122" s="224">
        <f aca="true" t="shared" si="59" ref="J122:M122">IF($H88-J88&lt;0,0,$H88-J88)</f>
        <v>0</v>
      </c>
      <c r="K122" s="224">
        <f t="shared" si="59"/>
        <v>0</v>
      </c>
      <c r="L122" s="224">
        <f t="shared" si="59"/>
        <v>0</v>
      </c>
      <c r="M122" s="224">
        <f t="shared" si="59"/>
        <v>0</v>
      </c>
    </row>
    <row r="123" spans="2:13" ht="15">
      <c r="B123" s="725"/>
      <c r="C123" s="209">
        <v>0.02</v>
      </c>
      <c r="D123" s="224">
        <f>IF($I88-D88&gt;0,0,$I88-D88)</f>
        <v>0</v>
      </c>
      <c r="E123" s="224">
        <f aca="true" t="shared" si="60" ref="E123:H123">IF($I88-E88&gt;0,0,$I88-E88)</f>
        <v>0</v>
      </c>
      <c r="F123" s="224">
        <f t="shared" si="60"/>
        <v>0</v>
      </c>
      <c r="G123" s="224">
        <f t="shared" si="60"/>
        <v>0</v>
      </c>
      <c r="H123" s="224">
        <f t="shared" si="60"/>
        <v>0</v>
      </c>
      <c r="I123" s="224">
        <f aca="true" t="shared" si="61" ref="I123">$I88-I88</f>
        <v>0</v>
      </c>
      <c r="J123" s="224">
        <f>IF($I88-J88&lt;0,0,$I88-J88)</f>
        <v>0</v>
      </c>
      <c r="K123" s="224">
        <f aca="true" t="shared" si="62" ref="K123:M123">IF($I88-K88&lt;0,0,$I88-K88)</f>
        <v>0</v>
      </c>
      <c r="L123" s="224">
        <f t="shared" si="62"/>
        <v>0</v>
      </c>
      <c r="M123" s="224">
        <f t="shared" si="62"/>
        <v>0</v>
      </c>
    </row>
    <row r="124" spans="2:13" ht="15">
      <c r="B124" s="725"/>
      <c r="C124" s="411">
        <v>0.0133</v>
      </c>
      <c r="D124" s="224">
        <f>IF($J88-D88&gt;0,0,$J88-D88)</f>
        <v>0</v>
      </c>
      <c r="E124" s="224">
        <f aca="true" t="shared" si="63" ref="E124:J124">IF($J88-E88&gt;0,0,$J88-E88)</f>
        <v>0</v>
      </c>
      <c r="F124" s="224">
        <f t="shared" si="63"/>
        <v>0</v>
      </c>
      <c r="G124" s="224">
        <f t="shared" si="63"/>
        <v>0</v>
      </c>
      <c r="H124" s="224">
        <f t="shared" si="63"/>
        <v>0</v>
      </c>
      <c r="I124" s="224">
        <f t="shared" si="63"/>
        <v>0</v>
      </c>
      <c r="J124" s="224">
        <f t="shared" si="63"/>
        <v>0</v>
      </c>
      <c r="K124" s="224">
        <f>IF($J88-K88&lt;0,0,$J88-K88)</f>
        <v>0</v>
      </c>
      <c r="L124" s="224">
        <f aca="true" t="shared" si="64" ref="L124:M124">IF($J88-L88&lt;0,0,$J88-L88)</f>
        <v>0</v>
      </c>
      <c r="M124" s="224">
        <f t="shared" si="64"/>
        <v>0</v>
      </c>
    </row>
    <row r="125" spans="2:13" ht="15">
      <c r="B125" s="725"/>
      <c r="C125" s="209">
        <v>0.01</v>
      </c>
      <c r="D125" s="224">
        <f>IF($K88-D88&gt;0,0,$K88-D88)</f>
        <v>0</v>
      </c>
      <c r="E125" s="224">
        <f aca="true" t="shared" si="65" ref="E125:J125">IF($K88-E88&gt;0,0,$K88-E88)</f>
        <v>0</v>
      </c>
      <c r="F125" s="224">
        <f t="shared" si="65"/>
        <v>0</v>
      </c>
      <c r="G125" s="224">
        <f t="shared" si="65"/>
        <v>0</v>
      </c>
      <c r="H125" s="224">
        <f t="shared" si="65"/>
        <v>0</v>
      </c>
      <c r="I125" s="224">
        <f t="shared" si="65"/>
        <v>0</v>
      </c>
      <c r="J125" s="224">
        <f t="shared" si="65"/>
        <v>0</v>
      </c>
      <c r="K125" s="224">
        <f aca="true" t="shared" si="66" ref="K125">$K88-K88</f>
        <v>0</v>
      </c>
      <c r="L125" s="224">
        <f>IF($K88-L88&lt;0,0,$K88-L88)</f>
        <v>0</v>
      </c>
      <c r="M125" s="224">
        <f>IF($K88-M88&lt;0,0,$K88-M88)</f>
        <v>0</v>
      </c>
    </row>
    <row r="126" spans="2:13" ht="15">
      <c r="B126" s="725"/>
      <c r="C126" s="210">
        <v>0.005</v>
      </c>
      <c r="D126" s="224">
        <f>IF($L88-D88&gt;0,0,$L88-D88)</f>
        <v>0</v>
      </c>
      <c r="E126" s="224">
        <f aca="true" t="shared" si="67" ref="E126:K126">IF($L88-E88&gt;0,0,$L88-E88)</f>
        <v>0</v>
      </c>
      <c r="F126" s="224">
        <f t="shared" si="67"/>
        <v>0</v>
      </c>
      <c r="G126" s="224">
        <f t="shared" si="67"/>
        <v>0</v>
      </c>
      <c r="H126" s="224">
        <f t="shared" si="67"/>
        <v>0</v>
      </c>
      <c r="I126" s="224">
        <f t="shared" si="67"/>
        <v>0</v>
      </c>
      <c r="J126" s="224">
        <f t="shared" si="67"/>
        <v>0</v>
      </c>
      <c r="K126" s="224">
        <f t="shared" si="67"/>
        <v>0</v>
      </c>
      <c r="L126" s="224">
        <f aca="true" t="shared" si="68" ref="L126">$L88-L88</f>
        <v>0</v>
      </c>
      <c r="M126" s="224">
        <f>IF($L88-M88&lt;0,0,$L88-M88)</f>
        <v>0</v>
      </c>
    </row>
    <row r="127" spans="2:13" ht="15">
      <c r="B127" s="725"/>
      <c r="C127" s="210">
        <v>0.001</v>
      </c>
      <c r="D127" s="224">
        <f>IF($M88-D88&gt;0,0,$M88-D88)</f>
        <v>0</v>
      </c>
      <c r="E127" s="224">
        <f aca="true" t="shared" si="69" ref="E127:L127">IF($M88-E88&gt;0,0,$M88-E88)</f>
        <v>0</v>
      </c>
      <c r="F127" s="224">
        <f t="shared" si="69"/>
        <v>0</v>
      </c>
      <c r="G127" s="224">
        <f t="shared" si="69"/>
        <v>0</v>
      </c>
      <c r="H127" s="224">
        <f t="shared" si="69"/>
        <v>0</v>
      </c>
      <c r="I127" s="224">
        <f t="shared" si="69"/>
        <v>0</v>
      </c>
      <c r="J127" s="224">
        <f t="shared" si="69"/>
        <v>0</v>
      </c>
      <c r="K127" s="224">
        <f t="shared" si="69"/>
        <v>0</v>
      </c>
      <c r="L127" s="224">
        <f t="shared" si="69"/>
        <v>0</v>
      </c>
      <c r="M127" s="224">
        <f aca="true" t="shared" si="70" ref="M127">$M88-M88</f>
        <v>0</v>
      </c>
    </row>
    <row r="129" spans="5:6" ht="15">
      <c r="E129" s="161" t="s">
        <v>262</v>
      </c>
      <c r="F129" s="161" t="s">
        <v>280</v>
      </c>
    </row>
    <row r="130" spans="1:13" ht="15">
      <c r="A130" s="728" t="s">
        <v>518</v>
      </c>
      <c r="B130" s="724"/>
      <c r="C130" s="724"/>
      <c r="D130" s="209">
        <v>1</v>
      </c>
      <c r="E130" s="209">
        <v>0.5</v>
      </c>
      <c r="F130" s="209">
        <v>0.2</v>
      </c>
      <c r="G130" s="209">
        <v>0.1</v>
      </c>
      <c r="H130" s="209">
        <v>0.04</v>
      </c>
      <c r="I130" s="209">
        <v>0.02</v>
      </c>
      <c r="J130" s="411">
        <v>0.0133</v>
      </c>
      <c r="K130" s="209">
        <v>0.01</v>
      </c>
      <c r="L130" s="210">
        <v>0.005</v>
      </c>
      <c r="M130" s="210">
        <v>0.001</v>
      </c>
    </row>
    <row r="131" spans="3:13" ht="15">
      <c r="C131" s="209">
        <v>1</v>
      </c>
      <c r="D131" s="224">
        <f>D27*D92</f>
        <v>0</v>
      </c>
      <c r="E131" s="224">
        <f aca="true" t="shared" si="71" ref="E131:M131">E27*E92</f>
        <v>0</v>
      </c>
      <c r="F131" s="224">
        <f t="shared" si="71"/>
        <v>0</v>
      </c>
      <c r="G131" s="224">
        <f t="shared" si="71"/>
        <v>0</v>
      </c>
      <c r="H131" s="224">
        <f t="shared" si="71"/>
        <v>0</v>
      </c>
      <c r="I131" s="224">
        <f t="shared" si="71"/>
        <v>0</v>
      </c>
      <c r="J131" s="224">
        <f t="shared" si="71"/>
        <v>0</v>
      </c>
      <c r="K131" s="224">
        <f t="shared" si="71"/>
        <v>0</v>
      </c>
      <c r="L131" s="224">
        <f t="shared" si="71"/>
        <v>0</v>
      </c>
      <c r="M131" s="224">
        <f t="shared" si="71"/>
        <v>0</v>
      </c>
    </row>
    <row r="132" spans="2:13" ht="15">
      <c r="B132" s="161" t="s">
        <v>261</v>
      </c>
      <c r="C132" s="209">
        <v>0.5</v>
      </c>
      <c r="D132" s="224">
        <f aca="true" t="shared" si="72" ref="D132:M140">D28*D93</f>
        <v>0</v>
      </c>
      <c r="E132" s="224">
        <f t="shared" si="72"/>
        <v>0</v>
      </c>
      <c r="F132" s="224">
        <f t="shared" si="72"/>
        <v>0</v>
      </c>
      <c r="G132" s="224">
        <f t="shared" si="72"/>
        <v>0</v>
      </c>
      <c r="H132" s="224">
        <f t="shared" si="72"/>
        <v>0</v>
      </c>
      <c r="I132" s="224">
        <f t="shared" si="72"/>
        <v>0</v>
      </c>
      <c r="J132" s="224">
        <f t="shared" si="72"/>
        <v>0</v>
      </c>
      <c r="K132" s="224">
        <f t="shared" si="72"/>
        <v>0</v>
      </c>
      <c r="L132" s="224">
        <f t="shared" si="72"/>
        <v>0</v>
      </c>
      <c r="M132" s="224">
        <f t="shared" si="72"/>
        <v>0</v>
      </c>
    </row>
    <row r="133" spans="2:13" ht="15">
      <c r="B133" s="725" t="s">
        <v>281</v>
      </c>
      <c r="C133" s="209">
        <v>0.2</v>
      </c>
      <c r="D133" s="224">
        <f t="shared" si="72"/>
        <v>0</v>
      </c>
      <c r="E133" s="224">
        <f t="shared" si="72"/>
        <v>0</v>
      </c>
      <c r="F133" s="224">
        <f t="shared" si="72"/>
        <v>0</v>
      </c>
      <c r="G133" s="224">
        <f t="shared" si="72"/>
        <v>0</v>
      </c>
      <c r="H133" s="224">
        <f t="shared" si="72"/>
        <v>0</v>
      </c>
      <c r="I133" s="224">
        <f t="shared" si="72"/>
        <v>0</v>
      </c>
      <c r="J133" s="224">
        <f t="shared" si="72"/>
        <v>0</v>
      </c>
      <c r="K133" s="224">
        <f t="shared" si="72"/>
        <v>0</v>
      </c>
      <c r="L133" s="224">
        <f t="shared" si="72"/>
        <v>0</v>
      </c>
      <c r="M133" s="224">
        <f t="shared" si="72"/>
        <v>0</v>
      </c>
    </row>
    <row r="134" spans="2:13" ht="15">
      <c r="B134" s="725"/>
      <c r="C134" s="209">
        <v>0.1</v>
      </c>
      <c r="D134" s="224">
        <f t="shared" si="72"/>
        <v>0</v>
      </c>
      <c r="E134" s="224">
        <f t="shared" si="72"/>
        <v>0</v>
      </c>
      <c r="F134" s="224">
        <f t="shared" si="72"/>
        <v>0</v>
      </c>
      <c r="G134" s="224">
        <f t="shared" si="72"/>
        <v>0</v>
      </c>
      <c r="H134" s="224">
        <f t="shared" si="72"/>
        <v>0</v>
      </c>
      <c r="I134" s="224">
        <f t="shared" si="72"/>
        <v>0</v>
      </c>
      <c r="J134" s="224">
        <f t="shared" si="72"/>
        <v>0</v>
      </c>
      <c r="K134" s="224">
        <f t="shared" si="72"/>
        <v>0</v>
      </c>
      <c r="L134" s="224">
        <f t="shared" si="72"/>
        <v>0</v>
      </c>
      <c r="M134" s="224">
        <f t="shared" si="72"/>
        <v>0</v>
      </c>
    </row>
    <row r="135" spans="2:13" ht="15">
      <c r="B135" s="725"/>
      <c r="C135" s="209">
        <v>0.04</v>
      </c>
      <c r="D135" s="224">
        <f t="shared" si="72"/>
        <v>0</v>
      </c>
      <c r="E135" s="224">
        <f t="shared" si="72"/>
        <v>0</v>
      </c>
      <c r="F135" s="224">
        <f t="shared" si="72"/>
        <v>0</v>
      </c>
      <c r="G135" s="224">
        <f t="shared" si="72"/>
        <v>0</v>
      </c>
      <c r="H135" s="224">
        <f t="shared" si="72"/>
        <v>0</v>
      </c>
      <c r="I135" s="224">
        <f t="shared" si="72"/>
        <v>0</v>
      </c>
      <c r="J135" s="224">
        <f t="shared" si="72"/>
        <v>0</v>
      </c>
      <c r="K135" s="224">
        <f t="shared" si="72"/>
        <v>0</v>
      </c>
      <c r="L135" s="224">
        <f t="shared" si="72"/>
        <v>0</v>
      </c>
      <c r="M135" s="224">
        <f t="shared" si="72"/>
        <v>0</v>
      </c>
    </row>
    <row r="136" spans="2:13" ht="15">
      <c r="B136" s="725"/>
      <c r="C136" s="209">
        <v>0.02</v>
      </c>
      <c r="D136" s="224">
        <f t="shared" si="72"/>
        <v>0</v>
      </c>
      <c r="E136" s="224">
        <f t="shared" si="72"/>
        <v>0</v>
      </c>
      <c r="F136" s="224">
        <f t="shared" si="72"/>
        <v>0</v>
      </c>
      <c r="G136" s="224">
        <f t="shared" si="72"/>
        <v>0</v>
      </c>
      <c r="H136" s="224">
        <f t="shared" si="72"/>
        <v>0</v>
      </c>
      <c r="I136" s="224">
        <f t="shared" si="72"/>
        <v>0</v>
      </c>
      <c r="J136" s="224">
        <f t="shared" si="72"/>
        <v>0</v>
      </c>
      <c r="K136" s="224">
        <f t="shared" si="72"/>
        <v>0</v>
      </c>
      <c r="L136" s="224">
        <f t="shared" si="72"/>
        <v>0</v>
      </c>
      <c r="M136" s="224">
        <f t="shared" si="72"/>
        <v>0</v>
      </c>
    </row>
    <row r="137" spans="2:13" ht="15">
      <c r="B137" s="725"/>
      <c r="C137" s="411">
        <v>0.0133</v>
      </c>
      <c r="D137" s="224">
        <f t="shared" si="72"/>
        <v>0</v>
      </c>
      <c r="E137" s="224">
        <f t="shared" si="72"/>
        <v>0</v>
      </c>
      <c r="F137" s="224">
        <f t="shared" si="72"/>
        <v>0</v>
      </c>
      <c r="G137" s="224">
        <f t="shared" si="72"/>
        <v>0</v>
      </c>
      <c r="H137" s="224">
        <f t="shared" si="72"/>
        <v>0</v>
      </c>
      <c r="I137" s="224">
        <f t="shared" si="72"/>
        <v>0</v>
      </c>
      <c r="J137" s="224">
        <f t="shared" si="72"/>
        <v>0</v>
      </c>
      <c r="K137" s="224">
        <f t="shared" si="72"/>
        <v>0</v>
      </c>
      <c r="L137" s="224">
        <f t="shared" si="72"/>
        <v>0</v>
      </c>
      <c r="M137" s="224">
        <f t="shared" si="72"/>
        <v>0</v>
      </c>
    </row>
    <row r="138" spans="2:13" ht="15">
      <c r="B138" s="725"/>
      <c r="C138" s="209">
        <v>0.01</v>
      </c>
      <c r="D138" s="224">
        <f t="shared" si="72"/>
        <v>0</v>
      </c>
      <c r="E138" s="224">
        <f t="shared" si="72"/>
        <v>0</v>
      </c>
      <c r="F138" s="224">
        <f t="shared" si="72"/>
        <v>0</v>
      </c>
      <c r="G138" s="224">
        <f t="shared" si="72"/>
        <v>0</v>
      </c>
      <c r="H138" s="224">
        <f t="shared" si="72"/>
        <v>0</v>
      </c>
      <c r="I138" s="224">
        <f t="shared" si="72"/>
        <v>0</v>
      </c>
      <c r="J138" s="224">
        <f t="shared" si="72"/>
        <v>0</v>
      </c>
      <c r="K138" s="224">
        <f t="shared" si="72"/>
        <v>0</v>
      </c>
      <c r="L138" s="224">
        <f t="shared" si="72"/>
        <v>0</v>
      </c>
      <c r="M138" s="224">
        <f t="shared" si="72"/>
        <v>0</v>
      </c>
    </row>
    <row r="139" spans="2:13" ht="15">
      <c r="B139" s="725"/>
      <c r="C139" s="210">
        <v>0.005</v>
      </c>
      <c r="D139" s="224">
        <f t="shared" si="72"/>
        <v>0</v>
      </c>
      <c r="E139" s="224">
        <f t="shared" si="72"/>
        <v>0</v>
      </c>
      <c r="F139" s="224">
        <f t="shared" si="72"/>
        <v>0</v>
      </c>
      <c r="G139" s="224">
        <f t="shared" si="72"/>
        <v>0</v>
      </c>
      <c r="H139" s="224">
        <f t="shared" si="72"/>
        <v>0</v>
      </c>
      <c r="I139" s="224">
        <f t="shared" si="72"/>
        <v>0</v>
      </c>
      <c r="J139" s="224">
        <f t="shared" si="72"/>
        <v>0</v>
      </c>
      <c r="K139" s="224">
        <f t="shared" si="72"/>
        <v>0</v>
      </c>
      <c r="L139" s="224">
        <f t="shared" si="72"/>
        <v>0</v>
      </c>
      <c r="M139" s="224">
        <f t="shared" si="72"/>
        <v>0</v>
      </c>
    </row>
    <row r="140" spans="2:13" ht="15">
      <c r="B140" s="725"/>
      <c r="C140" s="210">
        <v>0.001</v>
      </c>
      <c r="D140" s="224">
        <f t="shared" si="72"/>
        <v>0</v>
      </c>
      <c r="E140" s="224">
        <f t="shared" si="72"/>
        <v>0</v>
      </c>
      <c r="F140" s="224">
        <f t="shared" si="72"/>
        <v>0</v>
      </c>
      <c r="G140" s="224">
        <f t="shared" si="72"/>
        <v>0</v>
      </c>
      <c r="H140" s="224">
        <f t="shared" si="72"/>
        <v>0</v>
      </c>
      <c r="I140" s="224">
        <f t="shared" si="72"/>
        <v>0</v>
      </c>
      <c r="J140" s="224">
        <f t="shared" si="72"/>
        <v>0</v>
      </c>
      <c r="K140" s="224">
        <f t="shared" si="72"/>
        <v>0</v>
      </c>
      <c r="L140" s="224">
        <f t="shared" si="72"/>
        <v>0</v>
      </c>
      <c r="M140" s="224">
        <f t="shared" si="72"/>
        <v>0</v>
      </c>
    </row>
    <row r="142" spans="5:6" ht="15">
      <c r="E142" s="161" t="s">
        <v>262</v>
      </c>
      <c r="F142" s="161" t="s">
        <v>280</v>
      </c>
    </row>
    <row r="143" spans="1:13" ht="33" customHeight="1">
      <c r="A143" s="722" t="s">
        <v>519</v>
      </c>
      <c r="B143" s="723"/>
      <c r="C143" s="723"/>
      <c r="D143" s="209">
        <v>1</v>
      </c>
      <c r="E143" s="209">
        <v>0.5</v>
      </c>
      <c r="F143" s="209">
        <v>0.2</v>
      </c>
      <c r="G143" s="209">
        <v>0.1</v>
      </c>
      <c r="H143" s="209">
        <v>0.04</v>
      </c>
      <c r="I143" s="209">
        <v>0.02</v>
      </c>
      <c r="J143" s="411">
        <v>0.0133</v>
      </c>
      <c r="K143" s="209">
        <v>0.01</v>
      </c>
      <c r="L143" s="210">
        <v>0.005</v>
      </c>
      <c r="M143" s="210">
        <v>0.001</v>
      </c>
    </row>
    <row r="144" spans="3:13" ht="15">
      <c r="C144" s="209">
        <v>1</v>
      </c>
      <c r="D144" s="224">
        <f>D40*D105+D53*D118</f>
        <v>0</v>
      </c>
      <c r="E144" s="224">
        <f aca="true" t="shared" si="73" ref="E144:M144">E40*E105+E53*E118</f>
        <v>0</v>
      </c>
      <c r="F144" s="224">
        <f t="shared" si="73"/>
        <v>0</v>
      </c>
      <c r="G144" s="224">
        <f t="shared" si="73"/>
        <v>0</v>
      </c>
      <c r="H144" s="224">
        <f t="shared" si="73"/>
        <v>0</v>
      </c>
      <c r="I144" s="224">
        <f t="shared" si="73"/>
        <v>0</v>
      </c>
      <c r="J144" s="224">
        <f t="shared" si="73"/>
        <v>0</v>
      </c>
      <c r="K144" s="224">
        <f t="shared" si="73"/>
        <v>0</v>
      </c>
      <c r="L144" s="224">
        <f t="shared" si="73"/>
        <v>0</v>
      </c>
      <c r="M144" s="224">
        <f t="shared" si="73"/>
        <v>0</v>
      </c>
    </row>
    <row r="145" spans="2:13" ht="15">
      <c r="B145" s="161" t="s">
        <v>261</v>
      </c>
      <c r="C145" s="209">
        <v>0.5</v>
      </c>
      <c r="D145" s="224">
        <f aca="true" t="shared" si="74" ref="D145:M153">D41*D106+D54*D119</f>
        <v>0</v>
      </c>
      <c r="E145" s="224">
        <f t="shared" si="74"/>
        <v>0</v>
      </c>
      <c r="F145" s="224">
        <f t="shared" si="74"/>
        <v>0</v>
      </c>
      <c r="G145" s="224">
        <f t="shared" si="74"/>
        <v>0</v>
      </c>
      <c r="H145" s="224">
        <f t="shared" si="74"/>
        <v>0</v>
      </c>
      <c r="I145" s="224">
        <f t="shared" si="74"/>
        <v>0</v>
      </c>
      <c r="J145" s="224">
        <f t="shared" si="74"/>
        <v>0</v>
      </c>
      <c r="K145" s="224">
        <f t="shared" si="74"/>
        <v>0</v>
      </c>
      <c r="L145" s="224">
        <f t="shared" si="74"/>
        <v>0</v>
      </c>
      <c r="M145" s="224">
        <f t="shared" si="74"/>
        <v>0</v>
      </c>
    </row>
    <row r="146" spans="2:13" ht="15">
      <c r="B146" s="725" t="s">
        <v>281</v>
      </c>
      <c r="C146" s="209">
        <v>0.2</v>
      </c>
      <c r="D146" s="224">
        <f t="shared" si="74"/>
        <v>0</v>
      </c>
      <c r="E146" s="224">
        <f t="shared" si="74"/>
        <v>0</v>
      </c>
      <c r="F146" s="224">
        <f t="shared" si="74"/>
        <v>0</v>
      </c>
      <c r="G146" s="224">
        <f t="shared" si="74"/>
        <v>0</v>
      </c>
      <c r="H146" s="224">
        <f t="shared" si="74"/>
        <v>0</v>
      </c>
      <c r="I146" s="224">
        <f t="shared" si="74"/>
        <v>0</v>
      </c>
      <c r="J146" s="224">
        <f t="shared" si="74"/>
        <v>0</v>
      </c>
      <c r="K146" s="224">
        <f t="shared" si="74"/>
        <v>0</v>
      </c>
      <c r="L146" s="224">
        <f t="shared" si="74"/>
        <v>0</v>
      </c>
      <c r="M146" s="224">
        <f t="shared" si="74"/>
        <v>0</v>
      </c>
    </row>
    <row r="147" spans="2:13" ht="15">
      <c r="B147" s="725"/>
      <c r="C147" s="209">
        <v>0.1</v>
      </c>
      <c r="D147" s="224">
        <f t="shared" si="74"/>
        <v>0</v>
      </c>
      <c r="E147" s="224">
        <f t="shared" si="74"/>
        <v>0</v>
      </c>
      <c r="F147" s="224">
        <f t="shared" si="74"/>
        <v>0</v>
      </c>
      <c r="G147" s="224">
        <f t="shared" si="74"/>
        <v>0</v>
      </c>
      <c r="H147" s="224">
        <f t="shared" si="74"/>
        <v>0</v>
      </c>
      <c r="I147" s="224">
        <f t="shared" si="74"/>
        <v>0</v>
      </c>
      <c r="J147" s="224">
        <f t="shared" si="74"/>
        <v>0</v>
      </c>
      <c r="K147" s="224">
        <f t="shared" si="74"/>
        <v>0</v>
      </c>
      <c r="L147" s="224">
        <f t="shared" si="74"/>
        <v>0</v>
      </c>
      <c r="M147" s="224">
        <f t="shared" si="74"/>
        <v>0</v>
      </c>
    </row>
    <row r="148" spans="2:13" ht="15">
      <c r="B148" s="725"/>
      <c r="C148" s="209">
        <v>0.04</v>
      </c>
      <c r="D148" s="224">
        <f t="shared" si="74"/>
        <v>0</v>
      </c>
      <c r="E148" s="224">
        <f t="shared" si="74"/>
        <v>0</v>
      </c>
      <c r="F148" s="224">
        <f t="shared" si="74"/>
        <v>0</v>
      </c>
      <c r="G148" s="224">
        <f t="shared" si="74"/>
        <v>0</v>
      </c>
      <c r="H148" s="224">
        <f t="shared" si="74"/>
        <v>0</v>
      </c>
      <c r="I148" s="224">
        <f t="shared" si="74"/>
        <v>0</v>
      </c>
      <c r="J148" s="224">
        <f t="shared" si="74"/>
        <v>0</v>
      </c>
      <c r="K148" s="224">
        <f t="shared" si="74"/>
        <v>0</v>
      </c>
      <c r="L148" s="224">
        <f t="shared" si="74"/>
        <v>0</v>
      </c>
      <c r="M148" s="224">
        <f t="shared" si="74"/>
        <v>0</v>
      </c>
    </row>
    <row r="149" spans="2:13" ht="15">
      <c r="B149" s="725"/>
      <c r="C149" s="209">
        <v>0.02</v>
      </c>
      <c r="D149" s="224">
        <f t="shared" si="74"/>
        <v>0</v>
      </c>
      <c r="E149" s="224">
        <f t="shared" si="74"/>
        <v>0</v>
      </c>
      <c r="F149" s="224">
        <f t="shared" si="74"/>
        <v>0</v>
      </c>
      <c r="G149" s="224">
        <f t="shared" si="74"/>
        <v>0</v>
      </c>
      <c r="H149" s="224">
        <f t="shared" si="74"/>
        <v>0</v>
      </c>
      <c r="I149" s="224">
        <f t="shared" si="74"/>
        <v>0</v>
      </c>
      <c r="J149" s="224">
        <f t="shared" si="74"/>
        <v>0</v>
      </c>
      <c r="K149" s="224">
        <f t="shared" si="74"/>
        <v>0</v>
      </c>
      <c r="L149" s="224">
        <f t="shared" si="74"/>
        <v>0</v>
      </c>
      <c r="M149" s="224">
        <f t="shared" si="74"/>
        <v>0</v>
      </c>
    </row>
    <row r="150" spans="2:13" ht="15">
      <c r="B150" s="725"/>
      <c r="C150" s="411">
        <v>0.0133</v>
      </c>
      <c r="D150" s="224">
        <f t="shared" si="74"/>
        <v>0</v>
      </c>
      <c r="E150" s="224">
        <f t="shared" si="74"/>
        <v>0</v>
      </c>
      <c r="F150" s="224">
        <f t="shared" si="74"/>
        <v>0</v>
      </c>
      <c r="G150" s="224">
        <f t="shared" si="74"/>
        <v>0</v>
      </c>
      <c r="H150" s="224">
        <f t="shared" si="74"/>
        <v>0</v>
      </c>
      <c r="I150" s="224">
        <f t="shared" si="74"/>
        <v>0</v>
      </c>
      <c r="J150" s="224">
        <f t="shared" si="74"/>
        <v>0</v>
      </c>
      <c r="K150" s="224">
        <f t="shared" si="74"/>
        <v>0</v>
      </c>
      <c r="L150" s="224">
        <f t="shared" si="74"/>
        <v>0</v>
      </c>
      <c r="M150" s="224">
        <f t="shared" si="74"/>
        <v>0</v>
      </c>
    </row>
    <row r="151" spans="2:13" ht="15">
      <c r="B151" s="725"/>
      <c r="C151" s="209">
        <v>0.01</v>
      </c>
      <c r="D151" s="224">
        <f t="shared" si="74"/>
        <v>0</v>
      </c>
      <c r="E151" s="224">
        <f t="shared" si="74"/>
        <v>0</v>
      </c>
      <c r="F151" s="224">
        <f t="shared" si="74"/>
        <v>0</v>
      </c>
      <c r="G151" s="224">
        <f t="shared" si="74"/>
        <v>0</v>
      </c>
      <c r="H151" s="224">
        <f t="shared" si="74"/>
        <v>0</v>
      </c>
      <c r="I151" s="224">
        <f t="shared" si="74"/>
        <v>0</v>
      </c>
      <c r="J151" s="224">
        <f t="shared" si="74"/>
        <v>0</v>
      </c>
      <c r="K151" s="224">
        <f t="shared" si="74"/>
        <v>0</v>
      </c>
      <c r="L151" s="224">
        <f t="shared" si="74"/>
        <v>0</v>
      </c>
      <c r="M151" s="224">
        <f t="shared" si="74"/>
        <v>0</v>
      </c>
    </row>
    <row r="152" spans="2:13" ht="15">
      <c r="B152" s="725"/>
      <c r="C152" s="210">
        <v>0.005</v>
      </c>
      <c r="D152" s="224">
        <f t="shared" si="74"/>
        <v>0</v>
      </c>
      <c r="E152" s="224">
        <f t="shared" si="74"/>
        <v>0</v>
      </c>
      <c r="F152" s="224">
        <f t="shared" si="74"/>
        <v>0</v>
      </c>
      <c r="G152" s="224">
        <f t="shared" si="74"/>
        <v>0</v>
      </c>
      <c r="H152" s="224">
        <f t="shared" si="74"/>
        <v>0</v>
      </c>
      <c r="I152" s="224">
        <f t="shared" si="74"/>
        <v>0</v>
      </c>
      <c r="J152" s="224">
        <f t="shared" si="74"/>
        <v>0</v>
      </c>
      <c r="K152" s="224">
        <f t="shared" si="74"/>
        <v>0</v>
      </c>
      <c r="L152" s="224">
        <f t="shared" si="74"/>
        <v>0</v>
      </c>
      <c r="M152" s="224">
        <f t="shared" si="74"/>
        <v>0</v>
      </c>
    </row>
    <row r="153" spans="2:13" ht="15">
      <c r="B153" s="725"/>
      <c r="C153" s="210">
        <v>0.001</v>
      </c>
      <c r="D153" s="224">
        <f t="shared" si="74"/>
        <v>0</v>
      </c>
      <c r="E153" s="224">
        <f t="shared" si="74"/>
        <v>0</v>
      </c>
      <c r="F153" s="224">
        <f t="shared" si="74"/>
        <v>0</v>
      </c>
      <c r="G153" s="224">
        <f t="shared" si="74"/>
        <v>0</v>
      </c>
      <c r="H153" s="224">
        <f t="shared" si="74"/>
        <v>0</v>
      </c>
      <c r="I153" s="224">
        <f t="shared" si="74"/>
        <v>0</v>
      </c>
      <c r="J153" s="224">
        <f t="shared" si="74"/>
        <v>0</v>
      </c>
      <c r="K153" s="224">
        <f t="shared" si="74"/>
        <v>0</v>
      </c>
      <c r="L153" s="224">
        <f t="shared" si="74"/>
        <v>0</v>
      </c>
      <c r="M153" s="224">
        <f t="shared" si="74"/>
        <v>0</v>
      </c>
    </row>
    <row r="154" ht="15.75" thickBot="1"/>
    <row r="155" spans="4:17" ht="16.5" thickBot="1" thickTop="1">
      <c r="D155" s="220" t="str">
        <f>IF(SUM(D131:M140)=0,"Enter number of licences (direct benefits)","Total annual direct impacts")</f>
        <v>Enter number of licences (direct benefits)</v>
      </c>
      <c r="E155" s="221"/>
      <c r="F155" s="222"/>
      <c r="G155" s="222"/>
      <c r="H155" s="222"/>
      <c r="I155" s="222"/>
      <c r="J155" s="222"/>
      <c r="K155" s="223">
        <f>SUM(D144:M153)</f>
        <v>0</v>
      </c>
      <c r="L155" s="412"/>
      <c r="M155" s="367" t="s">
        <v>804</v>
      </c>
      <c r="N155" s="718" t="s">
        <v>811</v>
      </c>
      <c r="O155" s="719"/>
      <c r="P155" s="719"/>
      <c r="Q155" s="720"/>
    </row>
    <row r="156" spans="4:17" ht="16.5" thickBot="1" thickTop="1">
      <c r="D156" s="220" t="str">
        <f>IF(SUM(D132:M141)=0,"Enter number of licences (indirect benefits)","Total annual indirect impacts")</f>
        <v>Enter number of licences (indirect benefits)</v>
      </c>
      <c r="E156" s="221"/>
      <c r="F156" s="222"/>
      <c r="G156" s="222"/>
      <c r="H156" s="222"/>
      <c r="I156" s="222"/>
      <c r="J156" s="222"/>
      <c r="K156" s="223">
        <f>SUM(D131:M140)</f>
        <v>0</v>
      </c>
      <c r="L156" s="412"/>
      <c r="M156" s="367" t="s">
        <v>804</v>
      </c>
      <c r="N156" s="718" t="s">
        <v>811</v>
      </c>
      <c r="O156" s="719"/>
      <c r="P156" s="719"/>
      <c r="Q156" s="720"/>
    </row>
    <row r="157" ht="15.75" thickTop="1"/>
  </sheetData>
  <sheetProtection sheet="1" objects="1" scenarios="1"/>
  <mergeCells count="18">
    <mergeCell ref="N155:Q155"/>
    <mergeCell ref="N156:Q156"/>
    <mergeCell ref="A91:C91"/>
    <mergeCell ref="A130:C130"/>
    <mergeCell ref="B133:B140"/>
    <mergeCell ref="A143:C143"/>
    <mergeCell ref="B146:B153"/>
    <mergeCell ref="B94:B101"/>
    <mergeCell ref="A104:C104"/>
    <mergeCell ref="B107:B114"/>
    <mergeCell ref="A117:C117"/>
    <mergeCell ref="B120:B127"/>
    <mergeCell ref="L1:P1"/>
    <mergeCell ref="O65:Y65"/>
    <mergeCell ref="A77:C77"/>
    <mergeCell ref="A26:C26"/>
    <mergeCell ref="A39:C39"/>
    <mergeCell ref="A52:C52"/>
  </mergeCells>
  <dataValidations count="4">
    <dataValidation type="list" allowBlank="1" showInputMessage="1" showErrorMessage="1" sqref="D13:D14">
      <formula1>$C$5:$C$11</formula1>
    </dataValidation>
    <dataValidation type="list" allowBlank="1" showInputMessage="1" showErrorMessage="1" sqref="D65:M65">
      <formula1>"Permanent loss, One-off loss"</formula1>
    </dataValidation>
    <dataValidation type="list" allowBlank="1" showInputMessage="1" showErrorMessage="1" sqref="N156:Q156">
      <formula1>"HighL  default values used throughout, Moderate:  some specific data included; Low:  specific data used throughout"</formula1>
    </dataValidation>
    <dataValidation type="list" allowBlank="1" showInputMessage="1" showErrorMessage="1" sqref="N155:Q155">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69"/>
  <headerFooter>
    <oddHeader>&amp;C&amp;A</oddHead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Y120"/>
  <sheetViews>
    <sheetView workbookViewId="0" topLeftCell="A1"/>
  </sheetViews>
  <sheetFormatPr defaultColWidth="9.140625" defaultRowHeight="15"/>
  <cols>
    <col min="1" max="1" width="9.140625" style="161" customWidth="1"/>
    <col min="2" max="2" width="10.28125" style="161" customWidth="1"/>
    <col min="3" max="3" width="19.7109375" style="161" customWidth="1"/>
    <col min="4" max="13" width="11.57421875" style="161" customWidth="1"/>
    <col min="14" max="16384" width="9.140625" style="161" customWidth="1"/>
  </cols>
  <sheetData>
    <row r="1" spans="1:16" ht="15">
      <c r="A1" s="158" t="s">
        <v>16</v>
      </c>
      <c r="B1" s="156"/>
      <c r="C1" s="156"/>
      <c r="E1" s="157"/>
      <c r="F1" s="157" t="s">
        <v>260</v>
      </c>
      <c r="I1" s="215" t="s">
        <v>992</v>
      </c>
      <c r="J1" s="215">
        <v>15</v>
      </c>
      <c r="K1" s="215" t="s">
        <v>991</v>
      </c>
      <c r="L1" s="724"/>
      <c r="M1" s="724"/>
      <c r="N1" s="724"/>
      <c r="O1" s="724"/>
      <c r="P1" s="724"/>
    </row>
    <row r="3" spans="3:10" ht="15">
      <c r="C3" s="739" t="s">
        <v>406</v>
      </c>
      <c r="D3" s="739"/>
      <c r="E3" s="739"/>
      <c r="F3" s="739"/>
      <c r="G3" s="739"/>
      <c r="H3" s="739"/>
      <c r="I3" s="739"/>
      <c r="J3" s="402"/>
    </row>
    <row r="4" spans="4:6" ht="15">
      <c r="D4" s="160" t="s">
        <v>106</v>
      </c>
      <c r="E4" s="160" t="s">
        <v>240</v>
      </c>
      <c r="F4" s="160" t="s">
        <v>241</v>
      </c>
    </row>
    <row r="5" spans="3:6" ht="30">
      <c r="C5" s="229" t="s">
        <v>93</v>
      </c>
      <c r="D5" s="584"/>
      <c r="E5" s="160">
        <f>IF(D5&lt;&gt;0,3,0)</f>
        <v>0</v>
      </c>
      <c r="F5" s="160">
        <f>D5*E5</f>
        <v>0</v>
      </c>
    </row>
    <row r="6" spans="3:6" ht="30">
      <c r="C6" s="229" t="s">
        <v>418</v>
      </c>
      <c r="D6" s="584"/>
      <c r="E6" s="160">
        <f>IF(D6&lt;&gt;0,1,0)</f>
        <v>0</v>
      </c>
      <c r="F6" s="160">
        <f>D6*E6</f>
        <v>0</v>
      </c>
    </row>
    <row r="7" spans="3:6" ht="30">
      <c r="C7" s="229" t="s">
        <v>407</v>
      </c>
      <c r="D7" s="584"/>
      <c r="E7" s="160">
        <f>IF(D7&lt;&gt;0,1,0)</f>
        <v>0</v>
      </c>
      <c r="F7" s="160">
        <f aca="true" t="shared" si="0" ref="F7:F18">D7*E7</f>
        <v>0</v>
      </c>
    </row>
    <row r="8" spans="3:6" ht="15">
      <c r="C8" s="229" t="s">
        <v>94</v>
      </c>
      <c r="D8" s="584"/>
      <c r="E8" s="160">
        <f>IF(D8&lt;&gt;0,2,0)</f>
        <v>0</v>
      </c>
      <c r="F8" s="160">
        <f t="shared" si="0"/>
        <v>0</v>
      </c>
    </row>
    <row r="9" spans="3:6" ht="15">
      <c r="C9" s="229" t="s">
        <v>95</v>
      </c>
      <c r="D9" s="584"/>
      <c r="E9" s="160">
        <f>IF(D9&lt;&gt;0,3,0)</f>
        <v>0</v>
      </c>
      <c r="F9" s="160">
        <f t="shared" si="0"/>
        <v>0</v>
      </c>
    </row>
    <row r="10" spans="3:6" ht="15">
      <c r="C10" s="229" t="s">
        <v>96</v>
      </c>
      <c r="D10" s="584"/>
      <c r="E10" s="160">
        <f>IF(D10&lt;&gt;0,1,0)</f>
        <v>0</v>
      </c>
      <c r="F10" s="160">
        <f t="shared" si="0"/>
        <v>0</v>
      </c>
    </row>
    <row r="11" spans="3:6" ht="15">
      <c r="C11" s="229" t="s">
        <v>97</v>
      </c>
      <c r="D11" s="584"/>
      <c r="E11" s="160">
        <f aca="true" t="shared" si="1" ref="E11:E14">IF(D11&lt;&gt;0,3,0)</f>
        <v>0</v>
      </c>
      <c r="F11" s="160">
        <f t="shared" si="0"/>
        <v>0</v>
      </c>
    </row>
    <row r="12" spans="3:8" ht="15">
      <c r="C12" s="229" t="s">
        <v>98</v>
      </c>
      <c r="D12" s="584"/>
      <c r="E12" s="160">
        <f>IF(D12&lt;&gt;0,2,0)</f>
        <v>0</v>
      </c>
      <c r="F12" s="160">
        <f t="shared" si="0"/>
        <v>0</v>
      </c>
      <c r="H12" s="161" t="s">
        <v>789</v>
      </c>
    </row>
    <row r="13" spans="3:6" ht="15">
      <c r="C13" s="229" t="s">
        <v>99</v>
      </c>
      <c r="D13" s="584"/>
      <c r="E13" s="160">
        <f>IF(D13&lt;&gt;0,1,0)</f>
        <v>0</v>
      </c>
      <c r="F13" s="160">
        <f t="shared" si="0"/>
        <v>0</v>
      </c>
    </row>
    <row r="14" spans="3:6" ht="15">
      <c r="C14" s="229" t="s">
        <v>100</v>
      </c>
      <c r="D14" s="584"/>
      <c r="E14" s="160">
        <f t="shared" si="1"/>
        <v>0</v>
      </c>
      <c r="F14" s="160">
        <f t="shared" si="0"/>
        <v>0</v>
      </c>
    </row>
    <row r="15" spans="3:6" ht="30">
      <c r="C15" s="229" t="s">
        <v>101</v>
      </c>
      <c r="D15" s="584"/>
      <c r="E15" s="160">
        <f>IF(D15&lt;&gt;0,2,0)</f>
        <v>0</v>
      </c>
      <c r="F15" s="160">
        <f t="shared" si="0"/>
        <v>0</v>
      </c>
    </row>
    <row r="16" spans="3:6" ht="15">
      <c r="C16" s="229" t="s">
        <v>102</v>
      </c>
      <c r="D16" s="584"/>
      <c r="E16" s="160">
        <f>IF(D16&lt;&gt;0,1,0)</f>
        <v>0</v>
      </c>
      <c r="F16" s="160">
        <f t="shared" si="0"/>
        <v>0</v>
      </c>
    </row>
    <row r="17" spans="3:6" ht="15">
      <c r="C17" s="229" t="s">
        <v>629</v>
      </c>
      <c r="D17" s="584"/>
      <c r="E17" s="584"/>
      <c r="F17" s="160">
        <f t="shared" si="0"/>
        <v>0</v>
      </c>
    </row>
    <row r="18" spans="3:6" ht="15">
      <c r="C18" s="229" t="s">
        <v>630</v>
      </c>
      <c r="D18" s="584"/>
      <c r="E18" s="584"/>
      <c r="F18" s="160">
        <f t="shared" si="0"/>
        <v>0</v>
      </c>
    </row>
    <row r="19" spans="3:6" ht="15">
      <c r="C19" s="233" t="s">
        <v>242</v>
      </c>
      <c r="D19" s="232">
        <f>SUM(D5:D18)</f>
        <v>0</v>
      </c>
      <c r="F19" s="232">
        <f>SUM(F5:F18)</f>
        <v>0</v>
      </c>
    </row>
    <row r="20" spans="5:18" ht="15">
      <c r="E20" s="160" t="s">
        <v>217</v>
      </c>
      <c r="F20" s="160"/>
      <c r="G20" s="160"/>
      <c r="H20" s="160"/>
      <c r="I20" s="160"/>
      <c r="J20" s="160"/>
      <c r="K20" s="160"/>
      <c r="L20" s="160"/>
      <c r="M20" s="160"/>
      <c r="N20" s="160"/>
      <c r="O20" s="160"/>
      <c r="P20" s="160"/>
      <c r="Q20" s="160"/>
      <c r="R20" s="160"/>
    </row>
    <row r="21" spans="5:18" ht="15">
      <c r="E21" s="160" t="s">
        <v>419</v>
      </c>
      <c r="F21" s="160"/>
      <c r="G21" s="160"/>
      <c r="H21" s="160"/>
      <c r="I21" s="160"/>
      <c r="J21" s="160"/>
      <c r="K21" s="160"/>
      <c r="L21" s="160"/>
      <c r="M21" s="160"/>
      <c r="N21" s="160"/>
      <c r="O21" s="160"/>
      <c r="P21" s="160"/>
      <c r="Q21" s="160"/>
      <c r="R21" s="160"/>
    </row>
    <row r="22" spans="5:18" ht="15">
      <c r="E22" s="160" t="s">
        <v>421</v>
      </c>
      <c r="F22" s="160"/>
      <c r="G22" s="160"/>
      <c r="H22" s="160"/>
      <c r="I22" s="160"/>
      <c r="J22" s="160"/>
      <c r="K22" s="160"/>
      <c r="L22" s="160"/>
      <c r="M22" s="160"/>
      <c r="N22" s="160"/>
      <c r="O22" s="160"/>
      <c r="P22" s="160"/>
      <c r="Q22" s="160"/>
      <c r="R22" s="160"/>
    </row>
    <row r="23" spans="5:18" ht="15">
      <c r="E23" s="160" t="s">
        <v>420</v>
      </c>
      <c r="F23" s="160"/>
      <c r="G23" s="160"/>
      <c r="H23" s="160"/>
      <c r="I23" s="160"/>
      <c r="J23" s="160"/>
      <c r="K23" s="160"/>
      <c r="L23" s="160"/>
      <c r="M23" s="160"/>
      <c r="N23" s="160"/>
      <c r="O23" s="160"/>
      <c r="P23" s="160"/>
      <c r="Q23" s="160"/>
      <c r="R23" s="160"/>
    </row>
    <row r="25" spans="3:6" ht="15">
      <c r="C25" s="160"/>
      <c r="D25" s="160" t="s">
        <v>232</v>
      </c>
      <c r="E25" s="160"/>
      <c r="F25" s="160"/>
    </row>
    <row r="26" spans="3:6" ht="15">
      <c r="C26" s="160" t="s">
        <v>233</v>
      </c>
      <c r="D26" s="160" t="s">
        <v>234</v>
      </c>
      <c r="E26" s="160" t="s">
        <v>235</v>
      </c>
      <c r="F26" s="160" t="s">
        <v>236</v>
      </c>
    </row>
    <row r="27" spans="3:6" ht="15">
      <c r="C27" s="160" t="s">
        <v>237</v>
      </c>
      <c r="D27" s="211">
        <v>60000</v>
      </c>
      <c r="E27" s="211">
        <v>45000</v>
      </c>
      <c r="F27" s="211">
        <v>30000</v>
      </c>
    </row>
    <row r="28" spans="3:6" ht="15">
      <c r="C28" s="160" t="s">
        <v>238</v>
      </c>
      <c r="D28" s="211">
        <v>250000</v>
      </c>
      <c r="E28" s="211">
        <v>125000</v>
      </c>
      <c r="F28" s="211">
        <v>60000</v>
      </c>
    </row>
    <row r="29" spans="3:6" ht="15">
      <c r="C29" s="160" t="s">
        <v>239</v>
      </c>
      <c r="D29" s="211">
        <v>880000</v>
      </c>
      <c r="E29" s="211">
        <v>580000</v>
      </c>
      <c r="F29" s="211">
        <v>180000</v>
      </c>
    </row>
    <row r="30" ht="15">
      <c r="C30" s="161" t="s">
        <v>408</v>
      </c>
    </row>
    <row r="32" spans="3:6" ht="15">
      <c r="C32" s="160" t="s">
        <v>409</v>
      </c>
      <c r="D32" s="160" t="str">
        <f>IF(COUNTIF(E5:E18,"3")&gt;=2,"Regional/National",IF(COUNTIF(E5:E18,"3")&gt;=1,"Medium",IF(COUNTIF(E5:E18,"2")&gt;=3,"Local",IF(COUNT(D5:D18,"&gt;0"),"Local","Enter number of recreational assets"))))</f>
        <v>Enter number of recreational assets</v>
      </c>
      <c r="E32" s="160"/>
      <c r="F32" s="160"/>
    </row>
    <row r="33" spans="3:8" ht="15">
      <c r="C33" s="160" t="s">
        <v>410</v>
      </c>
      <c r="D33" s="160" t="str">
        <f>IF(F19&gt;150,"Good",IF(F19&gt;100,"Moderate","Poor"))</f>
        <v>Poor</v>
      </c>
      <c r="E33" s="160"/>
      <c r="F33" s="160"/>
      <c r="H33" s="234">
        <f>IF(D33="Poor",4,IF(D33="Moderate",3,2))</f>
        <v>4</v>
      </c>
    </row>
    <row r="34" spans="3:6" ht="15">
      <c r="C34" s="160" t="s">
        <v>411</v>
      </c>
      <c r="D34" s="571" t="str">
        <f>IF(ISERROR(VLOOKUP(D32,$C$26:$F$29,H33,FALSE)),"Not yet determined",VLOOKUP(D32,$C$26:$F$29,H33,FALSE))</f>
        <v>Not yet determined</v>
      </c>
      <c r="E34" s="160" t="s">
        <v>417</v>
      </c>
      <c r="F34" s="160"/>
    </row>
    <row r="35" spans="3:6" ht="45">
      <c r="C35" s="229" t="s">
        <v>416</v>
      </c>
      <c r="D35" s="571">
        <f>IF(ISERROR(D34/D19),0,D34/D19)</f>
        <v>0</v>
      </c>
      <c r="E35" s="160"/>
      <c r="F35" s="160"/>
    </row>
    <row r="36" spans="3:7" ht="15">
      <c r="C36" s="160" t="s">
        <v>243</v>
      </c>
      <c r="D36" s="569">
        <v>9</v>
      </c>
      <c r="E36" s="160" t="s">
        <v>244</v>
      </c>
      <c r="F36" s="160"/>
      <c r="G36" s="161" t="s">
        <v>412</v>
      </c>
    </row>
    <row r="37" ht="15">
      <c r="G37" s="161" t="s">
        <v>413</v>
      </c>
    </row>
    <row r="38" spans="3:13" ht="15">
      <c r="C38" s="305" t="s">
        <v>681</v>
      </c>
      <c r="D38" s="311">
        <v>1</v>
      </c>
      <c r="E38" s="311">
        <v>0.5</v>
      </c>
      <c r="F38" s="311">
        <v>0.2</v>
      </c>
      <c r="G38" s="311">
        <v>0.1</v>
      </c>
      <c r="H38" s="311">
        <v>0.04</v>
      </c>
      <c r="I38" s="311">
        <v>0.02</v>
      </c>
      <c r="J38" s="411">
        <v>0.0133</v>
      </c>
      <c r="K38" s="209">
        <v>0.01</v>
      </c>
      <c r="L38" s="210">
        <v>0.005</v>
      </c>
      <c r="M38" s="210">
        <v>0.001</v>
      </c>
    </row>
    <row r="39" spans="3:25" ht="30">
      <c r="C39" s="161" t="s">
        <v>377</v>
      </c>
      <c r="D39" s="568" t="s">
        <v>195</v>
      </c>
      <c r="E39" s="568" t="s">
        <v>195</v>
      </c>
      <c r="F39" s="568" t="s">
        <v>378</v>
      </c>
      <c r="G39" s="568" t="s">
        <v>378</v>
      </c>
      <c r="H39" s="568" t="s">
        <v>378</v>
      </c>
      <c r="I39" s="568" t="s">
        <v>378</v>
      </c>
      <c r="J39" s="568" t="s">
        <v>378</v>
      </c>
      <c r="K39" s="568" t="s">
        <v>378</v>
      </c>
      <c r="L39" s="568" t="s">
        <v>378</v>
      </c>
      <c r="M39" s="568" t="s">
        <v>378</v>
      </c>
      <c r="O39" s="723"/>
      <c r="P39" s="724"/>
      <c r="Q39" s="724"/>
      <c r="R39" s="724"/>
      <c r="S39" s="724"/>
      <c r="T39" s="724"/>
      <c r="U39" s="724"/>
      <c r="V39" s="724"/>
      <c r="W39" s="724"/>
      <c r="X39" s="724"/>
      <c r="Y39" s="724"/>
    </row>
    <row r="40" spans="4:25" ht="15">
      <c r="D40" s="307"/>
      <c r="E40" s="307"/>
      <c r="F40" s="307"/>
      <c r="G40" s="307"/>
      <c r="H40" s="307"/>
      <c r="I40" s="307"/>
      <c r="J40" s="400"/>
      <c r="K40" s="307"/>
      <c r="L40" s="400"/>
      <c r="M40" s="307"/>
      <c r="O40" s="307"/>
      <c r="P40" s="306"/>
      <c r="Q40" s="306"/>
      <c r="R40" s="306"/>
      <c r="S40" s="306"/>
      <c r="T40" s="306"/>
      <c r="U40" s="306"/>
      <c r="V40" s="306"/>
      <c r="W40" s="306"/>
      <c r="X40" s="306"/>
      <c r="Y40" s="306"/>
    </row>
    <row r="41" spans="3:7" ht="30">
      <c r="C41" s="305" t="str">
        <f>C38</f>
        <v>RECREATION AND TOURISM</v>
      </c>
      <c r="D41" s="307" t="s">
        <v>195</v>
      </c>
      <c r="G41" s="307"/>
    </row>
    <row r="42" spans="3:10" ht="30">
      <c r="C42" s="331" t="s">
        <v>682</v>
      </c>
      <c r="D42" s="569">
        <v>2500000</v>
      </c>
      <c r="E42" s="306" t="s">
        <v>694</v>
      </c>
      <c r="F42" s="306"/>
      <c r="G42" s="307"/>
      <c r="H42" s="312"/>
      <c r="I42" s="307"/>
      <c r="J42" s="400"/>
    </row>
    <row r="43" spans="3:10" ht="30">
      <c r="C43" s="331" t="s">
        <v>683</v>
      </c>
      <c r="D43" s="569">
        <v>1000000</v>
      </c>
      <c r="E43" s="306" t="s">
        <v>694</v>
      </c>
      <c r="F43" s="306"/>
      <c r="G43" s="307"/>
      <c r="H43" s="312"/>
      <c r="I43" s="307"/>
      <c r="J43" s="400"/>
    </row>
    <row r="44" spans="3:10" ht="30">
      <c r="C44" s="331" t="s">
        <v>684</v>
      </c>
      <c r="D44" s="569">
        <v>2500000</v>
      </c>
      <c r="E44" s="306" t="s">
        <v>694</v>
      </c>
      <c r="F44" s="306"/>
      <c r="G44" s="307"/>
      <c r="H44" s="312"/>
      <c r="I44" s="307"/>
      <c r="J44" s="400"/>
    </row>
    <row r="45" spans="3:10" ht="15">
      <c r="C45" s="331" t="s">
        <v>685</v>
      </c>
      <c r="D45" s="569">
        <v>5000000</v>
      </c>
      <c r="E45" s="306" t="s">
        <v>694</v>
      </c>
      <c r="F45" s="306"/>
      <c r="G45" s="307"/>
      <c r="H45" s="312"/>
      <c r="I45" s="307"/>
      <c r="J45" s="400"/>
    </row>
    <row r="46" spans="3:10" ht="15">
      <c r="C46" s="331" t="s">
        <v>686</v>
      </c>
      <c r="D46" s="569">
        <v>2500000</v>
      </c>
      <c r="E46" s="306" t="s">
        <v>694</v>
      </c>
      <c r="F46" s="306"/>
      <c r="G46" s="307"/>
      <c r="H46" s="312"/>
      <c r="I46" s="307"/>
      <c r="J46" s="400"/>
    </row>
    <row r="47" spans="3:10" ht="15">
      <c r="C47" s="331" t="s">
        <v>687</v>
      </c>
      <c r="D47" s="569">
        <v>500000</v>
      </c>
      <c r="E47" s="306" t="s">
        <v>694</v>
      </c>
      <c r="F47" s="306"/>
      <c r="G47" s="307"/>
      <c r="H47" s="312"/>
      <c r="I47" s="307"/>
      <c r="J47" s="400"/>
    </row>
    <row r="48" spans="3:10" ht="15">
      <c r="C48" s="331" t="s">
        <v>688</v>
      </c>
      <c r="D48" s="569">
        <v>5000000</v>
      </c>
      <c r="E48" s="306" t="s">
        <v>694</v>
      </c>
      <c r="F48" s="306"/>
      <c r="G48" s="307"/>
      <c r="H48" s="312"/>
      <c r="I48" s="307"/>
      <c r="J48" s="400"/>
    </row>
    <row r="49" spans="3:10" ht="15">
      <c r="C49" s="331" t="s">
        <v>689</v>
      </c>
      <c r="D49" s="569">
        <v>2500000</v>
      </c>
      <c r="E49" s="306" t="s">
        <v>694</v>
      </c>
      <c r="F49" s="306"/>
      <c r="G49" s="307"/>
      <c r="H49" s="312"/>
      <c r="I49" s="307"/>
      <c r="J49" s="400"/>
    </row>
    <row r="50" spans="3:10" ht="15">
      <c r="C50" s="331" t="s">
        <v>690</v>
      </c>
      <c r="D50" s="569">
        <v>250000</v>
      </c>
      <c r="E50" s="306" t="s">
        <v>694</v>
      </c>
      <c r="F50" s="306"/>
      <c r="G50" s="307"/>
      <c r="H50" s="312"/>
      <c r="I50" s="307"/>
      <c r="J50" s="400"/>
    </row>
    <row r="51" spans="3:10" ht="14.25" customHeight="1">
      <c r="C51" s="331" t="s">
        <v>691</v>
      </c>
      <c r="D51" s="569">
        <v>5000000</v>
      </c>
      <c r="E51" s="306" t="s">
        <v>694</v>
      </c>
      <c r="F51" s="306"/>
      <c r="G51" s="307"/>
      <c r="H51" s="312"/>
      <c r="I51" s="307"/>
      <c r="J51" s="400"/>
    </row>
    <row r="52" spans="3:10" ht="25.5" customHeight="1">
      <c r="C52" s="331" t="s">
        <v>692</v>
      </c>
      <c r="D52" s="569">
        <v>2500000</v>
      </c>
      <c r="E52" s="306" t="s">
        <v>694</v>
      </c>
      <c r="F52" s="306"/>
      <c r="G52" s="307"/>
      <c r="H52" s="312"/>
      <c r="I52" s="307"/>
      <c r="J52" s="400"/>
    </row>
    <row r="53" spans="3:10" ht="14.25" customHeight="1">
      <c r="C53" s="331" t="s">
        <v>693</v>
      </c>
      <c r="D53" s="569">
        <v>5000000</v>
      </c>
      <c r="E53" s="306" t="s">
        <v>694</v>
      </c>
      <c r="F53" s="306"/>
      <c r="G53" s="307"/>
      <c r="H53" s="312"/>
      <c r="I53" s="307"/>
      <c r="J53" s="400"/>
    </row>
    <row r="54" spans="3:10" ht="15">
      <c r="C54" s="564" t="s">
        <v>629</v>
      </c>
      <c r="D54" s="569">
        <v>2500000</v>
      </c>
      <c r="E54" s="306" t="s">
        <v>694</v>
      </c>
      <c r="F54" s="306"/>
      <c r="G54" s="307"/>
      <c r="H54" s="312"/>
      <c r="I54" s="307"/>
      <c r="J54" s="400"/>
    </row>
    <row r="55" spans="3:10" ht="15">
      <c r="C55" s="564" t="s">
        <v>630</v>
      </c>
      <c r="D55" s="569">
        <v>2500000</v>
      </c>
      <c r="E55" s="306" t="s">
        <v>694</v>
      </c>
      <c r="F55" s="306"/>
      <c r="G55" s="307"/>
      <c r="H55" s="312"/>
      <c r="I55" s="307"/>
      <c r="J55" s="400"/>
    </row>
    <row r="56" spans="3:4" ht="15">
      <c r="C56" s="305"/>
      <c r="D56" s="161" t="s">
        <v>386</v>
      </c>
    </row>
    <row r="57" ht="15">
      <c r="D57" s="161" t="s">
        <v>387</v>
      </c>
    </row>
    <row r="58" spans="1:5" ht="27.75" customHeight="1">
      <c r="A58" s="722" t="s">
        <v>673</v>
      </c>
      <c r="B58" s="723"/>
      <c r="C58" s="723"/>
      <c r="D58" s="570">
        <v>25</v>
      </c>
      <c r="E58" s="161" t="s">
        <v>391</v>
      </c>
    </row>
    <row r="59" spans="1:5" ht="15">
      <c r="A59" s="307"/>
      <c r="B59" s="307"/>
      <c r="C59" s="305" t="s">
        <v>390</v>
      </c>
      <c r="D59" s="160">
        <f>VLOOKUP(D58-1,Sheet1!A$15:C$114,3,FALSE)</f>
        <v>17.058367603016084</v>
      </c>
      <c r="E59" s="161" t="str">
        <f>"Sum of discount factors from year 0 to year "&amp;D58</f>
        <v>Sum of discount factors from year 0 to year 25</v>
      </c>
    </row>
    <row r="60" spans="1:5" ht="15">
      <c r="A60" s="331"/>
      <c r="B60" s="331"/>
      <c r="C60" s="334" t="s">
        <v>785</v>
      </c>
      <c r="D60" s="338">
        <v>0.5</v>
      </c>
      <c r="E60" s="161" t="s">
        <v>786</v>
      </c>
    </row>
    <row r="61" spans="1:5" ht="30">
      <c r="A61" s="378"/>
      <c r="B61" s="378"/>
      <c r="C61" s="378" t="s">
        <v>682</v>
      </c>
      <c r="D61" s="212">
        <f>D42/D$59-D42/D$59*$D$60</f>
        <v>73277.82054473888</v>
      </c>
      <c r="E61" s="161" t="s">
        <v>695</v>
      </c>
    </row>
    <row r="62" spans="3:5" ht="30">
      <c r="C62" s="331" t="s">
        <v>683</v>
      </c>
      <c r="D62" s="212">
        <f aca="true" t="shared" si="2" ref="D62:D74">D43/D$59-D43/D$59*$D$60</f>
        <v>29311.128217895548</v>
      </c>
      <c r="E62" s="161" t="s">
        <v>695</v>
      </c>
    </row>
    <row r="63" spans="3:5" ht="30">
      <c r="C63" s="331" t="s">
        <v>684</v>
      </c>
      <c r="D63" s="212">
        <f t="shared" si="2"/>
        <v>73277.82054473888</v>
      </c>
      <c r="E63" s="161" t="s">
        <v>695</v>
      </c>
    </row>
    <row r="64" spans="3:5" ht="15">
      <c r="C64" s="331" t="s">
        <v>685</v>
      </c>
      <c r="D64" s="212">
        <f t="shared" si="2"/>
        <v>146555.64108947775</v>
      </c>
      <c r="E64" s="161" t="s">
        <v>695</v>
      </c>
    </row>
    <row r="65" spans="3:5" ht="15">
      <c r="C65" s="331" t="s">
        <v>686</v>
      </c>
      <c r="D65" s="212">
        <f t="shared" si="2"/>
        <v>73277.82054473888</v>
      </c>
      <c r="E65" s="161" t="s">
        <v>695</v>
      </c>
    </row>
    <row r="66" spans="3:5" ht="15">
      <c r="C66" s="331" t="s">
        <v>687</v>
      </c>
      <c r="D66" s="212">
        <f t="shared" si="2"/>
        <v>14655.564108947774</v>
      </c>
      <c r="E66" s="161" t="s">
        <v>695</v>
      </c>
    </row>
    <row r="67" spans="3:5" ht="15">
      <c r="C67" s="331" t="s">
        <v>688</v>
      </c>
      <c r="D67" s="212">
        <f t="shared" si="2"/>
        <v>146555.64108947775</v>
      </c>
      <c r="E67" s="161" t="s">
        <v>695</v>
      </c>
    </row>
    <row r="68" spans="3:5" ht="15">
      <c r="C68" s="331" t="s">
        <v>689</v>
      </c>
      <c r="D68" s="212">
        <f t="shared" si="2"/>
        <v>73277.82054473888</v>
      </c>
      <c r="E68" s="161" t="s">
        <v>695</v>
      </c>
    </row>
    <row r="69" spans="3:5" ht="15">
      <c r="C69" s="331" t="s">
        <v>690</v>
      </c>
      <c r="D69" s="212">
        <f t="shared" si="2"/>
        <v>7327.782054473887</v>
      </c>
      <c r="E69" s="161" t="s">
        <v>695</v>
      </c>
    </row>
    <row r="70" spans="3:5" ht="15">
      <c r="C70" s="331" t="s">
        <v>691</v>
      </c>
      <c r="D70" s="212">
        <f t="shared" si="2"/>
        <v>146555.64108947775</v>
      </c>
      <c r="E70" s="161" t="s">
        <v>695</v>
      </c>
    </row>
    <row r="71" spans="3:5" ht="15">
      <c r="C71" s="331" t="s">
        <v>692</v>
      </c>
      <c r="D71" s="212">
        <f t="shared" si="2"/>
        <v>73277.82054473888</v>
      </c>
      <c r="E71" s="161" t="s">
        <v>695</v>
      </c>
    </row>
    <row r="72" spans="3:5" ht="15">
      <c r="C72" s="331" t="s">
        <v>693</v>
      </c>
      <c r="D72" s="212">
        <f t="shared" si="2"/>
        <v>146555.64108947775</v>
      </c>
      <c r="E72" s="161" t="s">
        <v>695</v>
      </c>
    </row>
    <row r="73" spans="3:5" ht="15">
      <c r="C73" s="564" t="s">
        <v>629</v>
      </c>
      <c r="D73" s="212">
        <f t="shared" si="2"/>
        <v>73277.82054473888</v>
      </c>
      <c r="E73" s="161" t="s">
        <v>695</v>
      </c>
    </row>
    <row r="74" spans="3:5" ht="15">
      <c r="C74" s="564" t="s">
        <v>630</v>
      </c>
      <c r="D74" s="212">
        <f t="shared" si="2"/>
        <v>73277.82054473888</v>
      </c>
      <c r="E74" s="161" t="s">
        <v>695</v>
      </c>
    </row>
    <row r="75" spans="3:5" ht="15">
      <c r="C75" s="261" t="s">
        <v>479</v>
      </c>
      <c r="D75" s="324">
        <f>IF(ISERROR((D61*D5+D6*D62+D63*D7+D8*D64+D65*D9+D10*D66+D67*D11+D12*D68+D69*D13+D14*D70+D71*D15+D16*D72+D73*D17+D74*D18)/D19),0,(D61*D5+D6*D62+D63*D7+D8*D64+D65*D9+D10*D66+D67*D11+D12*D68+D69*D13+D14*D70+D71*D15+D16*D72+D73*D17+D74*D18)/D19)</f>
        <v>0</v>
      </c>
      <c r="E75" s="161" t="s">
        <v>696</v>
      </c>
    </row>
    <row r="77" spans="4:14" ht="15">
      <c r="D77" s="209">
        <v>1</v>
      </c>
      <c r="E77" s="209">
        <v>0.5</v>
      </c>
      <c r="F77" s="209">
        <v>0.2</v>
      </c>
      <c r="G77" s="209">
        <v>0.1</v>
      </c>
      <c r="H77" s="209">
        <v>0.04</v>
      </c>
      <c r="I77" s="209">
        <v>0.02</v>
      </c>
      <c r="J77" s="411">
        <v>0.0133</v>
      </c>
      <c r="K77" s="209">
        <v>0.01</v>
      </c>
      <c r="L77" s="210">
        <v>0.005</v>
      </c>
      <c r="M77" s="210">
        <v>0.001</v>
      </c>
      <c r="N77" s="215" t="s">
        <v>61</v>
      </c>
    </row>
    <row r="78" spans="3:14" ht="15">
      <c r="C78" s="230" t="s">
        <v>367</v>
      </c>
      <c r="D78" s="567">
        <f>'Water levels-Residential'!D32</f>
        <v>1</v>
      </c>
      <c r="E78" s="567">
        <f>'Water levels-Residential'!E32</f>
        <v>0.8944928611162618</v>
      </c>
      <c r="F78" s="567">
        <f>'Water levels-Residential'!F32</f>
        <v>0.5777860189134063</v>
      </c>
      <c r="G78" s="567">
        <f>'Water levels-Residential'!G32</f>
        <v>0.29334322269608754</v>
      </c>
      <c r="H78" s="567">
        <f>'Water levels-Residential'!H32</f>
        <v>0.13777118486927498</v>
      </c>
      <c r="I78" s="567">
        <f>'Water levels-Residential'!I32</f>
        <v>0.058594474318561095</v>
      </c>
      <c r="J78" s="567">
        <f>'Water levels-Residential'!J32</f>
        <v>0.029297237159280547</v>
      </c>
      <c r="K78" s="567">
        <f>'Water levels-Residential'!K32</f>
        <v>0.014648618579640274</v>
      </c>
      <c r="L78" s="567">
        <f>'Water levels-Residential'!L32</f>
        <v>0.01</v>
      </c>
      <c r="M78" s="567">
        <f>'Water levels-Residential'!M32</f>
        <v>0</v>
      </c>
      <c r="N78" s="217" t="s">
        <v>368</v>
      </c>
    </row>
    <row r="79" spans="3:14" ht="15">
      <c r="C79" s="231" t="s">
        <v>414</v>
      </c>
      <c r="D79" s="219">
        <f>IF(D39="One-off loss",IF(ISERROR($D$36*$D$35*D78),0,$D$36*$D$35*D78),$D75)</f>
        <v>0</v>
      </c>
      <c r="E79" s="219">
        <f aca="true" t="shared" si="3" ref="E79:I79">IF(E39="One-off loss",IF(ISERROR($D$36*$D$35*E78),0,$D$36*$D$35*E78),$D75)</f>
        <v>0</v>
      </c>
      <c r="F79" s="219">
        <f t="shared" si="3"/>
        <v>0</v>
      </c>
      <c r="G79" s="219">
        <f t="shared" si="3"/>
        <v>0</v>
      </c>
      <c r="H79" s="219">
        <f t="shared" si="3"/>
        <v>0</v>
      </c>
      <c r="I79" s="219">
        <f t="shared" si="3"/>
        <v>0</v>
      </c>
      <c r="J79" s="219">
        <f aca="true" t="shared" si="4" ref="J79:M79">IF(J39="One-off loss",IF(ISERROR($D$36*$D$35*J78),0,$D$36*$D$35*J78),$D75)</f>
        <v>0</v>
      </c>
      <c r="K79" s="219">
        <f t="shared" si="4"/>
        <v>0</v>
      </c>
      <c r="L79" s="219">
        <f t="shared" si="4"/>
        <v>0</v>
      </c>
      <c r="M79" s="219">
        <f t="shared" si="4"/>
        <v>0</v>
      </c>
      <c r="N79" s="217"/>
    </row>
    <row r="81" spans="3:6" ht="15">
      <c r="C81" s="214"/>
      <c r="E81" s="161" t="s">
        <v>262</v>
      </c>
      <c r="F81" s="161" t="str">
        <f>"Number of "&amp;C82&amp;" whose risk changes due to changes in water levels"</f>
        <v>Number of RECREATIONAL ASSETS whose risk changes due to changes in water levels</v>
      </c>
    </row>
    <row r="82" spans="3:13" ht="15">
      <c r="C82" s="214" t="s">
        <v>415</v>
      </c>
      <c r="D82" s="209">
        <v>1</v>
      </c>
      <c r="E82" s="209">
        <v>0.5</v>
      </c>
      <c r="F82" s="209">
        <v>0.2</v>
      </c>
      <c r="G82" s="209">
        <v>0.1</v>
      </c>
      <c r="H82" s="209">
        <v>0.04</v>
      </c>
      <c r="I82" s="209">
        <v>0.02</v>
      </c>
      <c r="J82" s="411">
        <v>0.0133</v>
      </c>
      <c r="K82" s="209">
        <v>0.01</v>
      </c>
      <c r="L82" s="210">
        <v>0.005</v>
      </c>
      <c r="M82" s="210">
        <v>0.001</v>
      </c>
    </row>
    <row r="83" spans="3:15" ht="15">
      <c r="C83" s="209">
        <v>1</v>
      </c>
      <c r="D83" s="550"/>
      <c r="E83" s="550"/>
      <c r="F83" s="550"/>
      <c r="G83" s="550"/>
      <c r="H83" s="550"/>
      <c r="I83" s="550"/>
      <c r="J83" s="550"/>
      <c r="K83" s="550"/>
      <c r="L83" s="550"/>
      <c r="M83" s="550"/>
      <c r="O83" s="161" t="s">
        <v>503</v>
      </c>
    </row>
    <row r="84" spans="3:13" ht="15">
      <c r="C84" s="209">
        <v>0.5</v>
      </c>
      <c r="D84" s="550"/>
      <c r="E84" s="550"/>
      <c r="F84" s="550"/>
      <c r="G84" s="550"/>
      <c r="H84" s="550"/>
      <c r="I84" s="550"/>
      <c r="J84" s="550"/>
      <c r="K84" s="550"/>
      <c r="L84" s="550"/>
      <c r="M84" s="550"/>
    </row>
    <row r="85" spans="3:15" ht="15">
      <c r="C85" s="209">
        <v>0.2</v>
      </c>
      <c r="D85" s="550"/>
      <c r="E85" s="550"/>
      <c r="F85" s="550"/>
      <c r="G85" s="550"/>
      <c r="H85" s="550"/>
      <c r="I85" s="550"/>
      <c r="J85" s="550"/>
      <c r="K85" s="550"/>
      <c r="L85" s="550"/>
      <c r="M85" s="550"/>
      <c r="O85" s="161" t="s">
        <v>966</v>
      </c>
    </row>
    <row r="86" spans="3:15" ht="15">
      <c r="C86" s="209">
        <v>0.1</v>
      </c>
      <c r="D86" s="550"/>
      <c r="E86" s="550"/>
      <c r="F86" s="550"/>
      <c r="G86" s="550"/>
      <c r="H86" s="550"/>
      <c r="I86" s="550"/>
      <c r="J86" s="550"/>
      <c r="K86" s="550"/>
      <c r="L86" s="550"/>
      <c r="M86" s="550"/>
      <c r="O86" s="161" t="s">
        <v>297</v>
      </c>
    </row>
    <row r="87" spans="3:15" ht="15">
      <c r="C87" s="209">
        <v>0.04</v>
      </c>
      <c r="D87" s="550"/>
      <c r="E87" s="550"/>
      <c r="F87" s="550"/>
      <c r="G87" s="550"/>
      <c r="H87" s="550"/>
      <c r="I87" s="550"/>
      <c r="J87" s="550"/>
      <c r="K87" s="550"/>
      <c r="L87" s="550"/>
      <c r="M87" s="550"/>
      <c r="O87" s="161" t="s">
        <v>967</v>
      </c>
    </row>
    <row r="88" spans="3:13" ht="15">
      <c r="C88" s="209">
        <v>0.02</v>
      </c>
      <c r="D88" s="550"/>
      <c r="E88" s="550"/>
      <c r="F88" s="550"/>
      <c r="G88" s="550"/>
      <c r="H88" s="550"/>
      <c r="I88" s="550"/>
      <c r="J88" s="550"/>
      <c r="K88" s="550"/>
      <c r="L88" s="550"/>
      <c r="M88" s="550"/>
    </row>
    <row r="89" spans="3:13" ht="15">
      <c r="C89" s="411">
        <v>0.0133</v>
      </c>
      <c r="D89" s="550"/>
      <c r="E89" s="550"/>
      <c r="F89" s="550"/>
      <c r="G89" s="550"/>
      <c r="H89" s="550"/>
      <c r="I89" s="550"/>
      <c r="J89" s="550"/>
      <c r="K89" s="550"/>
      <c r="L89" s="550"/>
      <c r="M89" s="550"/>
    </row>
    <row r="90" spans="3:13" ht="15">
      <c r="C90" s="209">
        <v>0.01</v>
      </c>
      <c r="D90" s="550"/>
      <c r="E90" s="550"/>
      <c r="F90" s="550"/>
      <c r="G90" s="550"/>
      <c r="H90" s="550"/>
      <c r="I90" s="550"/>
      <c r="J90" s="550"/>
      <c r="K90" s="550"/>
      <c r="L90" s="550"/>
      <c r="M90" s="550"/>
    </row>
    <row r="91" spans="3:13" ht="15">
      <c r="C91" s="210">
        <v>0.005</v>
      </c>
      <c r="D91" s="550"/>
      <c r="E91" s="550"/>
      <c r="F91" s="550"/>
      <c r="G91" s="550"/>
      <c r="H91" s="550"/>
      <c r="I91" s="550"/>
      <c r="J91" s="550"/>
      <c r="K91" s="550"/>
      <c r="L91" s="550"/>
      <c r="M91" s="550"/>
    </row>
    <row r="92" spans="3:13" ht="15">
      <c r="C92" s="210">
        <v>0.001</v>
      </c>
      <c r="D92" s="550"/>
      <c r="E92" s="550"/>
      <c r="F92" s="550"/>
      <c r="G92" s="550"/>
      <c r="H92" s="550"/>
      <c r="I92" s="550"/>
      <c r="J92" s="550"/>
      <c r="K92" s="550"/>
      <c r="L92" s="550"/>
      <c r="M92" s="550"/>
    </row>
    <row r="94" spans="5:6" ht="15">
      <c r="E94" s="161" t="s">
        <v>262</v>
      </c>
      <c r="F94" s="161" t="s">
        <v>280</v>
      </c>
    </row>
    <row r="95" spans="1:13" ht="15">
      <c r="A95" s="728" t="str">
        <f>C82</f>
        <v>RECREATIONAL ASSETS</v>
      </c>
      <c r="B95" s="724"/>
      <c r="C95" s="724"/>
      <c r="D95" s="209">
        <v>1</v>
      </c>
      <c r="E95" s="209">
        <v>0.5</v>
      </c>
      <c r="F95" s="209">
        <v>0.2</v>
      </c>
      <c r="G95" s="209">
        <v>0.1</v>
      </c>
      <c r="H95" s="209">
        <v>0.04</v>
      </c>
      <c r="I95" s="209">
        <v>0.02</v>
      </c>
      <c r="J95" s="411">
        <v>0.0133</v>
      </c>
      <c r="K95" s="209">
        <v>0.01</v>
      </c>
      <c r="L95" s="210">
        <v>0.005</v>
      </c>
      <c r="M95" s="210">
        <v>0.001</v>
      </c>
    </row>
    <row r="96" spans="3:13" ht="15">
      <c r="C96" s="209">
        <v>1</v>
      </c>
      <c r="D96" s="224">
        <f>IF($D79-D79&lt;0,0,$D79-D79)</f>
        <v>0</v>
      </c>
      <c r="E96" s="224">
        <f aca="true" t="shared" si="5" ref="E96:M96">IF($D79-E79&lt;0,0,$D79-E79)</f>
        <v>0</v>
      </c>
      <c r="F96" s="224">
        <f t="shared" si="5"/>
        <v>0</v>
      </c>
      <c r="G96" s="224">
        <f t="shared" si="5"/>
        <v>0</v>
      </c>
      <c r="H96" s="224">
        <f t="shared" si="5"/>
        <v>0</v>
      </c>
      <c r="I96" s="224">
        <f t="shared" si="5"/>
        <v>0</v>
      </c>
      <c r="J96" s="224">
        <f t="shared" si="5"/>
        <v>0</v>
      </c>
      <c r="K96" s="224">
        <f t="shared" si="5"/>
        <v>0</v>
      </c>
      <c r="L96" s="224">
        <f t="shared" si="5"/>
        <v>0</v>
      </c>
      <c r="M96" s="224">
        <f t="shared" si="5"/>
        <v>0</v>
      </c>
    </row>
    <row r="97" spans="2:13" ht="15">
      <c r="B97" s="161" t="s">
        <v>261</v>
      </c>
      <c r="C97" s="209">
        <v>0.5</v>
      </c>
      <c r="D97" s="224">
        <f>IF($E79-D79&gt;0,0,$E79-D79)</f>
        <v>0</v>
      </c>
      <c r="E97" s="224">
        <f aca="true" t="shared" si="6" ref="E97">$E79-E79</f>
        <v>0</v>
      </c>
      <c r="F97" s="224">
        <f>IF($E79-F79&lt;0,0,$E79-F79)</f>
        <v>0</v>
      </c>
      <c r="G97" s="224">
        <f aca="true" t="shared" si="7" ref="G97:M97">IF($E79-G79&lt;0,0,$E79-G79)</f>
        <v>0</v>
      </c>
      <c r="H97" s="224">
        <f t="shared" si="7"/>
        <v>0</v>
      </c>
      <c r="I97" s="224">
        <f t="shared" si="7"/>
        <v>0</v>
      </c>
      <c r="J97" s="224">
        <f t="shared" si="7"/>
        <v>0</v>
      </c>
      <c r="K97" s="224">
        <f t="shared" si="7"/>
        <v>0</v>
      </c>
      <c r="L97" s="224">
        <f t="shared" si="7"/>
        <v>0</v>
      </c>
      <c r="M97" s="224">
        <f t="shared" si="7"/>
        <v>0</v>
      </c>
    </row>
    <row r="98" spans="2:13" ht="15">
      <c r="B98" s="725" t="s">
        <v>281</v>
      </c>
      <c r="C98" s="209">
        <v>0.2</v>
      </c>
      <c r="D98" s="224">
        <f>IF($F79-D79&gt;0,0,$F79-D79)</f>
        <v>0</v>
      </c>
      <c r="E98" s="224">
        <f>IF($F79-E79&gt;0,0,$F79-E79)</f>
        <v>0</v>
      </c>
      <c r="F98" s="224">
        <f aca="true" t="shared" si="8" ref="F98">$F79-F79</f>
        <v>0</v>
      </c>
      <c r="G98" s="224">
        <f>IF($F79-G79&lt;0,0,$F79-G79)</f>
        <v>0</v>
      </c>
      <c r="H98" s="224">
        <f aca="true" t="shared" si="9" ref="H98:M98">IF($F79-H79&lt;0,0,$F79-H79)</f>
        <v>0</v>
      </c>
      <c r="I98" s="224">
        <f t="shared" si="9"/>
        <v>0</v>
      </c>
      <c r="J98" s="224">
        <f t="shared" si="9"/>
        <v>0</v>
      </c>
      <c r="K98" s="224">
        <f t="shared" si="9"/>
        <v>0</v>
      </c>
      <c r="L98" s="224">
        <f t="shared" si="9"/>
        <v>0</v>
      </c>
      <c r="M98" s="224">
        <f t="shared" si="9"/>
        <v>0</v>
      </c>
    </row>
    <row r="99" spans="2:13" ht="15">
      <c r="B99" s="725"/>
      <c r="C99" s="209">
        <v>0.1</v>
      </c>
      <c r="D99" s="224">
        <f>IF($G79-D79&gt;0,0,$G79-D79)</f>
        <v>0</v>
      </c>
      <c r="E99" s="224">
        <f aca="true" t="shared" si="10" ref="E99:F99">IF($G79-E79&gt;0,0,$G79-E79)</f>
        <v>0</v>
      </c>
      <c r="F99" s="224">
        <f t="shared" si="10"/>
        <v>0</v>
      </c>
      <c r="G99" s="224">
        <f aca="true" t="shared" si="11" ref="G99">$G79-G79</f>
        <v>0</v>
      </c>
      <c r="H99" s="224">
        <f>IF($G79-H79&lt;0,0,$G79-H79)</f>
        <v>0</v>
      </c>
      <c r="I99" s="224">
        <f aca="true" t="shared" si="12" ref="I99:M99">IF($G79-I79&lt;0,0,$G79-I79)</f>
        <v>0</v>
      </c>
      <c r="J99" s="224">
        <f t="shared" si="12"/>
        <v>0</v>
      </c>
      <c r="K99" s="224">
        <f t="shared" si="12"/>
        <v>0</v>
      </c>
      <c r="L99" s="224">
        <f t="shared" si="12"/>
        <v>0</v>
      </c>
      <c r="M99" s="224">
        <f t="shared" si="12"/>
        <v>0</v>
      </c>
    </row>
    <row r="100" spans="2:13" ht="15">
      <c r="B100" s="725"/>
      <c r="C100" s="209">
        <v>0.04</v>
      </c>
      <c r="D100" s="224">
        <f>IF($H79-D79&gt;0,0,$H79-D79)</f>
        <v>0</v>
      </c>
      <c r="E100" s="224">
        <f aca="true" t="shared" si="13" ref="E100:G100">IF($H79-E79&gt;0,0,$H79-E79)</f>
        <v>0</v>
      </c>
      <c r="F100" s="224">
        <f t="shared" si="13"/>
        <v>0</v>
      </c>
      <c r="G100" s="224">
        <f t="shared" si="13"/>
        <v>0</v>
      </c>
      <c r="H100" s="224">
        <f aca="true" t="shared" si="14" ref="H100">$H79-H79</f>
        <v>0</v>
      </c>
      <c r="I100" s="224">
        <f>IF($H79-I79&lt;0,0,$H79-I79)</f>
        <v>0</v>
      </c>
      <c r="J100" s="224">
        <f aca="true" t="shared" si="15" ref="J100:M100">IF($H79-J79&lt;0,0,$H79-J79)</f>
        <v>0</v>
      </c>
      <c r="K100" s="224">
        <f t="shared" si="15"/>
        <v>0</v>
      </c>
      <c r="L100" s="224">
        <f t="shared" si="15"/>
        <v>0</v>
      </c>
      <c r="M100" s="224">
        <f t="shared" si="15"/>
        <v>0</v>
      </c>
    </row>
    <row r="101" spans="2:13" ht="15">
      <c r="B101" s="725"/>
      <c r="C101" s="209">
        <v>0.02</v>
      </c>
      <c r="D101" s="224">
        <f>IF($I79-D79&gt;0,0,$I79-D79)</f>
        <v>0</v>
      </c>
      <c r="E101" s="224">
        <f aca="true" t="shared" si="16" ref="E101:H101">IF($I79-E79&gt;0,0,$I79-E79)</f>
        <v>0</v>
      </c>
      <c r="F101" s="224">
        <f t="shared" si="16"/>
        <v>0</v>
      </c>
      <c r="G101" s="224">
        <f t="shared" si="16"/>
        <v>0</v>
      </c>
      <c r="H101" s="224">
        <f t="shared" si="16"/>
        <v>0</v>
      </c>
      <c r="I101" s="224">
        <f aca="true" t="shared" si="17" ref="I101">$I79-I79</f>
        <v>0</v>
      </c>
      <c r="J101" s="224">
        <f>IF($I79-J79&lt;0,0,$I79-J79)</f>
        <v>0</v>
      </c>
      <c r="K101" s="224">
        <f aca="true" t="shared" si="18" ref="K101:M101">IF($I79-K79&lt;0,0,$I79-K79)</f>
        <v>0</v>
      </c>
      <c r="L101" s="224">
        <f t="shared" si="18"/>
        <v>0</v>
      </c>
      <c r="M101" s="224">
        <f t="shared" si="18"/>
        <v>0</v>
      </c>
    </row>
    <row r="102" spans="2:13" ht="15">
      <c r="B102" s="725"/>
      <c r="C102" s="411">
        <v>0.0133</v>
      </c>
      <c r="D102" s="224">
        <f>IF($J79-D79&gt;0,0,$J79-D79)</f>
        <v>0</v>
      </c>
      <c r="E102" s="224">
        <f aca="true" t="shared" si="19" ref="E102:I102">IF($J79-E79&gt;0,0,$J79-E79)</f>
        <v>0</v>
      </c>
      <c r="F102" s="224">
        <f t="shared" si="19"/>
        <v>0</v>
      </c>
      <c r="G102" s="224">
        <f t="shared" si="19"/>
        <v>0</v>
      </c>
      <c r="H102" s="224">
        <f t="shared" si="19"/>
        <v>0</v>
      </c>
      <c r="I102" s="224">
        <f t="shared" si="19"/>
        <v>0</v>
      </c>
      <c r="J102" s="224">
        <f aca="true" t="shared" si="20" ref="J102">$J79-J79</f>
        <v>0</v>
      </c>
      <c r="K102" s="224">
        <f>IF($J79-K79&lt;0,0,$J79-K79)</f>
        <v>0</v>
      </c>
      <c r="L102" s="224">
        <f aca="true" t="shared" si="21" ref="L102:M102">IF($J79-L79&lt;0,0,$J79-L79)</f>
        <v>0</v>
      </c>
      <c r="M102" s="224">
        <f t="shared" si="21"/>
        <v>0</v>
      </c>
    </row>
    <row r="103" spans="2:13" ht="15">
      <c r="B103" s="725"/>
      <c r="C103" s="209">
        <v>0.01</v>
      </c>
      <c r="D103" s="224">
        <f>IF($K79-D79&gt;0,0,$K79-D79)</f>
        <v>0</v>
      </c>
      <c r="E103" s="224">
        <f aca="true" t="shared" si="22" ref="E103:J103">IF($K79-E79&gt;0,0,$K79-E79)</f>
        <v>0</v>
      </c>
      <c r="F103" s="224">
        <f t="shared" si="22"/>
        <v>0</v>
      </c>
      <c r="G103" s="224">
        <f t="shared" si="22"/>
        <v>0</v>
      </c>
      <c r="H103" s="224">
        <f t="shared" si="22"/>
        <v>0</v>
      </c>
      <c r="I103" s="224">
        <f t="shared" si="22"/>
        <v>0</v>
      </c>
      <c r="J103" s="224">
        <f t="shared" si="22"/>
        <v>0</v>
      </c>
      <c r="K103" s="224">
        <f aca="true" t="shared" si="23" ref="K103">$K79-K79</f>
        <v>0</v>
      </c>
      <c r="L103" s="224">
        <f>IF($K79-L79&lt;0,0,$K79-L79)</f>
        <v>0</v>
      </c>
      <c r="M103" s="224">
        <f>IF($K79-M79&lt;0,0,$K79-M79)</f>
        <v>0</v>
      </c>
    </row>
    <row r="104" spans="2:13" ht="15">
      <c r="B104" s="725"/>
      <c r="C104" s="210">
        <v>0.005</v>
      </c>
      <c r="D104" s="224">
        <f>IF($L79-D79&gt;0,0,$L79-D79)</f>
        <v>0</v>
      </c>
      <c r="E104" s="224">
        <f aca="true" t="shared" si="24" ref="E104:K104">IF($L79-E79&gt;0,0,$L79-E79)</f>
        <v>0</v>
      </c>
      <c r="F104" s="224">
        <f t="shared" si="24"/>
        <v>0</v>
      </c>
      <c r="G104" s="224">
        <f t="shared" si="24"/>
        <v>0</v>
      </c>
      <c r="H104" s="224">
        <f t="shared" si="24"/>
        <v>0</v>
      </c>
      <c r="I104" s="224">
        <f t="shared" si="24"/>
        <v>0</v>
      </c>
      <c r="J104" s="224">
        <f t="shared" si="24"/>
        <v>0</v>
      </c>
      <c r="K104" s="224">
        <f t="shared" si="24"/>
        <v>0</v>
      </c>
      <c r="L104" s="224">
        <f aca="true" t="shared" si="25" ref="L104">$L79-L79</f>
        <v>0</v>
      </c>
      <c r="M104" s="224">
        <f>IF($L79-M79&lt;0,0,$L79-M79)</f>
        <v>0</v>
      </c>
    </row>
    <row r="105" spans="2:13" ht="15">
      <c r="B105" s="725"/>
      <c r="C105" s="210">
        <v>0.001</v>
      </c>
      <c r="D105" s="224">
        <f>IF($M79-D79&gt;0,0,$M79-D79)</f>
        <v>0</v>
      </c>
      <c r="E105" s="224">
        <f aca="true" t="shared" si="26" ref="E105:L105">IF($M79-E79&gt;0,0,$M79-E79)</f>
        <v>0</v>
      </c>
      <c r="F105" s="224">
        <f t="shared" si="26"/>
        <v>0</v>
      </c>
      <c r="G105" s="224">
        <f t="shared" si="26"/>
        <v>0</v>
      </c>
      <c r="H105" s="224">
        <f t="shared" si="26"/>
        <v>0</v>
      </c>
      <c r="I105" s="224">
        <f t="shared" si="26"/>
        <v>0</v>
      </c>
      <c r="J105" s="224">
        <f t="shared" si="26"/>
        <v>0</v>
      </c>
      <c r="K105" s="224">
        <f t="shared" si="26"/>
        <v>0</v>
      </c>
      <c r="L105" s="224">
        <f t="shared" si="26"/>
        <v>0</v>
      </c>
      <c r="M105" s="224">
        <f aca="true" t="shared" si="27" ref="M105">$M79-M79</f>
        <v>0</v>
      </c>
    </row>
    <row r="107" spans="5:6" ht="15">
      <c r="E107" s="161" t="s">
        <v>262</v>
      </c>
      <c r="F107" s="161" t="s">
        <v>280</v>
      </c>
    </row>
    <row r="108" spans="1:13" ht="15">
      <c r="A108" s="728" t="s">
        <v>601</v>
      </c>
      <c r="B108" s="724"/>
      <c r="C108" s="724"/>
      <c r="D108" s="209">
        <v>1</v>
      </c>
      <c r="E108" s="209">
        <v>0.5</v>
      </c>
      <c r="F108" s="209">
        <v>0.2</v>
      </c>
      <c r="G108" s="209">
        <v>0.1</v>
      </c>
      <c r="H108" s="209">
        <v>0.04</v>
      </c>
      <c r="I108" s="209">
        <v>0.02</v>
      </c>
      <c r="J108" s="411">
        <v>0.0133</v>
      </c>
      <c r="K108" s="209">
        <v>0.01</v>
      </c>
      <c r="L108" s="210">
        <v>0.005</v>
      </c>
      <c r="M108" s="210">
        <v>0.001</v>
      </c>
    </row>
    <row r="109" spans="3:13" ht="15">
      <c r="C109" s="209">
        <v>1</v>
      </c>
      <c r="D109" s="224">
        <f>D83*D96</f>
        <v>0</v>
      </c>
      <c r="E109" s="224">
        <f aca="true" t="shared" si="28" ref="E109:M109">E83*E96</f>
        <v>0</v>
      </c>
      <c r="F109" s="224">
        <f t="shared" si="28"/>
        <v>0</v>
      </c>
      <c r="G109" s="224">
        <f t="shared" si="28"/>
        <v>0</v>
      </c>
      <c r="H109" s="224">
        <f t="shared" si="28"/>
        <v>0</v>
      </c>
      <c r="I109" s="224">
        <f t="shared" si="28"/>
        <v>0</v>
      </c>
      <c r="J109" s="224">
        <f t="shared" si="28"/>
        <v>0</v>
      </c>
      <c r="K109" s="224">
        <f t="shared" si="28"/>
        <v>0</v>
      </c>
      <c r="L109" s="224">
        <f t="shared" si="28"/>
        <v>0</v>
      </c>
      <c r="M109" s="224">
        <f t="shared" si="28"/>
        <v>0</v>
      </c>
    </row>
    <row r="110" spans="2:13" ht="15">
      <c r="B110" s="161" t="s">
        <v>261</v>
      </c>
      <c r="C110" s="209">
        <v>0.5</v>
      </c>
      <c r="D110" s="224">
        <f aca="true" t="shared" si="29" ref="D110:M118">D84*D97</f>
        <v>0</v>
      </c>
      <c r="E110" s="224">
        <f t="shared" si="29"/>
        <v>0</v>
      </c>
      <c r="F110" s="224">
        <f t="shared" si="29"/>
        <v>0</v>
      </c>
      <c r="G110" s="224">
        <f t="shared" si="29"/>
        <v>0</v>
      </c>
      <c r="H110" s="224">
        <f t="shared" si="29"/>
        <v>0</v>
      </c>
      <c r="I110" s="224">
        <f t="shared" si="29"/>
        <v>0</v>
      </c>
      <c r="J110" s="224">
        <f t="shared" si="29"/>
        <v>0</v>
      </c>
      <c r="K110" s="224">
        <f t="shared" si="29"/>
        <v>0</v>
      </c>
      <c r="L110" s="224">
        <f t="shared" si="29"/>
        <v>0</v>
      </c>
      <c r="M110" s="224">
        <f t="shared" si="29"/>
        <v>0</v>
      </c>
    </row>
    <row r="111" spans="2:13" ht="15">
      <c r="B111" s="725" t="s">
        <v>281</v>
      </c>
      <c r="C111" s="209">
        <v>0.2</v>
      </c>
      <c r="D111" s="224">
        <f t="shared" si="29"/>
        <v>0</v>
      </c>
      <c r="E111" s="224">
        <f t="shared" si="29"/>
        <v>0</v>
      </c>
      <c r="F111" s="224">
        <f t="shared" si="29"/>
        <v>0</v>
      </c>
      <c r="G111" s="224">
        <f t="shared" si="29"/>
        <v>0</v>
      </c>
      <c r="H111" s="224">
        <f t="shared" si="29"/>
        <v>0</v>
      </c>
      <c r="I111" s="224">
        <f t="shared" si="29"/>
        <v>0</v>
      </c>
      <c r="J111" s="224">
        <f t="shared" si="29"/>
        <v>0</v>
      </c>
      <c r="K111" s="224">
        <f t="shared" si="29"/>
        <v>0</v>
      </c>
      <c r="L111" s="224">
        <f t="shared" si="29"/>
        <v>0</v>
      </c>
      <c r="M111" s="224">
        <f t="shared" si="29"/>
        <v>0</v>
      </c>
    </row>
    <row r="112" spans="2:13" ht="15">
      <c r="B112" s="725"/>
      <c r="C112" s="209">
        <v>0.1</v>
      </c>
      <c r="D112" s="224">
        <f t="shared" si="29"/>
        <v>0</v>
      </c>
      <c r="E112" s="224">
        <f t="shared" si="29"/>
        <v>0</v>
      </c>
      <c r="F112" s="224">
        <f t="shared" si="29"/>
        <v>0</v>
      </c>
      <c r="G112" s="224">
        <f t="shared" si="29"/>
        <v>0</v>
      </c>
      <c r="H112" s="224">
        <f t="shared" si="29"/>
        <v>0</v>
      </c>
      <c r="I112" s="224">
        <f t="shared" si="29"/>
        <v>0</v>
      </c>
      <c r="J112" s="224">
        <f t="shared" si="29"/>
        <v>0</v>
      </c>
      <c r="K112" s="224">
        <f t="shared" si="29"/>
        <v>0</v>
      </c>
      <c r="L112" s="224">
        <f t="shared" si="29"/>
        <v>0</v>
      </c>
      <c r="M112" s="224">
        <f t="shared" si="29"/>
        <v>0</v>
      </c>
    </row>
    <row r="113" spans="2:13" ht="15">
      <c r="B113" s="725"/>
      <c r="C113" s="209">
        <v>0.04</v>
      </c>
      <c r="D113" s="224">
        <f t="shared" si="29"/>
        <v>0</v>
      </c>
      <c r="E113" s="224">
        <f t="shared" si="29"/>
        <v>0</v>
      </c>
      <c r="F113" s="224">
        <f t="shared" si="29"/>
        <v>0</v>
      </c>
      <c r="G113" s="224">
        <f t="shared" si="29"/>
        <v>0</v>
      </c>
      <c r="H113" s="224">
        <f t="shared" si="29"/>
        <v>0</v>
      </c>
      <c r="I113" s="224">
        <f t="shared" si="29"/>
        <v>0</v>
      </c>
      <c r="J113" s="224">
        <f t="shared" si="29"/>
        <v>0</v>
      </c>
      <c r="K113" s="224">
        <f t="shared" si="29"/>
        <v>0</v>
      </c>
      <c r="L113" s="224">
        <f t="shared" si="29"/>
        <v>0</v>
      </c>
      <c r="M113" s="224">
        <f t="shared" si="29"/>
        <v>0</v>
      </c>
    </row>
    <row r="114" spans="2:13" ht="15">
      <c r="B114" s="725"/>
      <c r="C114" s="209">
        <v>0.02</v>
      </c>
      <c r="D114" s="224">
        <f t="shared" si="29"/>
        <v>0</v>
      </c>
      <c r="E114" s="224">
        <f t="shared" si="29"/>
        <v>0</v>
      </c>
      <c r="F114" s="224">
        <f t="shared" si="29"/>
        <v>0</v>
      </c>
      <c r="G114" s="224">
        <f t="shared" si="29"/>
        <v>0</v>
      </c>
      <c r="H114" s="224">
        <f t="shared" si="29"/>
        <v>0</v>
      </c>
      <c r="I114" s="224">
        <f t="shared" si="29"/>
        <v>0</v>
      </c>
      <c r="J114" s="224">
        <f t="shared" si="29"/>
        <v>0</v>
      </c>
      <c r="K114" s="224">
        <f t="shared" si="29"/>
        <v>0</v>
      </c>
      <c r="L114" s="224">
        <f t="shared" si="29"/>
        <v>0</v>
      </c>
      <c r="M114" s="224">
        <f t="shared" si="29"/>
        <v>0</v>
      </c>
    </row>
    <row r="115" spans="2:13" ht="15">
      <c r="B115" s="725"/>
      <c r="C115" s="411">
        <v>0.0133</v>
      </c>
      <c r="D115" s="224">
        <f t="shared" si="29"/>
        <v>0</v>
      </c>
      <c r="E115" s="224">
        <f t="shared" si="29"/>
        <v>0</v>
      </c>
      <c r="F115" s="224">
        <f t="shared" si="29"/>
        <v>0</v>
      </c>
      <c r="G115" s="224">
        <f t="shared" si="29"/>
        <v>0</v>
      </c>
      <c r="H115" s="224">
        <f t="shared" si="29"/>
        <v>0</v>
      </c>
      <c r="I115" s="224">
        <f t="shared" si="29"/>
        <v>0</v>
      </c>
      <c r="J115" s="224">
        <f t="shared" si="29"/>
        <v>0</v>
      </c>
      <c r="K115" s="224">
        <f t="shared" si="29"/>
        <v>0</v>
      </c>
      <c r="L115" s="224">
        <f t="shared" si="29"/>
        <v>0</v>
      </c>
      <c r="M115" s="224">
        <f t="shared" si="29"/>
        <v>0</v>
      </c>
    </row>
    <row r="116" spans="2:13" ht="15">
      <c r="B116" s="725"/>
      <c r="C116" s="209">
        <v>0.01</v>
      </c>
      <c r="D116" s="224">
        <f t="shared" si="29"/>
        <v>0</v>
      </c>
      <c r="E116" s="224">
        <f t="shared" si="29"/>
        <v>0</v>
      </c>
      <c r="F116" s="224">
        <f t="shared" si="29"/>
        <v>0</v>
      </c>
      <c r="G116" s="224">
        <f t="shared" si="29"/>
        <v>0</v>
      </c>
      <c r="H116" s="224">
        <f t="shared" si="29"/>
        <v>0</v>
      </c>
      <c r="I116" s="224">
        <f t="shared" si="29"/>
        <v>0</v>
      </c>
      <c r="J116" s="224">
        <f t="shared" si="29"/>
        <v>0</v>
      </c>
      <c r="K116" s="224">
        <f t="shared" si="29"/>
        <v>0</v>
      </c>
      <c r="L116" s="224">
        <f t="shared" si="29"/>
        <v>0</v>
      </c>
      <c r="M116" s="224">
        <f t="shared" si="29"/>
        <v>0</v>
      </c>
    </row>
    <row r="117" spans="2:13" ht="15">
      <c r="B117" s="725"/>
      <c r="C117" s="210">
        <v>0.005</v>
      </c>
      <c r="D117" s="224">
        <f t="shared" si="29"/>
        <v>0</v>
      </c>
      <c r="E117" s="224">
        <f t="shared" si="29"/>
        <v>0</v>
      </c>
      <c r="F117" s="224">
        <f t="shared" si="29"/>
        <v>0</v>
      </c>
      <c r="G117" s="224">
        <f t="shared" si="29"/>
        <v>0</v>
      </c>
      <c r="H117" s="224">
        <f t="shared" si="29"/>
        <v>0</v>
      </c>
      <c r="I117" s="224">
        <f t="shared" si="29"/>
        <v>0</v>
      </c>
      <c r="J117" s="224">
        <f t="shared" si="29"/>
        <v>0</v>
      </c>
      <c r="K117" s="224">
        <f t="shared" si="29"/>
        <v>0</v>
      </c>
      <c r="L117" s="224">
        <f t="shared" si="29"/>
        <v>0</v>
      </c>
      <c r="M117" s="224">
        <f t="shared" si="29"/>
        <v>0</v>
      </c>
    </row>
    <row r="118" spans="2:13" ht="15">
      <c r="B118" s="725"/>
      <c r="C118" s="210">
        <v>0.001</v>
      </c>
      <c r="D118" s="224">
        <f t="shared" si="29"/>
        <v>0</v>
      </c>
      <c r="E118" s="224">
        <f t="shared" si="29"/>
        <v>0</v>
      </c>
      <c r="F118" s="224">
        <f t="shared" si="29"/>
        <v>0</v>
      </c>
      <c r="G118" s="224">
        <f t="shared" si="29"/>
        <v>0</v>
      </c>
      <c r="H118" s="224">
        <f t="shared" si="29"/>
        <v>0</v>
      </c>
      <c r="I118" s="224">
        <f t="shared" si="29"/>
        <v>0</v>
      </c>
      <c r="J118" s="224">
        <f t="shared" si="29"/>
        <v>0</v>
      </c>
      <c r="K118" s="224">
        <f t="shared" si="29"/>
        <v>0</v>
      </c>
      <c r="L118" s="224">
        <f t="shared" si="29"/>
        <v>0</v>
      </c>
      <c r="M118" s="224">
        <f t="shared" si="29"/>
        <v>0</v>
      </c>
    </row>
    <row r="119" ht="15.75" thickBot="1"/>
    <row r="120" spans="4:17" ht="16.5" thickBot="1" thickTop="1">
      <c r="D120" s="220" t="str">
        <f>IF(SUM(D109:M118)=0,"Enter number of recreational assets","Total annual impacts")</f>
        <v>Enter number of recreational assets</v>
      </c>
      <c r="E120" s="221"/>
      <c r="F120" s="222"/>
      <c r="G120" s="222"/>
      <c r="H120" s="222"/>
      <c r="I120" s="222"/>
      <c r="J120" s="222"/>
      <c r="K120" s="223">
        <f>SUM(D109:M118)</f>
        <v>0</v>
      </c>
      <c r="L120" s="412"/>
      <c r="M120" s="367" t="s">
        <v>804</v>
      </c>
      <c r="N120" s="718" t="s">
        <v>811</v>
      </c>
      <c r="O120" s="719"/>
      <c r="P120" s="719"/>
      <c r="Q120" s="720"/>
    </row>
    <row r="121" ht="15.75" thickTop="1"/>
  </sheetData>
  <sheetProtection sheet="1" objects="1" scenarios="1"/>
  <mergeCells count="9">
    <mergeCell ref="L1:P1"/>
    <mergeCell ref="N120:Q120"/>
    <mergeCell ref="O39:Y39"/>
    <mergeCell ref="A58:C58"/>
    <mergeCell ref="B111:B118"/>
    <mergeCell ref="C3:I3"/>
    <mergeCell ref="A95:C95"/>
    <mergeCell ref="B98:B105"/>
    <mergeCell ref="A108:C108"/>
  </mergeCells>
  <dataValidations count="2">
    <dataValidation type="list" allowBlank="1" showInputMessage="1" showErrorMessage="1" sqref="D39:M39">
      <formula1>"Permanent loss, One-off loss"</formula1>
    </dataValidation>
    <dataValidation type="list" allowBlank="1" showInputMessage="1" showErrorMessage="1" sqref="N120:Q120">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80"/>
  <headerFooter>
    <oddHeader>&amp;C&amp;A</oddHead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Y232"/>
  <sheetViews>
    <sheetView zoomScale="85" zoomScaleNormal="85" workbookViewId="0" topLeftCell="A1"/>
  </sheetViews>
  <sheetFormatPr defaultColWidth="9.140625" defaultRowHeight="15"/>
  <cols>
    <col min="1" max="2" width="9.140625" style="161" customWidth="1"/>
    <col min="3" max="3" width="18.00390625" style="161" customWidth="1"/>
    <col min="4" max="13" width="15.00390625" style="161" customWidth="1"/>
    <col min="14" max="16384" width="9.140625" style="161" customWidth="1"/>
  </cols>
  <sheetData>
    <row r="1" spans="1:16" ht="15">
      <c r="A1" s="158" t="s">
        <v>372</v>
      </c>
      <c r="B1" s="156"/>
      <c r="C1" s="156"/>
      <c r="E1" s="157"/>
      <c r="F1" s="157" t="s">
        <v>260</v>
      </c>
      <c r="I1" s="215" t="s">
        <v>992</v>
      </c>
      <c r="J1" s="215">
        <v>16</v>
      </c>
      <c r="K1" s="215" t="s">
        <v>991</v>
      </c>
      <c r="L1" s="724"/>
      <c r="M1" s="724"/>
      <c r="N1" s="724"/>
      <c r="O1" s="724"/>
      <c r="P1" s="724"/>
    </row>
    <row r="3" spans="3:10" ht="15">
      <c r="C3" s="228" t="s">
        <v>520</v>
      </c>
      <c r="D3" s="228"/>
      <c r="E3" s="228"/>
      <c r="F3" s="228"/>
      <c r="G3" s="227"/>
      <c r="H3" s="227"/>
      <c r="I3" s="227"/>
      <c r="J3" s="401"/>
    </row>
    <row r="4" spans="4:6" ht="15">
      <c r="D4" s="160" t="s">
        <v>106</v>
      </c>
      <c r="E4" s="160"/>
      <c r="F4" s="160"/>
    </row>
    <row r="5" spans="3:6" ht="30">
      <c r="C5" s="229" t="s">
        <v>522</v>
      </c>
      <c r="D5" s="584"/>
      <c r="E5" s="160" t="s">
        <v>521</v>
      </c>
      <c r="F5" s="160"/>
    </row>
    <row r="6" spans="3:6" ht="30">
      <c r="C6" s="229" t="s">
        <v>523</v>
      </c>
      <c r="D6" s="584"/>
      <c r="E6" s="160" t="s">
        <v>524</v>
      </c>
      <c r="F6" s="160"/>
    </row>
    <row r="7" spans="3:6" ht="15">
      <c r="C7" s="229"/>
      <c r="D7" s="584"/>
      <c r="E7" s="160" t="s">
        <v>525</v>
      </c>
      <c r="F7" s="160"/>
    </row>
    <row r="8" spans="3:6" ht="15">
      <c r="C8" s="229"/>
      <c r="D8" s="584"/>
      <c r="E8" s="160" t="s">
        <v>526</v>
      </c>
      <c r="F8" s="160"/>
    </row>
    <row r="9" spans="3:6" ht="15">
      <c r="C9" s="229"/>
      <c r="D9" s="584"/>
      <c r="E9" s="160" t="s">
        <v>527</v>
      </c>
      <c r="F9" s="160"/>
    </row>
    <row r="10" spans="3:6" ht="15">
      <c r="C10" s="229" t="s">
        <v>528</v>
      </c>
      <c r="D10" s="584"/>
      <c r="E10" s="160" t="s">
        <v>529</v>
      </c>
      <c r="F10" s="160"/>
    </row>
    <row r="11" spans="3:6" ht="15">
      <c r="C11" s="229"/>
      <c r="D11" s="584"/>
      <c r="E11" s="160" t="s">
        <v>530</v>
      </c>
      <c r="F11" s="160"/>
    </row>
    <row r="12" spans="3:6" ht="15">
      <c r="C12" s="233" t="s">
        <v>242</v>
      </c>
      <c r="D12" s="232">
        <f>SUM(D5:D11)</f>
        <v>0</v>
      </c>
      <c r="F12" s="215"/>
    </row>
    <row r="13" ht="14.25" customHeight="1"/>
    <row r="14" spans="3:6" ht="15">
      <c r="C14" s="228" t="s">
        <v>532</v>
      </c>
      <c r="D14" s="228"/>
      <c r="E14" s="228"/>
      <c r="F14" s="160"/>
    </row>
    <row r="15" spans="4:5" ht="15">
      <c r="D15" s="160" t="s">
        <v>533</v>
      </c>
      <c r="E15" s="161" t="s">
        <v>534</v>
      </c>
    </row>
    <row r="16" spans="3:7" ht="30">
      <c r="C16" s="229" t="s">
        <v>522</v>
      </c>
      <c r="D16" s="585">
        <v>540000</v>
      </c>
      <c r="E16" s="160" t="s">
        <v>521</v>
      </c>
      <c r="F16" s="160"/>
      <c r="G16" s="161" t="s">
        <v>543</v>
      </c>
    </row>
    <row r="17" spans="3:7" ht="30">
      <c r="C17" s="229" t="s">
        <v>523</v>
      </c>
      <c r="D17" s="585">
        <v>48000</v>
      </c>
      <c r="E17" s="160" t="s">
        <v>524</v>
      </c>
      <c r="F17" s="160"/>
      <c r="G17" s="161" t="s">
        <v>535</v>
      </c>
    </row>
    <row r="18" spans="3:7" ht="15">
      <c r="C18" s="229"/>
      <c r="D18" s="585">
        <v>48000</v>
      </c>
      <c r="E18" s="160" t="s">
        <v>525</v>
      </c>
      <c r="F18" s="160"/>
      <c r="G18" s="161" t="s">
        <v>536</v>
      </c>
    </row>
    <row r="19" spans="3:7" ht="15">
      <c r="C19" s="229"/>
      <c r="D19" s="585">
        <v>83000</v>
      </c>
      <c r="E19" s="160" t="s">
        <v>526</v>
      </c>
      <c r="F19" s="160"/>
      <c r="G19" s="161" t="s">
        <v>537</v>
      </c>
    </row>
    <row r="20" spans="3:7" ht="15">
      <c r="C20" s="229"/>
      <c r="D20" s="585">
        <v>31000</v>
      </c>
      <c r="E20" s="160" t="s">
        <v>527</v>
      </c>
      <c r="F20" s="160"/>
      <c r="G20" s="161" t="s">
        <v>582</v>
      </c>
    </row>
    <row r="21" spans="3:7" ht="15">
      <c r="C21" s="229" t="s">
        <v>528</v>
      </c>
      <c r="D21" s="585"/>
      <c r="E21" s="160" t="s">
        <v>530</v>
      </c>
      <c r="F21" s="160"/>
      <c r="G21" s="161" t="s">
        <v>538</v>
      </c>
    </row>
    <row r="22" spans="3:23" ht="30" customHeight="1">
      <c r="C22" s="723" t="s">
        <v>531</v>
      </c>
      <c r="D22" s="592"/>
      <c r="E22" s="592"/>
      <c r="F22" s="592"/>
      <c r="G22" s="592"/>
      <c r="H22" s="592"/>
      <c r="I22" s="592"/>
      <c r="J22" s="592"/>
      <c r="K22" s="592"/>
      <c r="L22" s="592"/>
      <c r="M22" s="592"/>
      <c r="N22" s="592"/>
      <c r="O22" s="592"/>
      <c r="P22" s="592"/>
      <c r="Q22" s="592"/>
      <c r="R22" s="592"/>
      <c r="S22" s="592"/>
      <c r="T22" s="592"/>
      <c r="U22" s="592"/>
      <c r="V22" s="592"/>
      <c r="W22" s="592"/>
    </row>
    <row r="24" spans="3:6" ht="15">
      <c r="C24" s="228" t="s">
        <v>539</v>
      </c>
      <c r="D24" s="228"/>
      <c r="E24" s="228"/>
      <c r="F24" s="160"/>
    </row>
    <row r="25" spans="4:5" ht="15">
      <c r="D25" s="160" t="s">
        <v>540</v>
      </c>
      <c r="E25" s="161" t="s">
        <v>542</v>
      </c>
    </row>
    <row r="26" spans="3:7" ht="30">
      <c r="C26" s="229" t="s">
        <v>522</v>
      </c>
      <c r="D26" s="586">
        <v>3.4</v>
      </c>
      <c r="E26" s="740" t="s">
        <v>521</v>
      </c>
      <c r="F26" s="590"/>
      <c r="G26" s="161" t="s">
        <v>541</v>
      </c>
    </row>
    <row r="27" spans="3:7" ht="30">
      <c r="C27" s="229" t="s">
        <v>523</v>
      </c>
      <c r="D27" s="586">
        <v>1.35</v>
      </c>
      <c r="E27" s="740" t="s">
        <v>524</v>
      </c>
      <c r="F27" s="590"/>
      <c r="G27" s="161" t="s">
        <v>583</v>
      </c>
    </row>
    <row r="28" spans="3:6" ht="15">
      <c r="C28" s="229"/>
      <c r="D28" s="586">
        <v>1.35</v>
      </c>
      <c r="E28" s="740" t="s">
        <v>525</v>
      </c>
      <c r="F28" s="590"/>
    </row>
    <row r="29" spans="3:6" ht="15">
      <c r="C29" s="229"/>
      <c r="D29" s="586">
        <v>1.35</v>
      </c>
      <c r="E29" s="740" t="s">
        <v>526</v>
      </c>
      <c r="F29" s="590"/>
    </row>
    <row r="30" spans="3:6" ht="15">
      <c r="C30" s="229"/>
      <c r="D30" s="586">
        <v>1.35</v>
      </c>
      <c r="E30" s="740" t="s">
        <v>527</v>
      </c>
      <c r="F30" s="590"/>
    </row>
    <row r="31" spans="3:6" ht="15">
      <c r="C31" s="229" t="s">
        <v>528</v>
      </c>
      <c r="D31" s="586"/>
      <c r="E31" s="740" t="s">
        <v>530</v>
      </c>
      <c r="F31" s="590"/>
    </row>
    <row r="33" spans="3:6" ht="15">
      <c r="C33" s="226"/>
      <c r="E33" s="161" t="s">
        <v>262</v>
      </c>
      <c r="F33" s="161" t="str">
        <f>"Number of "&amp;C34&amp;" whose risk changes due to changes in water levels"</f>
        <v>Number of WORLD HERITAGE SITES whose risk changes due to changes in water levels</v>
      </c>
    </row>
    <row r="34" spans="3:13" ht="15">
      <c r="C34" s="226" t="s">
        <v>628</v>
      </c>
      <c r="D34" s="209">
        <v>1</v>
      </c>
      <c r="E34" s="209">
        <v>0.5</v>
      </c>
      <c r="F34" s="209">
        <v>0.2</v>
      </c>
      <c r="G34" s="209">
        <v>0.1</v>
      </c>
      <c r="H34" s="209">
        <v>0.04</v>
      </c>
      <c r="I34" s="209">
        <v>0.02</v>
      </c>
      <c r="J34" s="411">
        <v>0.0133</v>
      </c>
      <c r="K34" s="209">
        <v>0.01</v>
      </c>
      <c r="L34" s="210">
        <v>0.005</v>
      </c>
      <c r="M34" s="210">
        <v>0.001</v>
      </c>
    </row>
    <row r="35" spans="3:15" ht="15">
      <c r="C35" s="209">
        <v>1</v>
      </c>
      <c r="D35" s="550"/>
      <c r="E35" s="550"/>
      <c r="F35" s="550"/>
      <c r="G35" s="550"/>
      <c r="H35" s="550"/>
      <c r="I35" s="550"/>
      <c r="J35" s="550"/>
      <c r="K35" s="550"/>
      <c r="L35" s="550"/>
      <c r="M35" s="550"/>
      <c r="O35" s="161" t="s">
        <v>545</v>
      </c>
    </row>
    <row r="36" spans="3:13" ht="15">
      <c r="C36" s="209">
        <v>0.5</v>
      </c>
      <c r="D36" s="550"/>
      <c r="E36" s="550"/>
      <c r="F36" s="550"/>
      <c r="G36" s="550"/>
      <c r="H36" s="550"/>
      <c r="I36" s="550"/>
      <c r="J36" s="550"/>
      <c r="K36" s="550"/>
      <c r="L36" s="550"/>
      <c r="M36" s="550"/>
    </row>
    <row r="37" spans="3:15" ht="15">
      <c r="C37" s="209">
        <v>0.2</v>
      </c>
      <c r="D37" s="550"/>
      <c r="E37" s="550"/>
      <c r="F37" s="550"/>
      <c r="G37" s="550"/>
      <c r="H37" s="550"/>
      <c r="I37" s="550"/>
      <c r="J37" s="550"/>
      <c r="K37" s="550"/>
      <c r="L37" s="550"/>
      <c r="M37" s="550"/>
      <c r="O37" s="161" t="s">
        <v>964</v>
      </c>
    </row>
    <row r="38" spans="3:15" ht="15">
      <c r="C38" s="209">
        <v>0.1</v>
      </c>
      <c r="D38" s="550"/>
      <c r="E38" s="550"/>
      <c r="F38" s="550"/>
      <c r="G38" s="550"/>
      <c r="H38" s="550"/>
      <c r="I38" s="550"/>
      <c r="J38" s="550"/>
      <c r="K38" s="550"/>
      <c r="L38" s="550"/>
      <c r="M38" s="550"/>
      <c r="O38" s="161" t="s">
        <v>297</v>
      </c>
    </row>
    <row r="39" spans="3:15" ht="15">
      <c r="C39" s="209">
        <v>0.04</v>
      </c>
      <c r="D39" s="550"/>
      <c r="E39" s="550"/>
      <c r="F39" s="550"/>
      <c r="G39" s="550"/>
      <c r="H39" s="550"/>
      <c r="I39" s="550"/>
      <c r="J39" s="550"/>
      <c r="K39" s="550"/>
      <c r="L39" s="550"/>
      <c r="M39" s="550"/>
      <c r="O39" s="161" t="s">
        <v>965</v>
      </c>
    </row>
    <row r="40" spans="3:13" ht="15">
      <c r="C40" s="209">
        <v>0.02</v>
      </c>
      <c r="D40" s="550"/>
      <c r="E40" s="550"/>
      <c r="F40" s="550"/>
      <c r="G40" s="550"/>
      <c r="H40" s="550"/>
      <c r="I40" s="550"/>
      <c r="J40" s="550"/>
      <c r="K40" s="550"/>
      <c r="L40" s="550"/>
      <c r="M40" s="550"/>
    </row>
    <row r="41" spans="3:13" ht="15">
      <c r="C41" s="411">
        <v>0.0133</v>
      </c>
      <c r="D41" s="550"/>
      <c r="E41" s="550"/>
      <c r="F41" s="550"/>
      <c r="G41" s="550"/>
      <c r="H41" s="550"/>
      <c r="I41" s="550"/>
      <c r="J41" s="550"/>
      <c r="K41" s="550"/>
      <c r="L41" s="550"/>
      <c r="M41" s="550"/>
    </row>
    <row r="42" spans="3:13" ht="15">
      <c r="C42" s="209">
        <v>0.01</v>
      </c>
      <c r="D42" s="550"/>
      <c r="E42" s="550"/>
      <c r="F42" s="550"/>
      <c r="G42" s="550"/>
      <c r="H42" s="550"/>
      <c r="I42" s="550"/>
      <c r="J42" s="550"/>
      <c r="K42" s="550"/>
      <c r="L42" s="550"/>
      <c r="M42" s="550"/>
    </row>
    <row r="43" spans="3:13" ht="15">
      <c r="C43" s="210">
        <v>0.005</v>
      </c>
      <c r="D43" s="550"/>
      <c r="E43" s="550"/>
      <c r="F43" s="550"/>
      <c r="G43" s="550"/>
      <c r="H43" s="550"/>
      <c r="I43" s="550"/>
      <c r="J43" s="550"/>
      <c r="K43" s="550"/>
      <c r="L43" s="550"/>
      <c r="M43" s="550"/>
    </row>
    <row r="44" spans="3:13" ht="15">
      <c r="C44" s="210">
        <v>0.001</v>
      </c>
      <c r="D44" s="550"/>
      <c r="E44" s="550"/>
      <c r="F44" s="550"/>
      <c r="G44" s="550"/>
      <c r="H44" s="550"/>
      <c r="I44" s="550"/>
      <c r="J44" s="550"/>
      <c r="K44" s="550"/>
      <c r="L44" s="550"/>
      <c r="M44" s="550"/>
    </row>
    <row r="45" spans="3:13" ht="15">
      <c r="C45" s="210"/>
      <c r="D45" s="248"/>
      <c r="E45" s="248"/>
      <c r="F45" s="248"/>
      <c r="G45" s="248"/>
      <c r="H45" s="248"/>
      <c r="I45" s="248"/>
      <c r="J45" s="248"/>
      <c r="K45" s="248"/>
      <c r="L45" s="248"/>
      <c r="M45" s="248"/>
    </row>
    <row r="46" spans="3:6" ht="15">
      <c r="C46" s="226"/>
      <c r="E46" s="161" t="s">
        <v>262</v>
      </c>
      <c r="F46" s="161" t="str">
        <f>"Number of "&amp;C47&amp;" whose risk changes due to changes in water levels"</f>
        <v>Number of LISTED BUILDINGS whose risk changes due to changes in water levels</v>
      </c>
    </row>
    <row r="47" spans="3:13" ht="15">
      <c r="C47" s="226" t="s">
        <v>544</v>
      </c>
      <c r="D47" s="209">
        <v>1</v>
      </c>
      <c r="E47" s="209">
        <v>0.5</v>
      </c>
      <c r="F47" s="209">
        <v>0.2</v>
      </c>
      <c r="G47" s="209">
        <v>0.1</v>
      </c>
      <c r="H47" s="209">
        <v>0.04</v>
      </c>
      <c r="I47" s="209">
        <v>0.02</v>
      </c>
      <c r="J47" s="411">
        <v>0.0133</v>
      </c>
      <c r="K47" s="209">
        <v>0.01</v>
      </c>
      <c r="L47" s="210">
        <v>0.005</v>
      </c>
      <c r="M47" s="210">
        <v>0.001</v>
      </c>
    </row>
    <row r="48" spans="3:13" ht="15">
      <c r="C48" s="209">
        <v>1</v>
      </c>
      <c r="D48" s="550"/>
      <c r="E48" s="550"/>
      <c r="F48" s="550"/>
      <c r="G48" s="550"/>
      <c r="H48" s="550"/>
      <c r="I48" s="550"/>
      <c r="J48" s="550"/>
      <c r="K48" s="550"/>
      <c r="L48" s="550"/>
      <c r="M48" s="550"/>
    </row>
    <row r="49" spans="3:13" ht="15">
      <c r="C49" s="209">
        <v>0.5</v>
      </c>
      <c r="D49" s="550"/>
      <c r="E49" s="550"/>
      <c r="F49" s="550"/>
      <c r="G49" s="550"/>
      <c r="H49" s="550"/>
      <c r="I49" s="550"/>
      <c r="J49" s="550"/>
      <c r="K49" s="550"/>
      <c r="L49" s="550"/>
      <c r="M49" s="550"/>
    </row>
    <row r="50" spans="3:13" ht="15">
      <c r="C50" s="209">
        <v>0.2</v>
      </c>
      <c r="D50" s="550"/>
      <c r="E50" s="550"/>
      <c r="F50" s="550"/>
      <c r="G50" s="550"/>
      <c r="H50" s="550"/>
      <c r="I50" s="550"/>
      <c r="J50" s="550"/>
      <c r="K50" s="550"/>
      <c r="L50" s="550"/>
      <c r="M50" s="550"/>
    </row>
    <row r="51" spans="3:13" ht="15">
      <c r="C51" s="209">
        <v>0.1</v>
      </c>
      <c r="D51" s="550"/>
      <c r="E51" s="550"/>
      <c r="F51" s="550"/>
      <c r="G51" s="550"/>
      <c r="H51" s="550"/>
      <c r="I51" s="550"/>
      <c r="J51" s="550"/>
      <c r="K51" s="550"/>
      <c r="L51" s="550"/>
      <c r="M51" s="550"/>
    </row>
    <row r="52" spans="3:13" ht="15">
      <c r="C52" s="209">
        <v>0.04</v>
      </c>
      <c r="D52" s="550"/>
      <c r="E52" s="550"/>
      <c r="F52" s="550"/>
      <c r="G52" s="550"/>
      <c r="H52" s="550"/>
      <c r="I52" s="550"/>
      <c r="J52" s="550"/>
      <c r="K52" s="550"/>
      <c r="L52" s="550"/>
      <c r="M52" s="550"/>
    </row>
    <row r="53" spans="3:13" ht="15">
      <c r="C53" s="209">
        <v>0.02</v>
      </c>
      <c r="D53" s="550"/>
      <c r="E53" s="550"/>
      <c r="F53" s="550"/>
      <c r="G53" s="550"/>
      <c r="H53" s="550"/>
      <c r="I53" s="550"/>
      <c r="J53" s="550"/>
      <c r="K53" s="550"/>
      <c r="L53" s="550"/>
      <c r="M53" s="550"/>
    </row>
    <row r="54" spans="3:13" ht="15">
      <c r="C54" s="411">
        <v>0.0133</v>
      </c>
      <c r="D54" s="550"/>
      <c r="E54" s="550"/>
      <c r="F54" s="550"/>
      <c r="G54" s="550"/>
      <c r="H54" s="550"/>
      <c r="I54" s="550"/>
      <c r="J54" s="550"/>
      <c r="K54" s="550"/>
      <c r="L54" s="550"/>
      <c r="M54" s="550"/>
    </row>
    <row r="55" spans="3:13" ht="15">
      <c r="C55" s="209">
        <v>0.01</v>
      </c>
      <c r="D55" s="550"/>
      <c r="E55" s="550"/>
      <c r="F55" s="550"/>
      <c r="G55" s="550"/>
      <c r="H55" s="550"/>
      <c r="I55" s="550"/>
      <c r="J55" s="550"/>
      <c r="K55" s="550"/>
      <c r="L55" s="550"/>
      <c r="M55" s="550"/>
    </row>
    <row r="56" spans="3:13" ht="15">
      <c r="C56" s="210">
        <v>0.005</v>
      </c>
      <c r="D56" s="550"/>
      <c r="E56" s="550"/>
      <c r="F56" s="550"/>
      <c r="G56" s="550"/>
      <c r="H56" s="550"/>
      <c r="I56" s="550"/>
      <c r="J56" s="550"/>
      <c r="K56" s="550"/>
      <c r="L56" s="550"/>
      <c r="M56" s="550"/>
    </row>
    <row r="57" spans="3:13" ht="15">
      <c r="C57" s="210">
        <v>0.001</v>
      </c>
      <c r="D57" s="550"/>
      <c r="E57" s="550"/>
      <c r="F57" s="550"/>
      <c r="G57" s="550"/>
      <c r="H57" s="550"/>
      <c r="I57" s="550"/>
      <c r="J57" s="550"/>
      <c r="K57" s="550"/>
      <c r="L57" s="550"/>
      <c r="M57" s="550"/>
    </row>
    <row r="58" spans="3:13" ht="15">
      <c r="C58" s="210"/>
      <c r="D58" s="248"/>
      <c r="E58" s="248"/>
      <c r="F58" s="248"/>
      <c r="G58" s="248"/>
      <c r="H58" s="248"/>
      <c r="I58" s="248"/>
      <c r="J58" s="248"/>
      <c r="K58" s="248"/>
      <c r="L58" s="248"/>
      <c r="M58" s="248"/>
    </row>
    <row r="59" spans="3:6" ht="15">
      <c r="C59" s="226"/>
      <c r="E59" s="161" t="s">
        <v>262</v>
      </c>
      <c r="F59" s="161" t="str">
        <f>"Number of "&amp;C60&amp;" whose risk changes due to changes in water levels"</f>
        <v>Number of SCHEDULED MONUMENTS whose risk changes due to changes in water levels</v>
      </c>
    </row>
    <row r="60" spans="3:13" ht="15">
      <c r="C60" s="226" t="s">
        <v>546</v>
      </c>
      <c r="D60" s="209">
        <v>1</v>
      </c>
      <c r="E60" s="209">
        <v>0.5</v>
      </c>
      <c r="F60" s="209">
        <v>0.2</v>
      </c>
      <c r="G60" s="209">
        <v>0.1</v>
      </c>
      <c r="H60" s="209">
        <v>0.04</v>
      </c>
      <c r="I60" s="209">
        <v>0.02</v>
      </c>
      <c r="J60" s="411">
        <v>0.0133</v>
      </c>
      <c r="K60" s="209">
        <v>0.01</v>
      </c>
      <c r="L60" s="210">
        <v>0.005</v>
      </c>
      <c r="M60" s="210">
        <v>0.001</v>
      </c>
    </row>
    <row r="61" spans="3:13" ht="15">
      <c r="C61" s="209">
        <v>1</v>
      </c>
      <c r="D61" s="550"/>
      <c r="E61" s="550"/>
      <c r="F61" s="550"/>
      <c r="G61" s="550"/>
      <c r="H61" s="550"/>
      <c r="I61" s="550"/>
      <c r="J61" s="550"/>
      <c r="K61" s="550"/>
      <c r="L61" s="550"/>
      <c r="M61" s="550"/>
    </row>
    <row r="62" spans="3:13" ht="15">
      <c r="C62" s="209">
        <v>0.5</v>
      </c>
      <c r="D62" s="550"/>
      <c r="E62" s="550"/>
      <c r="F62" s="550"/>
      <c r="G62" s="550"/>
      <c r="H62" s="550"/>
      <c r="I62" s="550"/>
      <c r="J62" s="550"/>
      <c r="K62" s="550"/>
      <c r="L62" s="550"/>
      <c r="M62" s="550"/>
    </row>
    <row r="63" spans="3:13" ht="15">
      <c r="C63" s="209">
        <v>0.2</v>
      </c>
      <c r="D63" s="550"/>
      <c r="E63" s="550"/>
      <c r="F63" s="550"/>
      <c r="G63" s="550"/>
      <c r="H63" s="550"/>
      <c r="I63" s="550"/>
      <c r="J63" s="550"/>
      <c r="K63" s="550"/>
      <c r="L63" s="550"/>
      <c r="M63" s="550"/>
    </row>
    <row r="64" spans="3:13" ht="15">
      <c r="C64" s="209">
        <v>0.1</v>
      </c>
      <c r="D64" s="550"/>
      <c r="E64" s="550"/>
      <c r="F64" s="550"/>
      <c r="G64" s="550"/>
      <c r="H64" s="550"/>
      <c r="I64" s="550"/>
      <c r="J64" s="550"/>
      <c r="K64" s="550"/>
      <c r="L64" s="550"/>
      <c r="M64" s="550"/>
    </row>
    <row r="65" spans="3:13" ht="15">
      <c r="C65" s="209">
        <v>0.04</v>
      </c>
      <c r="D65" s="550"/>
      <c r="E65" s="550"/>
      <c r="F65" s="550"/>
      <c r="G65" s="550"/>
      <c r="H65" s="550"/>
      <c r="I65" s="550"/>
      <c r="J65" s="550"/>
      <c r="K65" s="550"/>
      <c r="L65" s="550"/>
      <c r="M65" s="550"/>
    </row>
    <row r="66" spans="3:13" ht="15">
      <c r="C66" s="209">
        <v>0.02</v>
      </c>
      <c r="D66" s="550"/>
      <c r="E66" s="550"/>
      <c r="F66" s="550"/>
      <c r="G66" s="550"/>
      <c r="H66" s="550"/>
      <c r="I66" s="550"/>
      <c r="J66" s="550"/>
      <c r="K66" s="550"/>
      <c r="L66" s="550"/>
      <c r="M66" s="550"/>
    </row>
    <row r="67" spans="3:13" ht="15">
      <c r="C67" s="411">
        <v>0.0133</v>
      </c>
      <c r="D67" s="550"/>
      <c r="E67" s="550"/>
      <c r="F67" s="550"/>
      <c r="G67" s="550"/>
      <c r="H67" s="550"/>
      <c r="I67" s="550"/>
      <c r="J67" s="550"/>
      <c r="K67" s="550"/>
      <c r="L67" s="550"/>
      <c r="M67" s="550"/>
    </row>
    <row r="68" spans="3:13" ht="15">
      <c r="C68" s="209">
        <v>0.01</v>
      </c>
      <c r="D68" s="550"/>
      <c r="E68" s="550"/>
      <c r="F68" s="550"/>
      <c r="G68" s="550"/>
      <c r="H68" s="550"/>
      <c r="I68" s="550"/>
      <c r="J68" s="550"/>
      <c r="K68" s="550"/>
      <c r="L68" s="550"/>
      <c r="M68" s="550"/>
    </row>
    <row r="69" spans="3:13" ht="15">
      <c r="C69" s="210">
        <v>0.005</v>
      </c>
      <c r="D69" s="550"/>
      <c r="E69" s="550"/>
      <c r="F69" s="550"/>
      <c r="G69" s="550"/>
      <c r="H69" s="550"/>
      <c r="I69" s="550"/>
      <c r="J69" s="550"/>
      <c r="K69" s="550"/>
      <c r="L69" s="550"/>
      <c r="M69" s="550"/>
    </row>
    <row r="70" spans="3:13" ht="15">
      <c r="C70" s="210">
        <v>0.001</v>
      </c>
      <c r="D70" s="550"/>
      <c r="E70" s="550"/>
      <c r="F70" s="550"/>
      <c r="G70" s="550"/>
      <c r="H70" s="550"/>
      <c r="I70" s="550"/>
      <c r="J70" s="550"/>
      <c r="K70" s="550"/>
      <c r="L70" s="550"/>
      <c r="M70" s="550"/>
    </row>
    <row r="71" spans="3:13" ht="15">
      <c r="C71" s="210"/>
      <c r="D71" s="248"/>
      <c r="E71" s="248"/>
      <c r="F71" s="248"/>
      <c r="G71" s="248"/>
      <c r="H71" s="248"/>
      <c r="I71" s="248"/>
      <c r="J71" s="248"/>
      <c r="K71" s="248"/>
      <c r="L71" s="248"/>
      <c r="M71" s="248"/>
    </row>
    <row r="72" spans="3:6" ht="15">
      <c r="C72" s="226"/>
      <c r="E72" s="161" t="s">
        <v>262</v>
      </c>
      <c r="F72" s="161" t="str">
        <f>"Number of "&amp;C73&amp;" whose risk changes due to changes in water levels"</f>
        <v>Number of REGISTERED PARKS AND GARDENS whose risk changes due to changes in water levels</v>
      </c>
    </row>
    <row r="73" spans="3:13" ht="15">
      <c r="C73" s="226" t="s">
        <v>547</v>
      </c>
      <c r="D73" s="209">
        <v>1</v>
      </c>
      <c r="E73" s="209">
        <v>0.5</v>
      </c>
      <c r="F73" s="209">
        <v>0.2</v>
      </c>
      <c r="G73" s="209">
        <v>0.1</v>
      </c>
      <c r="H73" s="209">
        <v>0.04</v>
      </c>
      <c r="I73" s="209">
        <v>0.02</v>
      </c>
      <c r="J73" s="411">
        <v>0.0133</v>
      </c>
      <c r="K73" s="209">
        <v>0.01</v>
      </c>
      <c r="L73" s="210">
        <v>0.005</v>
      </c>
      <c r="M73" s="210">
        <v>0.001</v>
      </c>
    </row>
    <row r="74" spans="3:13" ht="15">
      <c r="C74" s="209">
        <v>1</v>
      </c>
      <c r="D74" s="550"/>
      <c r="E74" s="550"/>
      <c r="F74" s="550"/>
      <c r="G74" s="550"/>
      <c r="H74" s="550"/>
      <c r="I74" s="550"/>
      <c r="J74" s="550"/>
      <c r="K74" s="550"/>
      <c r="L74" s="550"/>
      <c r="M74" s="550"/>
    </row>
    <row r="75" spans="3:13" ht="15">
      <c r="C75" s="209">
        <v>0.5</v>
      </c>
      <c r="D75" s="550"/>
      <c r="E75" s="550"/>
      <c r="F75" s="550"/>
      <c r="G75" s="550"/>
      <c r="H75" s="550"/>
      <c r="I75" s="550"/>
      <c r="J75" s="550"/>
      <c r="K75" s="550"/>
      <c r="L75" s="550"/>
      <c r="M75" s="550"/>
    </row>
    <row r="76" spans="3:13" ht="15">
      <c r="C76" s="209">
        <v>0.2</v>
      </c>
      <c r="D76" s="550"/>
      <c r="E76" s="550"/>
      <c r="F76" s="550"/>
      <c r="G76" s="550"/>
      <c r="H76" s="550"/>
      <c r="I76" s="550"/>
      <c r="J76" s="550"/>
      <c r="K76" s="550"/>
      <c r="L76" s="550"/>
      <c r="M76" s="550"/>
    </row>
    <row r="77" spans="3:13" ht="15">
      <c r="C77" s="209">
        <v>0.1</v>
      </c>
      <c r="D77" s="550"/>
      <c r="E77" s="550"/>
      <c r="F77" s="550"/>
      <c r="G77" s="550"/>
      <c r="H77" s="550"/>
      <c r="I77" s="550"/>
      <c r="J77" s="550"/>
      <c r="K77" s="550"/>
      <c r="L77" s="550"/>
      <c r="M77" s="550"/>
    </row>
    <row r="78" spans="3:13" ht="15">
      <c r="C78" s="209">
        <v>0.04</v>
      </c>
      <c r="D78" s="550"/>
      <c r="E78" s="550"/>
      <c r="F78" s="550"/>
      <c r="G78" s="550"/>
      <c r="H78" s="550"/>
      <c r="I78" s="550"/>
      <c r="J78" s="550"/>
      <c r="K78" s="550"/>
      <c r="L78" s="550"/>
      <c r="M78" s="550"/>
    </row>
    <row r="79" spans="3:13" ht="15">
      <c r="C79" s="209">
        <v>0.02</v>
      </c>
      <c r="D79" s="550"/>
      <c r="E79" s="550"/>
      <c r="F79" s="550"/>
      <c r="G79" s="550"/>
      <c r="H79" s="550"/>
      <c r="I79" s="550"/>
      <c r="J79" s="550"/>
      <c r="K79" s="550"/>
      <c r="L79" s="550"/>
      <c r="M79" s="550"/>
    </row>
    <row r="80" spans="3:13" ht="15">
      <c r="C80" s="411">
        <v>0.0133</v>
      </c>
      <c r="D80" s="550"/>
      <c r="E80" s="550"/>
      <c r="F80" s="550"/>
      <c r="G80" s="550"/>
      <c r="H80" s="550"/>
      <c r="I80" s="550"/>
      <c r="J80" s="550"/>
      <c r="K80" s="550"/>
      <c r="L80" s="550"/>
      <c r="M80" s="550"/>
    </row>
    <row r="81" spans="3:13" ht="15">
      <c r="C81" s="209">
        <v>0.01</v>
      </c>
      <c r="D81" s="550"/>
      <c r="E81" s="550"/>
      <c r="F81" s="550"/>
      <c r="G81" s="550"/>
      <c r="H81" s="550"/>
      <c r="I81" s="550"/>
      <c r="J81" s="550"/>
      <c r="K81" s="550"/>
      <c r="L81" s="550"/>
      <c r="M81" s="550"/>
    </row>
    <row r="82" spans="3:13" ht="15">
      <c r="C82" s="210">
        <v>0.005</v>
      </c>
      <c r="D82" s="550"/>
      <c r="E82" s="550"/>
      <c r="F82" s="550"/>
      <c r="G82" s="550"/>
      <c r="H82" s="550"/>
      <c r="I82" s="550"/>
      <c r="J82" s="550"/>
      <c r="K82" s="550"/>
      <c r="L82" s="550"/>
      <c r="M82" s="550"/>
    </row>
    <row r="83" spans="3:13" ht="15">
      <c r="C83" s="210">
        <v>0.001</v>
      </c>
      <c r="D83" s="550"/>
      <c r="E83" s="550"/>
      <c r="F83" s="550"/>
      <c r="G83" s="550"/>
      <c r="H83" s="550"/>
      <c r="I83" s="550"/>
      <c r="J83" s="550"/>
      <c r="K83" s="550"/>
      <c r="L83" s="550"/>
      <c r="M83" s="550"/>
    </row>
    <row r="84" spans="3:13" ht="15">
      <c r="C84" s="210"/>
      <c r="D84" s="248"/>
      <c r="E84" s="248"/>
      <c r="F84" s="248"/>
      <c r="G84" s="248"/>
      <c r="H84" s="248"/>
      <c r="I84" s="248"/>
      <c r="J84" s="248"/>
      <c r="K84" s="248"/>
      <c r="L84" s="248"/>
      <c r="M84" s="248"/>
    </row>
    <row r="85" spans="3:6" ht="15">
      <c r="C85" s="226"/>
      <c r="E85" s="161" t="s">
        <v>262</v>
      </c>
      <c r="F85" s="161" t="str">
        <f>"Number of "&amp;C86&amp;" whose risk changes due to changes in water levels"</f>
        <v>Number of REGISTERED BATTLEFIELDS whose risk changes due to changes in water levels</v>
      </c>
    </row>
    <row r="86" spans="3:13" ht="15">
      <c r="C86" s="226" t="s">
        <v>548</v>
      </c>
      <c r="D86" s="209">
        <v>1</v>
      </c>
      <c r="E86" s="209">
        <v>0.5</v>
      </c>
      <c r="F86" s="209">
        <v>0.2</v>
      </c>
      <c r="G86" s="209">
        <v>0.1</v>
      </c>
      <c r="H86" s="209">
        <v>0.04</v>
      </c>
      <c r="I86" s="209">
        <v>0.02</v>
      </c>
      <c r="J86" s="411">
        <v>0.0133</v>
      </c>
      <c r="K86" s="209">
        <v>0.01</v>
      </c>
      <c r="L86" s="210">
        <v>0.005</v>
      </c>
      <c r="M86" s="210">
        <v>0.001</v>
      </c>
    </row>
    <row r="87" spans="3:13" ht="15">
      <c r="C87" s="209">
        <v>1</v>
      </c>
      <c r="D87" s="550"/>
      <c r="E87" s="550"/>
      <c r="F87" s="550"/>
      <c r="G87" s="550"/>
      <c r="H87" s="550"/>
      <c r="I87" s="550"/>
      <c r="J87" s="550"/>
      <c r="K87" s="550"/>
      <c r="L87" s="550"/>
      <c r="M87" s="550"/>
    </row>
    <row r="88" spans="3:13" ht="15">
      <c r="C88" s="209">
        <v>0.5</v>
      </c>
      <c r="D88" s="550"/>
      <c r="E88" s="550"/>
      <c r="F88" s="550"/>
      <c r="G88" s="550"/>
      <c r="H88" s="550"/>
      <c r="I88" s="550"/>
      <c r="J88" s="550"/>
      <c r="K88" s="550"/>
      <c r="L88" s="550"/>
      <c r="M88" s="550"/>
    </row>
    <row r="89" spans="3:13" ht="15">
      <c r="C89" s="209">
        <v>0.2</v>
      </c>
      <c r="D89" s="550"/>
      <c r="E89" s="550"/>
      <c r="F89" s="550"/>
      <c r="G89" s="550"/>
      <c r="H89" s="550"/>
      <c r="I89" s="550"/>
      <c r="J89" s="550"/>
      <c r="K89" s="550"/>
      <c r="L89" s="550"/>
      <c r="M89" s="550"/>
    </row>
    <row r="90" spans="3:13" ht="15">
      <c r="C90" s="209">
        <v>0.1</v>
      </c>
      <c r="D90" s="550"/>
      <c r="E90" s="550"/>
      <c r="F90" s="550"/>
      <c r="G90" s="550"/>
      <c r="H90" s="550"/>
      <c r="I90" s="550"/>
      <c r="J90" s="550"/>
      <c r="K90" s="550"/>
      <c r="L90" s="550"/>
      <c r="M90" s="550"/>
    </row>
    <row r="91" spans="3:13" ht="15">
      <c r="C91" s="209">
        <v>0.04</v>
      </c>
      <c r="D91" s="550"/>
      <c r="E91" s="550"/>
      <c r="F91" s="550"/>
      <c r="G91" s="550"/>
      <c r="H91" s="550"/>
      <c r="I91" s="550"/>
      <c r="J91" s="550"/>
      <c r="K91" s="550"/>
      <c r="L91" s="550"/>
      <c r="M91" s="550"/>
    </row>
    <row r="92" spans="3:13" ht="15">
      <c r="C92" s="209">
        <v>0.02</v>
      </c>
      <c r="D92" s="550"/>
      <c r="E92" s="550"/>
      <c r="F92" s="550"/>
      <c r="G92" s="550"/>
      <c r="H92" s="550"/>
      <c r="I92" s="550"/>
      <c r="J92" s="550"/>
      <c r="K92" s="550"/>
      <c r="L92" s="550"/>
      <c r="M92" s="550"/>
    </row>
    <row r="93" spans="3:13" ht="15">
      <c r="C93" s="411">
        <v>0.0133</v>
      </c>
      <c r="D93" s="550"/>
      <c r="E93" s="550"/>
      <c r="F93" s="550"/>
      <c r="G93" s="550"/>
      <c r="H93" s="550"/>
      <c r="I93" s="550"/>
      <c r="J93" s="550"/>
      <c r="K93" s="550"/>
      <c r="L93" s="550"/>
      <c r="M93" s="550"/>
    </row>
    <row r="94" spans="3:13" ht="15">
      <c r="C94" s="209">
        <v>0.01</v>
      </c>
      <c r="D94" s="550"/>
      <c r="E94" s="550"/>
      <c r="F94" s="550"/>
      <c r="G94" s="550"/>
      <c r="H94" s="550"/>
      <c r="I94" s="550"/>
      <c r="J94" s="550"/>
      <c r="K94" s="550"/>
      <c r="L94" s="550"/>
      <c r="M94" s="550"/>
    </row>
    <row r="95" spans="3:13" ht="15">
      <c r="C95" s="210">
        <v>0.005</v>
      </c>
      <c r="D95" s="550"/>
      <c r="E95" s="550"/>
      <c r="F95" s="550"/>
      <c r="G95" s="550"/>
      <c r="H95" s="550"/>
      <c r="I95" s="550"/>
      <c r="J95" s="550"/>
      <c r="K95" s="550"/>
      <c r="L95" s="550"/>
      <c r="M95" s="550"/>
    </row>
    <row r="96" spans="3:13" ht="15">
      <c r="C96" s="210">
        <v>0.001</v>
      </c>
      <c r="D96" s="550"/>
      <c r="E96" s="550"/>
      <c r="F96" s="550"/>
      <c r="G96" s="550"/>
      <c r="H96" s="550"/>
      <c r="I96" s="550"/>
      <c r="J96" s="550"/>
      <c r="K96" s="550"/>
      <c r="L96" s="550"/>
      <c r="M96" s="550"/>
    </row>
    <row r="97" spans="3:13" ht="15">
      <c r="C97" s="210"/>
      <c r="D97" s="248"/>
      <c r="E97" s="248"/>
      <c r="F97" s="248"/>
      <c r="G97" s="248"/>
      <c r="H97" s="248"/>
      <c r="I97" s="248"/>
      <c r="J97" s="248"/>
      <c r="K97" s="248"/>
      <c r="L97" s="248"/>
      <c r="M97" s="248"/>
    </row>
    <row r="98" spans="3:6" ht="15">
      <c r="C98" s="226"/>
      <c r="E98" s="161" t="s">
        <v>262</v>
      </c>
      <c r="F98" s="161" t="str">
        <f>"Number of "&amp;C99&amp;" whose risk changes due to changes in water levels"</f>
        <v>Number of LOCAL DESIGNATIONS whose risk changes due to changes in water levels</v>
      </c>
    </row>
    <row r="99" spans="3:13" ht="15">
      <c r="C99" s="226" t="s">
        <v>549</v>
      </c>
      <c r="D99" s="209">
        <v>1</v>
      </c>
      <c r="E99" s="209">
        <v>0.5</v>
      </c>
      <c r="F99" s="209">
        <v>0.2</v>
      </c>
      <c r="G99" s="209">
        <v>0.1</v>
      </c>
      <c r="H99" s="209">
        <v>0.04</v>
      </c>
      <c r="I99" s="209">
        <v>0.02</v>
      </c>
      <c r="J99" s="411">
        <v>0.0133</v>
      </c>
      <c r="K99" s="209">
        <v>0.01</v>
      </c>
      <c r="L99" s="210">
        <v>0.005</v>
      </c>
      <c r="M99" s="210">
        <v>0.001</v>
      </c>
    </row>
    <row r="100" spans="3:13" ht="15">
      <c r="C100" s="209">
        <v>1</v>
      </c>
      <c r="D100" s="550"/>
      <c r="E100" s="550"/>
      <c r="F100" s="550"/>
      <c r="G100" s="550"/>
      <c r="H100" s="550"/>
      <c r="I100" s="550"/>
      <c r="J100" s="550"/>
      <c r="K100" s="550"/>
      <c r="L100" s="550"/>
      <c r="M100" s="550"/>
    </row>
    <row r="101" spans="3:13" ht="15">
      <c r="C101" s="209">
        <v>0.5</v>
      </c>
      <c r="D101" s="550"/>
      <c r="E101" s="550"/>
      <c r="F101" s="550"/>
      <c r="G101" s="550"/>
      <c r="H101" s="550"/>
      <c r="I101" s="550"/>
      <c r="J101" s="550"/>
      <c r="K101" s="550"/>
      <c r="L101" s="550"/>
      <c r="M101" s="550"/>
    </row>
    <row r="102" spans="3:13" ht="15">
      <c r="C102" s="209">
        <v>0.2</v>
      </c>
      <c r="D102" s="550"/>
      <c r="E102" s="550"/>
      <c r="F102" s="550"/>
      <c r="G102" s="550"/>
      <c r="H102" s="550"/>
      <c r="I102" s="550"/>
      <c r="J102" s="550"/>
      <c r="K102" s="550"/>
      <c r="L102" s="550"/>
      <c r="M102" s="550"/>
    </row>
    <row r="103" spans="3:13" ht="15">
      <c r="C103" s="209">
        <v>0.1</v>
      </c>
      <c r="D103" s="550"/>
      <c r="E103" s="550"/>
      <c r="F103" s="550"/>
      <c r="G103" s="550"/>
      <c r="H103" s="550"/>
      <c r="I103" s="550"/>
      <c r="J103" s="550"/>
      <c r="K103" s="550"/>
      <c r="L103" s="550"/>
      <c r="M103" s="550"/>
    </row>
    <row r="104" spans="3:13" ht="15">
      <c r="C104" s="209">
        <v>0.04</v>
      </c>
      <c r="D104" s="550"/>
      <c r="E104" s="550"/>
      <c r="F104" s="550"/>
      <c r="G104" s="550"/>
      <c r="H104" s="550"/>
      <c r="I104" s="550"/>
      <c r="J104" s="550"/>
      <c r="K104" s="550"/>
      <c r="L104" s="550"/>
      <c r="M104" s="550"/>
    </row>
    <row r="105" spans="3:13" ht="15">
      <c r="C105" s="209">
        <v>0.02</v>
      </c>
      <c r="D105" s="550"/>
      <c r="E105" s="550"/>
      <c r="F105" s="550"/>
      <c r="G105" s="550"/>
      <c r="H105" s="550"/>
      <c r="I105" s="550"/>
      <c r="J105" s="550"/>
      <c r="K105" s="550"/>
      <c r="L105" s="550"/>
      <c r="M105" s="550"/>
    </row>
    <row r="106" spans="3:13" ht="15">
      <c r="C106" s="411">
        <v>0.0133</v>
      </c>
      <c r="D106" s="550"/>
      <c r="E106" s="550"/>
      <c r="F106" s="550"/>
      <c r="G106" s="550"/>
      <c r="H106" s="550"/>
      <c r="I106" s="550"/>
      <c r="J106" s="550"/>
      <c r="K106" s="550"/>
      <c r="L106" s="550"/>
      <c r="M106" s="550"/>
    </row>
    <row r="107" spans="3:13" ht="15">
      <c r="C107" s="209">
        <v>0.01</v>
      </c>
      <c r="D107" s="550"/>
      <c r="E107" s="550"/>
      <c r="F107" s="550"/>
      <c r="G107" s="550"/>
      <c r="H107" s="550"/>
      <c r="I107" s="550"/>
      <c r="J107" s="550"/>
      <c r="K107" s="550"/>
      <c r="L107" s="550"/>
      <c r="M107" s="550"/>
    </row>
    <row r="108" spans="3:13" ht="15">
      <c r="C108" s="210">
        <v>0.005</v>
      </c>
      <c r="D108" s="550"/>
      <c r="E108" s="550"/>
      <c r="F108" s="550"/>
      <c r="G108" s="550"/>
      <c r="H108" s="550"/>
      <c r="I108" s="550"/>
      <c r="J108" s="550"/>
      <c r="K108" s="550"/>
      <c r="L108" s="550"/>
      <c r="M108" s="550"/>
    </row>
    <row r="109" spans="3:13" ht="15">
      <c r="C109" s="210">
        <v>0.001</v>
      </c>
      <c r="D109" s="550"/>
      <c r="E109" s="550"/>
      <c r="F109" s="550"/>
      <c r="G109" s="550"/>
      <c r="H109" s="550"/>
      <c r="I109" s="550"/>
      <c r="J109" s="550"/>
      <c r="K109" s="550"/>
      <c r="L109" s="550"/>
      <c r="M109" s="550"/>
    </row>
    <row r="110" spans="3:13" ht="15">
      <c r="C110" s="210"/>
      <c r="D110" s="248"/>
      <c r="E110" s="248"/>
      <c r="F110" s="248"/>
      <c r="G110" s="248"/>
      <c r="H110" s="248"/>
      <c r="I110" s="248"/>
      <c r="J110" s="248"/>
      <c r="K110" s="248"/>
      <c r="L110" s="248"/>
      <c r="M110" s="248"/>
    </row>
    <row r="111" spans="3:13" ht="15">
      <c r="C111" s="305" t="s">
        <v>678</v>
      </c>
      <c r="D111" s="311">
        <v>1</v>
      </c>
      <c r="E111" s="311">
        <v>0.5</v>
      </c>
      <c r="F111" s="311">
        <v>0.2</v>
      </c>
      <c r="G111" s="311">
        <v>0.1</v>
      </c>
      <c r="H111" s="311">
        <v>0.04</v>
      </c>
      <c r="I111" s="311">
        <v>0.02</v>
      </c>
      <c r="J111" s="411">
        <v>0.0133</v>
      </c>
      <c r="K111" s="209">
        <v>0.01</v>
      </c>
      <c r="L111" s="210">
        <v>0.005</v>
      </c>
      <c r="M111" s="210">
        <v>0.001</v>
      </c>
    </row>
    <row r="112" spans="3:25" ht="15">
      <c r="C112" s="161" t="s">
        <v>377</v>
      </c>
      <c r="D112" s="568" t="s">
        <v>195</v>
      </c>
      <c r="E112" s="568" t="s">
        <v>195</v>
      </c>
      <c r="F112" s="568" t="s">
        <v>378</v>
      </c>
      <c r="G112" s="568" t="s">
        <v>378</v>
      </c>
      <c r="H112" s="568" t="s">
        <v>378</v>
      </c>
      <c r="I112" s="568" t="s">
        <v>378</v>
      </c>
      <c r="J112" s="568" t="s">
        <v>378</v>
      </c>
      <c r="K112" s="568" t="s">
        <v>378</v>
      </c>
      <c r="L112" s="568" t="s">
        <v>378</v>
      </c>
      <c r="M112" s="568" t="s">
        <v>378</v>
      </c>
      <c r="O112" s="723"/>
      <c r="P112" s="724"/>
      <c r="Q112" s="724"/>
      <c r="R112" s="724"/>
      <c r="S112" s="724"/>
      <c r="T112" s="724"/>
      <c r="U112" s="724"/>
      <c r="V112" s="724"/>
      <c r="W112" s="724"/>
      <c r="X112" s="724"/>
      <c r="Y112" s="724"/>
    </row>
    <row r="113" spans="4:25" ht="15">
      <c r="D113" s="307"/>
      <c r="E113" s="307"/>
      <c r="F113" s="307"/>
      <c r="G113" s="307"/>
      <c r="H113" s="307"/>
      <c r="I113" s="307"/>
      <c r="J113" s="400"/>
      <c r="K113" s="307"/>
      <c r="L113" s="400"/>
      <c r="M113" s="307"/>
      <c r="O113" s="307"/>
      <c r="P113" s="306"/>
      <c r="Q113" s="306"/>
      <c r="R113" s="306"/>
      <c r="S113" s="306"/>
      <c r="T113" s="306"/>
      <c r="U113" s="306"/>
      <c r="V113" s="306"/>
      <c r="W113" s="306"/>
      <c r="X113" s="306"/>
      <c r="Y113" s="306"/>
    </row>
    <row r="114" spans="3:7" ht="15">
      <c r="C114" s="305" t="str">
        <f>C111</f>
        <v>HERITAGE</v>
      </c>
      <c r="D114" s="307" t="s">
        <v>195</v>
      </c>
      <c r="G114" s="307"/>
    </row>
    <row r="115" spans="3:10" ht="30">
      <c r="C115" s="250" t="s">
        <v>229</v>
      </c>
      <c r="D115" s="569">
        <v>10000000</v>
      </c>
      <c r="E115" s="306" t="s">
        <v>679</v>
      </c>
      <c r="F115" s="306"/>
      <c r="G115" s="307"/>
      <c r="H115" s="312"/>
      <c r="I115" s="307"/>
      <c r="J115" s="400"/>
    </row>
    <row r="116" spans="3:10" ht="14.25" customHeight="1">
      <c r="C116" s="250" t="s">
        <v>524</v>
      </c>
      <c r="D116" s="569">
        <v>1000000</v>
      </c>
      <c r="E116" s="306" t="s">
        <v>679</v>
      </c>
      <c r="F116" s="306"/>
      <c r="G116" s="307"/>
      <c r="H116" s="312"/>
      <c r="I116" s="307"/>
      <c r="J116" s="400"/>
    </row>
    <row r="117" spans="3:10" ht="25.5" customHeight="1">
      <c r="C117" s="250" t="s">
        <v>525</v>
      </c>
      <c r="D117" s="569">
        <v>1000000</v>
      </c>
      <c r="E117" s="306" t="s">
        <v>679</v>
      </c>
      <c r="F117" s="306"/>
      <c r="G117" s="307"/>
      <c r="H117" s="312"/>
      <c r="I117" s="307"/>
      <c r="J117" s="400"/>
    </row>
    <row r="118" spans="3:10" ht="14.25" customHeight="1">
      <c r="C118" s="250" t="s">
        <v>526</v>
      </c>
      <c r="D118" s="569">
        <v>10000000</v>
      </c>
      <c r="E118" s="306" t="s">
        <v>679</v>
      </c>
      <c r="F118" s="306"/>
      <c r="G118" s="307"/>
      <c r="H118" s="312"/>
      <c r="I118" s="307"/>
      <c r="J118" s="400"/>
    </row>
    <row r="119" spans="3:10" ht="30">
      <c r="C119" s="250" t="s">
        <v>527</v>
      </c>
      <c r="D119" s="569">
        <v>10000000</v>
      </c>
      <c r="E119" s="306" t="s">
        <v>679</v>
      </c>
      <c r="F119" s="306"/>
      <c r="G119" s="307"/>
      <c r="H119" s="312"/>
      <c r="I119" s="307"/>
      <c r="J119" s="400"/>
    </row>
    <row r="120" spans="3:10" ht="15">
      <c r="C120" s="250" t="s">
        <v>231</v>
      </c>
      <c r="D120" s="569">
        <v>500000</v>
      </c>
      <c r="E120" s="306" t="s">
        <v>679</v>
      </c>
      <c r="F120" s="306"/>
      <c r="G120" s="307"/>
      <c r="H120" s="312"/>
      <c r="I120" s="307"/>
      <c r="J120" s="400"/>
    </row>
    <row r="121" spans="3:4" ht="15">
      <c r="C121" s="305"/>
      <c r="D121" s="161" t="s">
        <v>386</v>
      </c>
    </row>
    <row r="122" ht="15">
      <c r="D122" s="161" t="s">
        <v>387</v>
      </c>
    </row>
    <row r="123" spans="1:5" ht="27.75" customHeight="1">
      <c r="A123" s="722" t="s">
        <v>673</v>
      </c>
      <c r="B123" s="723"/>
      <c r="C123" s="723"/>
      <c r="D123" s="570">
        <v>25</v>
      </c>
      <c r="E123" s="161" t="s">
        <v>391</v>
      </c>
    </row>
    <row r="124" spans="1:5" ht="15">
      <c r="A124" s="307"/>
      <c r="B124" s="307"/>
      <c r="C124" s="305" t="s">
        <v>390</v>
      </c>
      <c r="D124" s="160">
        <f>VLOOKUP(D123-1,Sheet1!A$15:C$114,3,FALSE)</f>
        <v>17.058367603016084</v>
      </c>
      <c r="E124" s="161" t="str">
        <f>"Sum of discount factors from year 0 to year "&amp;D123</f>
        <v>Sum of discount factors from year 0 to year 25</v>
      </c>
    </row>
    <row r="125" spans="3:5" ht="30">
      <c r="C125" s="250" t="s">
        <v>229</v>
      </c>
      <c r="D125" s="212">
        <f>D115/D124</f>
        <v>586222.564357911</v>
      </c>
      <c r="E125" s="161" t="s">
        <v>680</v>
      </c>
    </row>
    <row r="126" spans="3:5" ht="15">
      <c r="C126" s="250" t="s">
        <v>524</v>
      </c>
      <c r="D126" s="212">
        <f>D116/D124</f>
        <v>58622.256435791096</v>
      </c>
      <c r="E126" s="161" t="s">
        <v>680</v>
      </c>
    </row>
    <row r="127" spans="3:5" ht="30">
      <c r="C127" s="250" t="s">
        <v>525</v>
      </c>
      <c r="D127" s="212">
        <f>D117/D124</f>
        <v>58622.256435791096</v>
      </c>
      <c r="E127" s="161" t="s">
        <v>680</v>
      </c>
    </row>
    <row r="128" spans="3:5" ht="30">
      <c r="C128" s="250" t="s">
        <v>526</v>
      </c>
      <c r="D128" s="212">
        <f>D118/D124</f>
        <v>586222.564357911</v>
      </c>
      <c r="E128" s="161" t="s">
        <v>680</v>
      </c>
    </row>
    <row r="129" spans="3:5" ht="30">
      <c r="C129" s="250" t="s">
        <v>527</v>
      </c>
      <c r="D129" s="212">
        <f>D119/D124</f>
        <v>586222.564357911</v>
      </c>
      <c r="E129" s="161" t="s">
        <v>680</v>
      </c>
    </row>
    <row r="130" spans="3:5" ht="15">
      <c r="C130" s="250" t="s">
        <v>231</v>
      </c>
      <c r="D130" s="212">
        <f>D120/D124</f>
        <v>29311.128217895548</v>
      </c>
      <c r="E130" s="161" t="s">
        <v>680</v>
      </c>
    </row>
    <row r="131" spans="3:4" ht="15">
      <c r="C131" s="305"/>
      <c r="D131" s="313"/>
    </row>
    <row r="132" spans="4:14" ht="15">
      <c r="D132" s="209">
        <v>1</v>
      </c>
      <c r="E132" s="209">
        <v>0.5</v>
      </c>
      <c r="F132" s="209">
        <v>0.2</v>
      </c>
      <c r="G132" s="209">
        <v>0.1</v>
      </c>
      <c r="H132" s="209">
        <v>0.04</v>
      </c>
      <c r="I132" s="209">
        <v>0.02</v>
      </c>
      <c r="J132" s="411">
        <v>0.0133</v>
      </c>
      <c r="K132" s="209">
        <v>0.01</v>
      </c>
      <c r="L132" s="210">
        <v>0.005</v>
      </c>
      <c r="M132" s="210">
        <v>0.001</v>
      </c>
      <c r="N132" s="215" t="s">
        <v>61</v>
      </c>
    </row>
    <row r="133" spans="3:14" ht="30">
      <c r="C133" s="249" t="s">
        <v>367</v>
      </c>
      <c r="D133" s="567">
        <f>'Water levels-Residential'!D32</f>
        <v>1</v>
      </c>
      <c r="E133" s="567">
        <f>'Water levels-Residential'!E32</f>
        <v>0.8944928611162618</v>
      </c>
      <c r="F133" s="567">
        <f>'Water levels-Residential'!F32</f>
        <v>0.5777860189134063</v>
      </c>
      <c r="G133" s="567">
        <f>'Water levels-Residential'!G32</f>
        <v>0.29334322269608754</v>
      </c>
      <c r="H133" s="567">
        <f>'Water levels-Residential'!H32</f>
        <v>0.13777118486927498</v>
      </c>
      <c r="I133" s="567">
        <f>'Water levels-Residential'!I32</f>
        <v>0.058594474318561095</v>
      </c>
      <c r="J133" s="567">
        <f>'Water levels-Residential'!J32</f>
        <v>0.029297237159280547</v>
      </c>
      <c r="K133" s="567">
        <f>'Water levels-Residential'!K32</f>
        <v>0.014648618579640274</v>
      </c>
      <c r="L133" s="567">
        <f>'Water levels-Residential'!L32</f>
        <v>0.01</v>
      </c>
      <c r="M133" s="567">
        <f>'Water levels-Residential'!M32</f>
        <v>0</v>
      </c>
      <c r="N133" s="217" t="s">
        <v>368</v>
      </c>
    </row>
    <row r="134" spans="3:14" ht="30">
      <c r="C134" s="250" t="s">
        <v>229</v>
      </c>
      <c r="D134" s="219">
        <f>IF(D112="One-off loss",$D$16*$D$26*D133,$D125)</f>
        <v>586222.564357911</v>
      </c>
      <c r="E134" s="219">
        <f aca="true" t="shared" si="0" ref="E134:I134">IF(E112="One-off loss",$D$16*$D$26*E133,$D125)</f>
        <v>586222.564357911</v>
      </c>
      <c r="F134" s="219">
        <f>IF(F112="One-off loss",$D$16*$D$26*F133,$D125)</f>
        <v>1060815.130725014</v>
      </c>
      <c r="G134" s="219">
        <f t="shared" si="0"/>
        <v>538578.1568700167</v>
      </c>
      <c r="H134" s="219">
        <f t="shared" si="0"/>
        <v>252947.89541998887</v>
      </c>
      <c r="I134" s="219">
        <f t="shared" si="0"/>
        <v>107579.45484887817</v>
      </c>
      <c r="J134" s="219">
        <f aca="true" t="shared" si="1" ref="J134:M134">IF(J112="One-off loss",$D$16*$D$26*J133,$D125)</f>
        <v>53789.72742443909</v>
      </c>
      <c r="K134" s="219">
        <f t="shared" si="1"/>
        <v>26894.863712219543</v>
      </c>
      <c r="L134" s="219">
        <f t="shared" si="1"/>
        <v>18360</v>
      </c>
      <c r="M134" s="219">
        <f t="shared" si="1"/>
        <v>0</v>
      </c>
      <c r="N134" s="217"/>
    </row>
    <row r="135" spans="3:14" ht="15">
      <c r="C135" s="250" t="s">
        <v>524</v>
      </c>
      <c r="D135" s="219">
        <f>IF(D112="One-off loss",$D$17*$D$27*D133,$D126)</f>
        <v>58622.256435791096</v>
      </c>
      <c r="E135" s="219">
        <f aca="true" t="shared" si="2" ref="E135:I135">IF(E112="One-off loss",$D$17*$D$27*E133,$D126)</f>
        <v>58622.256435791096</v>
      </c>
      <c r="F135" s="219">
        <f>IF(F112="One-off loss",$D$17*$D$27*F133,$D126)</f>
        <v>37440.534025588735</v>
      </c>
      <c r="G135" s="219">
        <f t="shared" si="2"/>
        <v>19008.640830706474</v>
      </c>
      <c r="H135" s="219">
        <f t="shared" si="2"/>
        <v>8927.572779529019</v>
      </c>
      <c r="I135" s="219">
        <f t="shared" si="2"/>
        <v>3796.9219358427595</v>
      </c>
      <c r="J135" s="219">
        <f aca="true" t="shared" si="3" ref="J135:M135">IF(J112="One-off loss",$D$17*$D$27*J133,$D126)</f>
        <v>1898.4609679213797</v>
      </c>
      <c r="K135" s="219">
        <f t="shared" si="3"/>
        <v>949.2304839606899</v>
      </c>
      <c r="L135" s="219">
        <f t="shared" si="3"/>
        <v>648.0000000000001</v>
      </c>
      <c r="M135" s="219">
        <f t="shared" si="3"/>
        <v>0</v>
      </c>
      <c r="N135" s="217"/>
    </row>
    <row r="136" spans="3:14" ht="30">
      <c r="C136" s="250" t="s">
        <v>525</v>
      </c>
      <c r="D136" s="219">
        <f>IF(D112="One-off loss",$D$18*$D$28*D133,$D127)</f>
        <v>58622.256435791096</v>
      </c>
      <c r="E136" s="219">
        <f aca="true" t="shared" si="4" ref="E136:I136">IF(E112="One-off loss",$D$18*$D$28*E133,$D127)</f>
        <v>58622.256435791096</v>
      </c>
      <c r="F136" s="219">
        <f t="shared" si="4"/>
        <v>37440.534025588735</v>
      </c>
      <c r="G136" s="219">
        <f t="shared" si="4"/>
        <v>19008.640830706474</v>
      </c>
      <c r="H136" s="219">
        <f t="shared" si="4"/>
        <v>8927.572779529019</v>
      </c>
      <c r="I136" s="219">
        <f t="shared" si="4"/>
        <v>3796.9219358427595</v>
      </c>
      <c r="J136" s="219">
        <f aca="true" t="shared" si="5" ref="J136:M136">IF(J112="One-off loss",$D$18*$D$28*J133,$D127)</f>
        <v>1898.4609679213797</v>
      </c>
      <c r="K136" s="219">
        <f t="shared" si="5"/>
        <v>949.2304839606899</v>
      </c>
      <c r="L136" s="219">
        <f t="shared" si="5"/>
        <v>648.0000000000001</v>
      </c>
      <c r="M136" s="219">
        <f t="shared" si="5"/>
        <v>0</v>
      </c>
      <c r="N136" s="217"/>
    </row>
    <row r="137" spans="3:13" ht="30">
      <c r="C137" s="250" t="s">
        <v>526</v>
      </c>
      <c r="D137" s="219">
        <f>IF(D112="One-off loss",$D$19*$D$29*D133,$D128)</f>
        <v>586222.564357911</v>
      </c>
      <c r="E137" s="219">
        <f aca="true" t="shared" si="6" ref="E137:I137">IF(E112="One-off loss",$D$19*$D$29*E133,$D128)</f>
        <v>586222.564357911</v>
      </c>
      <c r="F137" s="219">
        <f t="shared" si="6"/>
        <v>64740.923419247185</v>
      </c>
      <c r="G137" s="219">
        <f t="shared" si="6"/>
        <v>32869.108103096616</v>
      </c>
      <c r="H137" s="219">
        <f t="shared" si="6"/>
        <v>15437.261264602263</v>
      </c>
      <c r="I137" s="219">
        <f t="shared" si="6"/>
        <v>6565.510847394771</v>
      </c>
      <c r="J137" s="219">
        <f aca="true" t="shared" si="7" ref="J137:M137">IF(J112="One-off loss",$D$19*$D$29*J133,$D128)</f>
        <v>3282.7554236973856</v>
      </c>
      <c r="K137" s="219">
        <f t="shared" si="7"/>
        <v>1641.3777118486928</v>
      </c>
      <c r="L137" s="219">
        <f t="shared" si="7"/>
        <v>1120.5000000000002</v>
      </c>
      <c r="M137" s="219">
        <f t="shared" si="7"/>
        <v>0</v>
      </c>
    </row>
    <row r="138" spans="3:13" ht="30">
      <c r="C138" s="250" t="s">
        <v>527</v>
      </c>
      <c r="D138" s="219">
        <f>IF(D112="One-off loss",$D$20*$D$30*D133,$D129)</f>
        <v>586222.564357911</v>
      </c>
      <c r="E138" s="219">
        <f aca="true" t="shared" si="8" ref="E138:I138">IF(E112="One-off loss",$D$20*$D$30*E133,$D129)</f>
        <v>586222.564357911</v>
      </c>
      <c r="F138" s="219">
        <f t="shared" si="8"/>
        <v>24180.344891526052</v>
      </c>
      <c r="G138" s="219">
        <f t="shared" si="8"/>
        <v>12276.413869831264</v>
      </c>
      <c r="H138" s="219">
        <f t="shared" si="8"/>
        <v>5765.724086779158</v>
      </c>
      <c r="I138" s="219">
        <f t="shared" si="8"/>
        <v>2452.178750231782</v>
      </c>
      <c r="J138" s="219">
        <f aca="true" t="shared" si="9" ref="J138:M138">IF(J112="One-off loss",$D$20*$D$30*J133,$D129)</f>
        <v>1226.089375115891</v>
      </c>
      <c r="K138" s="219">
        <f t="shared" si="9"/>
        <v>613.0446875579455</v>
      </c>
      <c r="L138" s="219">
        <f t="shared" si="9"/>
        <v>418.5</v>
      </c>
      <c r="M138" s="219">
        <f t="shared" si="9"/>
        <v>0</v>
      </c>
    </row>
    <row r="139" spans="3:13" ht="15">
      <c r="C139" s="250" t="s">
        <v>231</v>
      </c>
      <c r="D139" s="219">
        <f>IF(D112="One-off loss",$D$21*$D$31*D133,$D130)</f>
        <v>29311.128217895548</v>
      </c>
      <c r="E139" s="219">
        <f aca="true" t="shared" si="10" ref="E139:I139">IF(E112="One-off loss",$D$21*$D$31*E133,$D130)</f>
        <v>29311.128217895548</v>
      </c>
      <c r="F139" s="219">
        <f>IF(F112="One-off loss",$D$21*$D$31*F133,$D130)</f>
        <v>0</v>
      </c>
      <c r="G139" s="219">
        <f t="shared" si="10"/>
        <v>0</v>
      </c>
      <c r="H139" s="219">
        <f t="shared" si="10"/>
        <v>0</v>
      </c>
      <c r="I139" s="219">
        <f t="shared" si="10"/>
        <v>0</v>
      </c>
      <c r="J139" s="219">
        <f aca="true" t="shared" si="11" ref="J139:M139">IF(J112="One-off loss",$D$21*$D$31*J133,$D130)</f>
        <v>0</v>
      </c>
      <c r="K139" s="219">
        <f t="shared" si="11"/>
        <v>0</v>
      </c>
      <c r="L139" s="219">
        <f t="shared" si="11"/>
        <v>0</v>
      </c>
      <c r="M139" s="219">
        <f t="shared" si="11"/>
        <v>0</v>
      </c>
    </row>
    <row r="141" spans="5:6" ht="15">
      <c r="E141" s="161" t="s">
        <v>262</v>
      </c>
      <c r="F141" s="161" t="s">
        <v>280</v>
      </c>
    </row>
    <row r="142" spans="1:13" ht="15">
      <c r="A142" s="728" t="str">
        <f>C34</f>
        <v>WORLD HERITAGE SITES</v>
      </c>
      <c r="B142" s="724"/>
      <c r="C142" s="724"/>
      <c r="D142" s="209">
        <v>1</v>
      </c>
      <c r="E142" s="209">
        <v>0.5</v>
      </c>
      <c r="F142" s="209">
        <v>0.2</v>
      </c>
      <c r="G142" s="209">
        <v>0.1</v>
      </c>
      <c r="H142" s="209">
        <v>0.04</v>
      </c>
      <c r="I142" s="209">
        <v>0.02</v>
      </c>
      <c r="J142" s="411">
        <v>0.0133</v>
      </c>
      <c r="K142" s="209">
        <v>0.01</v>
      </c>
      <c r="L142" s="210">
        <v>0.005</v>
      </c>
      <c r="M142" s="210">
        <v>0.001</v>
      </c>
    </row>
    <row r="143" spans="3:13" ht="15">
      <c r="C143" s="209">
        <v>1</v>
      </c>
      <c r="D143" s="224">
        <f>IF($D134-D134&lt;0,0,$D134-D134)</f>
        <v>0</v>
      </c>
      <c r="E143" s="224">
        <f aca="true" t="shared" si="12" ref="E143:M143">IF($D134-E134&lt;0,0,$D134-E134)</f>
        <v>0</v>
      </c>
      <c r="F143" s="224">
        <f t="shared" si="12"/>
        <v>0</v>
      </c>
      <c r="G143" s="224">
        <f t="shared" si="12"/>
        <v>47644.40748789429</v>
      </c>
      <c r="H143" s="224">
        <f t="shared" si="12"/>
        <v>333274.6689379221</v>
      </c>
      <c r="I143" s="224">
        <f t="shared" si="12"/>
        <v>478643.1095090328</v>
      </c>
      <c r="J143" s="224">
        <f t="shared" si="12"/>
        <v>532432.836933472</v>
      </c>
      <c r="K143" s="224">
        <f t="shared" si="12"/>
        <v>559327.7006456915</v>
      </c>
      <c r="L143" s="224">
        <f t="shared" si="12"/>
        <v>567862.564357911</v>
      </c>
      <c r="M143" s="224">
        <f t="shared" si="12"/>
        <v>586222.564357911</v>
      </c>
    </row>
    <row r="144" spans="2:13" ht="15">
      <c r="B144" s="161" t="s">
        <v>261</v>
      </c>
      <c r="C144" s="209">
        <v>0.5</v>
      </c>
      <c r="D144" s="224">
        <f>IF($E134-D134&gt;0,0,$E134-D134)</f>
        <v>0</v>
      </c>
      <c r="E144" s="224">
        <f aca="true" t="shared" si="13" ref="E144">$E134-E134</f>
        <v>0</v>
      </c>
      <c r="F144" s="224">
        <f>IF($E134-F134&lt;0,0,$E134-F134)</f>
        <v>0</v>
      </c>
      <c r="G144" s="224">
        <f aca="true" t="shared" si="14" ref="G144:M144">IF($E134-G134&lt;0,0,$E134-G134)</f>
        <v>47644.40748789429</v>
      </c>
      <c r="H144" s="224">
        <f t="shared" si="14"/>
        <v>333274.6689379221</v>
      </c>
      <c r="I144" s="224">
        <f t="shared" si="14"/>
        <v>478643.1095090328</v>
      </c>
      <c r="J144" s="224">
        <f t="shared" si="14"/>
        <v>532432.836933472</v>
      </c>
      <c r="K144" s="224">
        <f t="shared" si="14"/>
        <v>559327.7006456915</v>
      </c>
      <c r="L144" s="224">
        <f t="shared" si="14"/>
        <v>567862.564357911</v>
      </c>
      <c r="M144" s="224">
        <f t="shared" si="14"/>
        <v>586222.564357911</v>
      </c>
    </row>
    <row r="145" spans="2:13" ht="15">
      <c r="B145" s="725" t="s">
        <v>281</v>
      </c>
      <c r="C145" s="209">
        <v>0.2</v>
      </c>
      <c r="D145" s="224">
        <f>IF($F134-D134&gt;0,0,$F134-D134)</f>
        <v>0</v>
      </c>
      <c r="E145" s="224">
        <f>IF($F134-E134&gt;0,0,$F134-E134)</f>
        <v>0</v>
      </c>
      <c r="F145" s="224">
        <f aca="true" t="shared" si="15" ref="F145">$F134-F134</f>
        <v>0</v>
      </c>
      <c r="G145" s="224">
        <f>IF($F134-G134&lt;0,0,$F134-G134)</f>
        <v>522236.9738549973</v>
      </c>
      <c r="H145" s="224">
        <f aca="true" t="shared" si="16" ref="H145:M145">IF($F134-H134&lt;0,0,$F134-H134)</f>
        <v>807867.2353050251</v>
      </c>
      <c r="I145" s="224">
        <f t="shared" si="16"/>
        <v>953235.6758761358</v>
      </c>
      <c r="J145" s="224">
        <f t="shared" si="16"/>
        <v>1007025.403300575</v>
      </c>
      <c r="K145" s="224">
        <f t="shared" si="16"/>
        <v>1033920.2670127945</v>
      </c>
      <c r="L145" s="224">
        <f t="shared" si="16"/>
        <v>1042455.130725014</v>
      </c>
      <c r="M145" s="224">
        <f t="shared" si="16"/>
        <v>1060815.130725014</v>
      </c>
    </row>
    <row r="146" spans="2:13" ht="15">
      <c r="B146" s="725"/>
      <c r="C146" s="209">
        <v>0.1</v>
      </c>
      <c r="D146" s="224">
        <f>IF($G134-D134&gt;0,0,$G134-D134)</f>
        <v>-47644.40748789429</v>
      </c>
      <c r="E146" s="224">
        <f aca="true" t="shared" si="17" ref="E146:F146">IF($G134-E134&gt;0,0,$G134-E134)</f>
        <v>-47644.40748789429</v>
      </c>
      <c r="F146" s="224">
        <f t="shared" si="17"/>
        <v>-522236.9738549973</v>
      </c>
      <c r="G146" s="224">
        <f aca="true" t="shared" si="18" ref="G146">$G134-G134</f>
        <v>0</v>
      </c>
      <c r="H146" s="224">
        <f>IF($G134-H134&lt;0,0,$G134-H134)</f>
        <v>285630.2614500278</v>
      </c>
      <c r="I146" s="224">
        <f aca="true" t="shared" si="19" ref="I146:M146">IF($G134-I134&lt;0,0,$G134-I134)</f>
        <v>430998.7020211385</v>
      </c>
      <c r="J146" s="224">
        <f t="shared" si="19"/>
        <v>484788.4294455776</v>
      </c>
      <c r="K146" s="224">
        <f t="shared" si="19"/>
        <v>511683.2931577972</v>
      </c>
      <c r="L146" s="224">
        <f t="shared" si="19"/>
        <v>520218.1568700167</v>
      </c>
      <c r="M146" s="224">
        <f t="shared" si="19"/>
        <v>538578.1568700167</v>
      </c>
    </row>
    <row r="147" spans="2:13" ht="15">
      <c r="B147" s="725"/>
      <c r="C147" s="209">
        <v>0.04</v>
      </c>
      <c r="D147" s="224">
        <f>IF($H134-D134&gt;0,0,$H134-D134)</f>
        <v>-333274.6689379221</v>
      </c>
      <c r="E147" s="224">
        <f aca="true" t="shared" si="20" ref="E147:G147">IF($H134-E134&gt;0,0,$H134-E134)</f>
        <v>-333274.6689379221</v>
      </c>
      <c r="F147" s="224">
        <f t="shared" si="20"/>
        <v>-807867.2353050251</v>
      </c>
      <c r="G147" s="224">
        <f t="shared" si="20"/>
        <v>-285630.2614500278</v>
      </c>
      <c r="H147" s="224">
        <f aca="true" t="shared" si="21" ref="H147">$H134-H134</f>
        <v>0</v>
      </c>
      <c r="I147" s="224">
        <f>IF($H134-I134&lt;0,0,$H134-I134)</f>
        <v>145368.4405711107</v>
      </c>
      <c r="J147" s="224">
        <f aca="true" t="shared" si="22" ref="J147:M147">IF($H134-J134&lt;0,0,$H134-J134)</f>
        <v>199158.1679955498</v>
      </c>
      <c r="K147" s="224">
        <f t="shared" si="22"/>
        <v>226053.03170776932</v>
      </c>
      <c r="L147" s="224">
        <f t="shared" si="22"/>
        <v>234587.89541998887</v>
      </c>
      <c r="M147" s="224">
        <f t="shared" si="22"/>
        <v>252947.89541998887</v>
      </c>
    </row>
    <row r="148" spans="2:13" ht="15">
      <c r="B148" s="725"/>
      <c r="C148" s="209">
        <v>0.02</v>
      </c>
      <c r="D148" s="224">
        <f>IF($I134-D134&gt;0,0,$I134-D134)</f>
        <v>-478643.1095090328</v>
      </c>
      <c r="E148" s="224">
        <f aca="true" t="shared" si="23" ref="E148:H148">IF($I134-E134&gt;0,0,$I134-E134)</f>
        <v>-478643.1095090328</v>
      </c>
      <c r="F148" s="224">
        <f t="shared" si="23"/>
        <v>-953235.6758761358</v>
      </c>
      <c r="G148" s="224">
        <f t="shared" si="23"/>
        <v>-430998.7020211385</v>
      </c>
      <c r="H148" s="224">
        <f t="shared" si="23"/>
        <v>-145368.4405711107</v>
      </c>
      <c r="I148" s="224">
        <f aca="true" t="shared" si="24" ref="I148">$I134-I134</f>
        <v>0</v>
      </c>
      <c r="J148" s="224">
        <f>IF($I134-J134&lt;0,0,$I134-J134)</f>
        <v>53789.72742443909</v>
      </c>
      <c r="K148" s="224">
        <f aca="true" t="shared" si="25" ref="K148:M148">IF($I134-K134&lt;0,0,$I134-K134)</f>
        <v>80684.59113665862</v>
      </c>
      <c r="L148" s="224">
        <f t="shared" si="25"/>
        <v>89219.45484887817</v>
      </c>
      <c r="M148" s="224">
        <f t="shared" si="25"/>
        <v>107579.45484887817</v>
      </c>
    </row>
    <row r="149" spans="2:13" ht="15">
      <c r="B149" s="725"/>
      <c r="C149" s="411">
        <v>0.0133</v>
      </c>
      <c r="D149" s="224">
        <f>IF($J134-D134&gt;0,0,$J134-D134)</f>
        <v>-532432.836933472</v>
      </c>
      <c r="E149" s="224">
        <f aca="true" t="shared" si="26" ref="E149:I149">IF($J134-E134&gt;0,0,$J134-E134)</f>
        <v>-532432.836933472</v>
      </c>
      <c r="F149" s="224">
        <f t="shared" si="26"/>
        <v>-1007025.403300575</v>
      </c>
      <c r="G149" s="224">
        <f t="shared" si="26"/>
        <v>-484788.4294455776</v>
      </c>
      <c r="H149" s="224">
        <f t="shared" si="26"/>
        <v>-199158.1679955498</v>
      </c>
      <c r="I149" s="224">
        <f t="shared" si="26"/>
        <v>-53789.72742443909</v>
      </c>
      <c r="J149" s="224">
        <f aca="true" t="shared" si="27" ref="J149">$J134-J134</f>
        <v>0</v>
      </c>
      <c r="K149" s="224">
        <f>IF($J134-K134&lt;0,0,$J134-K134)</f>
        <v>26894.863712219543</v>
      </c>
      <c r="L149" s="224">
        <f aca="true" t="shared" si="28" ref="L149:M149">IF($J134-L134&lt;0,0,$J134-L134)</f>
        <v>35429.72742443909</v>
      </c>
      <c r="M149" s="224">
        <f t="shared" si="28"/>
        <v>53789.72742443909</v>
      </c>
    </row>
    <row r="150" spans="2:13" ht="15">
      <c r="B150" s="725"/>
      <c r="C150" s="209">
        <v>0.01</v>
      </c>
      <c r="D150" s="224">
        <f>IF($K134-D134&gt;0,0,$K134-D134)</f>
        <v>-559327.7006456915</v>
      </c>
      <c r="E150" s="224">
        <f aca="true" t="shared" si="29" ref="E150:J150">IF($K134-E134&gt;0,0,$K134-E134)</f>
        <v>-559327.7006456915</v>
      </c>
      <c r="F150" s="224">
        <f t="shared" si="29"/>
        <v>-1033920.2670127945</v>
      </c>
      <c r="G150" s="224">
        <f t="shared" si="29"/>
        <v>-511683.2931577972</v>
      </c>
      <c r="H150" s="224">
        <f t="shared" si="29"/>
        <v>-226053.03170776932</v>
      </c>
      <c r="I150" s="224">
        <f t="shared" si="29"/>
        <v>-80684.59113665862</v>
      </c>
      <c r="J150" s="224">
        <f t="shared" si="29"/>
        <v>-26894.863712219543</v>
      </c>
      <c r="K150" s="224">
        <f aca="true" t="shared" si="30" ref="K150">$K134-K134</f>
        <v>0</v>
      </c>
      <c r="L150" s="224">
        <f>IF($K134-L134&lt;0,0,$K134-L134)</f>
        <v>8534.863712219543</v>
      </c>
      <c r="M150" s="224">
        <f>IF($K134-M134&lt;0,0,$K134-M134)</f>
        <v>26894.863712219543</v>
      </c>
    </row>
    <row r="151" spans="2:13" ht="15">
      <c r="B151" s="725"/>
      <c r="C151" s="210">
        <v>0.005</v>
      </c>
      <c r="D151" s="224">
        <f>IF($L134-D134&gt;0,0,$L134-D134)</f>
        <v>-567862.564357911</v>
      </c>
      <c r="E151" s="224">
        <f aca="true" t="shared" si="31" ref="E151:K151">IF($L134-E134&gt;0,0,$L134-E134)</f>
        <v>-567862.564357911</v>
      </c>
      <c r="F151" s="224">
        <f t="shared" si="31"/>
        <v>-1042455.130725014</v>
      </c>
      <c r="G151" s="224">
        <f t="shared" si="31"/>
        <v>-520218.1568700167</v>
      </c>
      <c r="H151" s="224">
        <f t="shared" si="31"/>
        <v>-234587.89541998887</v>
      </c>
      <c r="I151" s="224">
        <f t="shared" si="31"/>
        <v>-89219.45484887817</v>
      </c>
      <c r="J151" s="224">
        <f t="shared" si="31"/>
        <v>-35429.72742443909</v>
      </c>
      <c r="K151" s="224">
        <f t="shared" si="31"/>
        <v>-8534.863712219543</v>
      </c>
      <c r="L151" s="224">
        <f aca="true" t="shared" si="32" ref="L151">$L134-L134</f>
        <v>0</v>
      </c>
      <c r="M151" s="224">
        <f>IF($L134-M134&lt;0,0,$L134-M134)</f>
        <v>18360</v>
      </c>
    </row>
    <row r="152" spans="2:13" ht="15">
      <c r="B152" s="725"/>
      <c r="C152" s="210">
        <v>0.001</v>
      </c>
      <c r="D152" s="224">
        <f>IF($M134-D134&gt;0,0,$M134-D134)</f>
        <v>-586222.564357911</v>
      </c>
      <c r="E152" s="224">
        <f aca="true" t="shared" si="33" ref="E152:L152">IF($M134-E134&gt;0,0,$M134-E134)</f>
        <v>-586222.564357911</v>
      </c>
      <c r="F152" s="224">
        <f t="shared" si="33"/>
        <v>-1060815.130725014</v>
      </c>
      <c r="G152" s="224">
        <f t="shared" si="33"/>
        <v>-538578.1568700167</v>
      </c>
      <c r="H152" s="224">
        <f t="shared" si="33"/>
        <v>-252947.89541998887</v>
      </c>
      <c r="I152" s="224">
        <f t="shared" si="33"/>
        <v>-107579.45484887817</v>
      </c>
      <c r="J152" s="224">
        <f t="shared" si="33"/>
        <v>-53789.72742443909</v>
      </c>
      <c r="K152" s="224">
        <f t="shared" si="33"/>
        <v>-26894.863712219543</v>
      </c>
      <c r="L152" s="224">
        <f t="shared" si="33"/>
        <v>-18360</v>
      </c>
      <c r="M152" s="224">
        <f aca="true" t="shared" si="34" ref="M152">$M134-M134</f>
        <v>0</v>
      </c>
    </row>
    <row r="154" spans="5:6" ht="15">
      <c r="E154" s="161" t="s">
        <v>262</v>
      </c>
      <c r="F154" s="161" t="s">
        <v>280</v>
      </c>
    </row>
    <row r="155" spans="1:13" ht="15">
      <c r="A155" s="728" t="str">
        <f>C47</f>
        <v>LISTED BUILDINGS</v>
      </c>
      <c r="B155" s="724"/>
      <c r="C155" s="724"/>
      <c r="D155" s="209">
        <v>1</v>
      </c>
      <c r="E155" s="209">
        <v>0.5</v>
      </c>
      <c r="F155" s="209">
        <v>0.2</v>
      </c>
      <c r="G155" s="209">
        <v>0.1</v>
      </c>
      <c r="H155" s="209">
        <v>0.04</v>
      </c>
      <c r="I155" s="209">
        <v>0.02</v>
      </c>
      <c r="J155" s="411">
        <v>0.0133</v>
      </c>
      <c r="K155" s="209">
        <v>0.01</v>
      </c>
      <c r="L155" s="210">
        <v>0.005</v>
      </c>
      <c r="M155" s="210">
        <v>0.001</v>
      </c>
    </row>
    <row r="156" spans="3:13" ht="15">
      <c r="C156" s="209">
        <v>1</v>
      </c>
      <c r="D156" s="224">
        <f>IF($D135-D135&lt;0,0,$D135-D135)</f>
        <v>0</v>
      </c>
      <c r="E156" s="224">
        <f aca="true" t="shared" si="35" ref="E156:M156">IF($D135-E135&lt;0,0,$D135-E135)</f>
        <v>0</v>
      </c>
      <c r="F156" s="224">
        <f t="shared" si="35"/>
        <v>21181.72241020236</v>
      </c>
      <c r="G156" s="224">
        <f t="shared" si="35"/>
        <v>39613.61560508462</v>
      </c>
      <c r="H156" s="224">
        <f t="shared" si="35"/>
        <v>49694.683656262074</v>
      </c>
      <c r="I156" s="224">
        <f t="shared" si="35"/>
        <v>54825.33449994834</v>
      </c>
      <c r="J156" s="224">
        <f t="shared" si="35"/>
        <v>56723.79546786971</v>
      </c>
      <c r="K156" s="224">
        <f t="shared" si="35"/>
        <v>57673.02595183041</v>
      </c>
      <c r="L156" s="224">
        <f t="shared" si="35"/>
        <v>57974.256435791096</v>
      </c>
      <c r="M156" s="224">
        <f t="shared" si="35"/>
        <v>58622.256435791096</v>
      </c>
    </row>
    <row r="157" spans="2:13" ht="15">
      <c r="B157" s="161" t="s">
        <v>261</v>
      </c>
      <c r="C157" s="209">
        <v>0.5</v>
      </c>
      <c r="D157" s="224">
        <f>IF($E135-D135&gt;0,0,$E135-D135)</f>
        <v>0</v>
      </c>
      <c r="E157" s="224">
        <f aca="true" t="shared" si="36" ref="E157">$E135-E135</f>
        <v>0</v>
      </c>
      <c r="F157" s="224">
        <f>IF($E135-F135&lt;0,0,$E135-F135)</f>
        <v>21181.72241020236</v>
      </c>
      <c r="G157" s="224">
        <f aca="true" t="shared" si="37" ref="G157:M157">IF($E135-G135&lt;0,0,$E135-G135)</f>
        <v>39613.61560508462</v>
      </c>
      <c r="H157" s="224">
        <f t="shared" si="37"/>
        <v>49694.683656262074</v>
      </c>
      <c r="I157" s="224">
        <f t="shared" si="37"/>
        <v>54825.33449994834</v>
      </c>
      <c r="J157" s="224">
        <f t="shared" si="37"/>
        <v>56723.79546786971</v>
      </c>
      <c r="K157" s="224">
        <f t="shared" si="37"/>
        <v>57673.02595183041</v>
      </c>
      <c r="L157" s="224">
        <f t="shared" si="37"/>
        <v>57974.256435791096</v>
      </c>
      <c r="M157" s="224">
        <f t="shared" si="37"/>
        <v>58622.256435791096</v>
      </c>
    </row>
    <row r="158" spans="2:13" ht="15">
      <c r="B158" s="725" t="s">
        <v>281</v>
      </c>
      <c r="C158" s="209">
        <v>0.2</v>
      </c>
      <c r="D158" s="224">
        <f>IF($F135-D135&gt;0,0,$F135-D135)</f>
        <v>-21181.72241020236</v>
      </c>
      <c r="E158" s="224">
        <f>IF($F135-E135&gt;0,0,$F135-E135)</f>
        <v>-21181.72241020236</v>
      </c>
      <c r="F158" s="224">
        <f aca="true" t="shared" si="38" ref="F158">$F135-F135</f>
        <v>0</v>
      </c>
      <c r="G158" s="224">
        <f>IF($F135-G135&lt;0,0,$F135-G135)</f>
        <v>18431.89319488226</v>
      </c>
      <c r="H158" s="224">
        <f aca="true" t="shared" si="39" ref="H158:M158">IF($F135-H135&lt;0,0,$F135-H135)</f>
        <v>28512.961246059716</v>
      </c>
      <c r="I158" s="224">
        <f t="shared" si="39"/>
        <v>33643.61208974598</v>
      </c>
      <c r="J158" s="224">
        <f t="shared" si="39"/>
        <v>35542.07305766735</v>
      </c>
      <c r="K158" s="224">
        <f t="shared" si="39"/>
        <v>36491.30354162805</v>
      </c>
      <c r="L158" s="224">
        <f t="shared" si="39"/>
        <v>36792.534025588735</v>
      </c>
      <c r="M158" s="224">
        <f t="shared" si="39"/>
        <v>37440.534025588735</v>
      </c>
    </row>
    <row r="159" spans="2:13" ht="15">
      <c r="B159" s="725"/>
      <c r="C159" s="209">
        <v>0.1</v>
      </c>
      <c r="D159" s="224">
        <f>IF($G135-D135&gt;0,0,$G135-D135)</f>
        <v>-39613.61560508462</v>
      </c>
      <c r="E159" s="224">
        <f aca="true" t="shared" si="40" ref="E159:F159">IF($G135-E135&gt;0,0,$G135-E135)</f>
        <v>-39613.61560508462</v>
      </c>
      <c r="F159" s="224">
        <f t="shared" si="40"/>
        <v>-18431.89319488226</v>
      </c>
      <c r="G159" s="224">
        <f aca="true" t="shared" si="41" ref="G159">$G135-G135</f>
        <v>0</v>
      </c>
      <c r="H159" s="224">
        <f>IF($G135-H135&lt;0,0,$G135-H135)</f>
        <v>10081.068051177455</v>
      </c>
      <c r="I159" s="224">
        <f aca="true" t="shared" si="42" ref="I159:M159">IF($G135-I135&lt;0,0,$G135-I135)</f>
        <v>15211.718894863714</v>
      </c>
      <c r="J159" s="224">
        <f t="shared" si="42"/>
        <v>17110.179862785095</v>
      </c>
      <c r="K159" s="224">
        <f t="shared" si="42"/>
        <v>18059.410346745783</v>
      </c>
      <c r="L159" s="224">
        <f t="shared" si="42"/>
        <v>18360.640830706474</v>
      </c>
      <c r="M159" s="224">
        <f t="shared" si="42"/>
        <v>19008.640830706474</v>
      </c>
    </row>
    <row r="160" spans="2:13" ht="15">
      <c r="B160" s="725"/>
      <c r="C160" s="209">
        <v>0.04</v>
      </c>
      <c r="D160" s="224">
        <f>IF($H135-D135&gt;0,0,$H135-D135)</f>
        <v>-49694.683656262074</v>
      </c>
      <c r="E160" s="224">
        <f aca="true" t="shared" si="43" ref="E160:G160">IF($H135-E135&gt;0,0,$H135-E135)</f>
        <v>-49694.683656262074</v>
      </c>
      <c r="F160" s="224">
        <f t="shared" si="43"/>
        <v>-28512.961246059716</v>
      </c>
      <c r="G160" s="224">
        <f t="shared" si="43"/>
        <v>-10081.068051177455</v>
      </c>
      <c r="H160" s="224">
        <f aca="true" t="shared" si="44" ref="H160">$H135-H135</f>
        <v>0</v>
      </c>
      <c r="I160" s="224">
        <f>IF($H135-I135&lt;0,0,$H135-I135)</f>
        <v>5130.650843686259</v>
      </c>
      <c r="J160" s="224">
        <f aca="true" t="shared" si="45" ref="J160:M160">IF($H135-J135&lt;0,0,$H135-J135)</f>
        <v>7029.111811607639</v>
      </c>
      <c r="K160" s="224">
        <f t="shared" si="45"/>
        <v>7978.342295568329</v>
      </c>
      <c r="L160" s="224">
        <f t="shared" si="45"/>
        <v>8279.572779529019</v>
      </c>
      <c r="M160" s="224">
        <f t="shared" si="45"/>
        <v>8927.572779529019</v>
      </c>
    </row>
    <row r="161" spans="2:13" ht="15">
      <c r="B161" s="725"/>
      <c r="C161" s="209">
        <v>0.02</v>
      </c>
      <c r="D161" s="224">
        <f>IF($I135-D135&gt;0,0,$I135-D135)</f>
        <v>-54825.33449994834</v>
      </c>
      <c r="E161" s="224">
        <f aca="true" t="shared" si="46" ref="E161:H161">IF($I135-E135&gt;0,0,$I135-E135)</f>
        <v>-54825.33449994834</v>
      </c>
      <c r="F161" s="224">
        <f t="shared" si="46"/>
        <v>-33643.61208974598</v>
      </c>
      <c r="G161" s="224">
        <f t="shared" si="46"/>
        <v>-15211.718894863714</v>
      </c>
      <c r="H161" s="224">
        <f t="shared" si="46"/>
        <v>-5130.650843686259</v>
      </c>
      <c r="I161" s="224">
        <f aca="true" t="shared" si="47" ref="I161">$I135-I135</f>
        <v>0</v>
      </c>
      <c r="J161" s="224">
        <f>IF($I135-J135&lt;0,0,$I135-J135)</f>
        <v>1898.4609679213797</v>
      </c>
      <c r="K161" s="224">
        <f aca="true" t="shared" si="48" ref="K161:M161">IF($I135-K135&lt;0,0,$I135-K135)</f>
        <v>2847.6914518820695</v>
      </c>
      <c r="L161" s="224">
        <f t="shared" si="48"/>
        <v>3148.9219358427595</v>
      </c>
      <c r="M161" s="224">
        <f t="shared" si="48"/>
        <v>3796.9219358427595</v>
      </c>
    </row>
    <row r="162" spans="2:13" ht="15">
      <c r="B162" s="725"/>
      <c r="C162" s="411">
        <v>0.0133</v>
      </c>
      <c r="D162" s="224">
        <f>IF($J135-D135&gt;0,0,$J135-D135)</f>
        <v>-56723.79546786971</v>
      </c>
      <c r="E162" s="224">
        <f aca="true" t="shared" si="49" ref="E162:I162">IF($J135-E135&gt;0,0,$J135-E135)</f>
        <v>-56723.79546786971</v>
      </c>
      <c r="F162" s="224">
        <f t="shared" si="49"/>
        <v>-35542.07305766735</v>
      </c>
      <c r="G162" s="224">
        <f t="shared" si="49"/>
        <v>-17110.179862785095</v>
      </c>
      <c r="H162" s="224">
        <f t="shared" si="49"/>
        <v>-7029.111811607639</v>
      </c>
      <c r="I162" s="224">
        <f t="shared" si="49"/>
        <v>-1898.4609679213797</v>
      </c>
      <c r="J162" s="224">
        <f aca="true" t="shared" si="50" ref="J162">$J135-J135</f>
        <v>0</v>
      </c>
      <c r="K162" s="224">
        <f>IF($J135-K135&lt;0,0,$J135-K135)</f>
        <v>949.2304839606899</v>
      </c>
      <c r="L162" s="224">
        <f aca="true" t="shared" si="51" ref="L162:M162">IF($J135-L135&lt;0,0,$J135-L135)</f>
        <v>1250.4609679213795</v>
      </c>
      <c r="M162" s="224">
        <f t="shared" si="51"/>
        <v>1898.4609679213797</v>
      </c>
    </row>
    <row r="163" spans="2:13" ht="15">
      <c r="B163" s="725"/>
      <c r="C163" s="209">
        <v>0.01</v>
      </c>
      <c r="D163" s="224">
        <f>IF($K135-D135&gt;0,0,$K135-D135)</f>
        <v>-57673.02595183041</v>
      </c>
      <c r="E163" s="224">
        <f aca="true" t="shared" si="52" ref="E163:J163">IF($K135-E135&gt;0,0,$K135-E135)</f>
        <v>-57673.02595183041</v>
      </c>
      <c r="F163" s="224">
        <f t="shared" si="52"/>
        <v>-36491.30354162805</v>
      </c>
      <c r="G163" s="224">
        <f t="shared" si="52"/>
        <v>-18059.410346745783</v>
      </c>
      <c r="H163" s="224">
        <f t="shared" si="52"/>
        <v>-7978.342295568329</v>
      </c>
      <c r="I163" s="224">
        <f t="shared" si="52"/>
        <v>-2847.6914518820695</v>
      </c>
      <c r="J163" s="224">
        <f t="shared" si="52"/>
        <v>-949.2304839606899</v>
      </c>
      <c r="K163" s="224">
        <f aca="true" t="shared" si="53" ref="K163">$K135-K135</f>
        <v>0</v>
      </c>
      <c r="L163" s="224">
        <f>IF($K135-L135&lt;0,0,$K135-L135)</f>
        <v>301.23048396068975</v>
      </c>
      <c r="M163" s="224">
        <f>IF($K135-M135&lt;0,0,$K135-M135)</f>
        <v>949.2304839606899</v>
      </c>
    </row>
    <row r="164" spans="2:13" ht="15">
      <c r="B164" s="725"/>
      <c r="C164" s="210">
        <v>0.005</v>
      </c>
      <c r="D164" s="224">
        <f>IF($L135-D135&gt;0,0,$L135-D135)</f>
        <v>-57974.256435791096</v>
      </c>
      <c r="E164" s="224">
        <f aca="true" t="shared" si="54" ref="E164:K164">IF($L135-E135&gt;0,0,$L135-E135)</f>
        <v>-57974.256435791096</v>
      </c>
      <c r="F164" s="224">
        <f t="shared" si="54"/>
        <v>-36792.534025588735</v>
      </c>
      <c r="G164" s="224">
        <f t="shared" si="54"/>
        <v>-18360.640830706474</v>
      </c>
      <c r="H164" s="224">
        <f t="shared" si="54"/>
        <v>-8279.572779529019</v>
      </c>
      <c r="I164" s="224">
        <f t="shared" si="54"/>
        <v>-3148.9219358427595</v>
      </c>
      <c r="J164" s="224">
        <f t="shared" si="54"/>
        <v>-1250.4609679213795</v>
      </c>
      <c r="K164" s="224">
        <f t="shared" si="54"/>
        <v>-301.23048396068975</v>
      </c>
      <c r="L164" s="224">
        <f aca="true" t="shared" si="55" ref="L164">$L135-L135</f>
        <v>0</v>
      </c>
      <c r="M164" s="224">
        <f>IF($L135-M135&lt;0,0,$L135-M135)</f>
        <v>648.0000000000001</v>
      </c>
    </row>
    <row r="165" spans="2:13" ht="15">
      <c r="B165" s="725"/>
      <c r="C165" s="210">
        <v>0.001</v>
      </c>
      <c r="D165" s="224">
        <f>IF($M135-D135&gt;0,0,$M135-D135)</f>
        <v>-58622.256435791096</v>
      </c>
      <c r="E165" s="224">
        <f aca="true" t="shared" si="56" ref="E165:L165">IF($M135-E135&gt;0,0,$M135-E135)</f>
        <v>-58622.256435791096</v>
      </c>
      <c r="F165" s="224">
        <f t="shared" si="56"/>
        <v>-37440.534025588735</v>
      </c>
      <c r="G165" s="224">
        <f t="shared" si="56"/>
        <v>-19008.640830706474</v>
      </c>
      <c r="H165" s="224">
        <f t="shared" si="56"/>
        <v>-8927.572779529019</v>
      </c>
      <c r="I165" s="224">
        <f t="shared" si="56"/>
        <v>-3796.9219358427595</v>
      </c>
      <c r="J165" s="224">
        <f t="shared" si="56"/>
        <v>-1898.4609679213797</v>
      </c>
      <c r="K165" s="224">
        <f t="shared" si="56"/>
        <v>-949.2304839606899</v>
      </c>
      <c r="L165" s="224">
        <f t="shared" si="56"/>
        <v>-648.0000000000001</v>
      </c>
      <c r="M165" s="224">
        <f aca="true" t="shared" si="57" ref="M165">$M135-M135</f>
        <v>0</v>
      </c>
    </row>
    <row r="167" spans="5:6" ht="15">
      <c r="E167" s="161" t="s">
        <v>262</v>
      </c>
      <c r="F167" s="161" t="s">
        <v>280</v>
      </c>
    </row>
    <row r="168" spans="1:13" ht="15">
      <c r="A168" s="728" t="str">
        <f>C60</f>
        <v>SCHEDULED MONUMENTS</v>
      </c>
      <c r="B168" s="724"/>
      <c r="C168" s="724"/>
      <c r="D168" s="209">
        <v>1</v>
      </c>
      <c r="E168" s="209">
        <v>0.5</v>
      </c>
      <c r="F168" s="209">
        <v>0.2</v>
      </c>
      <c r="G168" s="209">
        <v>0.1</v>
      </c>
      <c r="H168" s="209">
        <v>0.04</v>
      </c>
      <c r="I168" s="209">
        <v>0.02</v>
      </c>
      <c r="J168" s="411">
        <v>0.0133</v>
      </c>
      <c r="K168" s="209">
        <v>0.01</v>
      </c>
      <c r="L168" s="210">
        <v>0.005</v>
      </c>
      <c r="M168" s="210">
        <v>0.001</v>
      </c>
    </row>
    <row r="169" spans="3:13" ht="15">
      <c r="C169" s="209">
        <v>1</v>
      </c>
      <c r="D169" s="224">
        <f>IF($D136-D136&lt;0,0,$D136-D136)</f>
        <v>0</v>
      </c>
      <c r="E169" s="224">
        <f aca="true" t="shared" si="58" ref="E169:M169">IF($D136-E136&lt;0,0,$D136-E136)</f>
        <v>0</v>
      </c>
      <c r="F169" s="224">
        <f t="shared" si="58"/>
        <v>21181.72241020236</v>
      </c>
      <c r="G169" s="224">
        <f t="shared" si="58"/>
        <v>39613.61560508462</v>
      </c>
      <c r="H169" s="224">
        <f t="shared" si="58"/>
        <v>49694.683656262074</v>
      </c>
      <c r="I169" s="224">
        <f t="shared" si="58"/>
        <v>54825.33449994834</v>
      </c>
      <c r="J169" s="224">
        <f t="shared" si="58"/>
        <v>56723.79546786971</v>
      </c>
      <c r="K169" s="224">
        <f t="shared" si="58"/>
        <v>57673.02595183041</v>
      </c>
      <c r="L169" s="224">
        <f t="shared" si="58"/>
        <v>57974.256435791096</v>
      </c>
      <c r="M169" s="224">
        <f t="shared" si="58"/>
        <v>58622.256435791096</v>
      </c>
    </row>
    <row r="170" spans="2:13" ht="15">
      <c r="B170" s="161" t="s">
        <v>261</v>
      </c>
      <c r="C170" s="209">
        <v>0.5</v>
      </c>
      <c r="D170" s="224">
        <f>IF($E136-D136&gt;0,0,$E136-D136)</f>
        <v>0</v>
      </c>
      <c r="E170" s="224">
        <f aca="true" t="shared" si="59" ref="E170">$E136-E136</f>
        <v>0</v>
      </c>
      <c r="F170" s="224">
        <f>IF($E136-F136&lt;0,0,$E136-F136)</f>
        <v>21181.72241020236</v>
      </c>
      <c r="G170" s="224">
        <f aca="true" t="shared" si="60" ref="G170:M170">IF($E136-G136&lt;0,0,$E136-G136)</f>
        <v>39613.61560508462</v>
      </c>
      <c r="H170" s="224">
        <f t="shared" si="60"/>
        <v>49694.683656262074</v>
      </c>
      <c r="I170" s="224">
        <f t="shared" si="60"/>
        <v>54825.33449994834</v>
      </c>
      <c r="J170" s="224">
        <f t="shared" si="60"/>
        <v>56723.79546786971</v>
      </c>
      <c r="K170" s="224">
        <f t="shared" si="60"/>
        <v>57673.02595183041</v>
      </c>
      <c r="L170" s="224">
        <f t="shared" si="60"/>
        <v>57974.256435791096</v>
      </c>
      <c r="M170" s="224">
        <f t="shared" si="60"/>
        <v>58622.256435791096</v>
      </c>
    </row>
    <row r="171" spans="2:13" ht="15">
      <c r="B171" s="725" t="s">
        <v>281</v>
      </c>
      <c r="C171" s="209">
        <v>0.2</v>
      </c>
      <c r="D171" s="224">
        <f>IF($F136-D136&gt;0,0,$F136-D136)</f>
        <v>-21181.72241020236</v>
      </c>
      <c r="E171" s="224">
        <f>IF($F136-E136&gt;0,0,$F136-E136)</f>
        <v>-21181.72241020236</v>
      </c>
      <c r="F171" s="224">
        <f aca="true" t="shared" si="61" ref="F171">$F136-F136</f>
        <v>0</v>
      </c>
      <c r="G171" s="224">
        <f>IF($F136-G136&lt;0,0,$F136-G136)</f>
        <v>18431.89319488226</v>
      </c>
      <c r="H171" s="224">
        <f aca="true" t="shared" si="62" ref="H171:M171">IF($F136-H136&lt;0,0,$F136-H136)</f>
        <v>28512.961246059716</v>
      </c>
      <c r="I171" s="224">
        <f t="shared" si="62"/>
        <v>33643.61208974598</v>
      </c>
      <c r="J171" s="224">
        <f t="shared" si="62"/>
        <v>35542.07305766735</v>
      </c>
      <c r="K171" s="224">
        <f t="shared" si="62"/>
        <v>36491.30354162805</v>
      </c>
      <c r="L171" s="224">
        <f t="shared" si="62"/>
        <v>36792.534025588735</v>
      </c>
      <c r="M171" s="224">
        <f t="shared" si="62"/>
        <v>37440.534025588735</v>
      </c>
    </row>
    <row r="172" spans="2:13" ht="15">
      <c r="B172" s="725"/>
      <c r="C172" s="209">
        <v>0.1</v>
      </c>
      <c r="D172" s="224">
        <f>IF($G136-D136&gt;0,0,$G136-D136)</f>
        <v>-39613.61560508462</v>
      </c>
      <c r="E172" s="224">
        <f aca="true" t="shared" si="63" ref="E172:F172">IF($G136-E136&gt;0,0,$G136-E136)</f>
        <v>-39613.61560508462</v>
      </c>
      <c r="F172" s="224">
        <f t="shared" si="63"/>
        <v>-18431.89319488226</v>
      </c>
      <c r="G172" s="224">
        <f aca="true" t="shared" si="64" ref="G172">$G136-G136</f>
        <v>0</v>
      </c>
      <c r="H172" s="224">
        <f>IF($G136-H136&lt;0,0,$G136-H136)</f>
        <v>10081.068051177455</v>
      </c>
      <c r="I172" s="224">
        <f aca="true" t="shared" si="65" ref="I172:M172">IF($G136-I136&lt;0,0,$G136-I136)</f>
        <v>15211.718894863714</v>
      </c>
      <c r="J172" s="224">
        <f t="shared" si="65"/>
        <v>17110.179862785095</v>
      </c>
      <c r="K172" s="224">
        <f t="shared" si="65"/>
        <v>18059.410346745783</v>
      </c>
      <c r="L172" s="224">
        <f t="shared" si="65"/>
        <v>18360.640830706474</v>
      </c>
      <c r="M172" s="224">
        <f t="shared" si="65"/>
        <v>19008.640830706474</v>
      </c>
    </row>
    <row r="173" spans="2:13" ht="15">
      <c r="B173" s="725"/>
      <c r="C173" s="209">
        <v>0.04</v>
      </c>
      <c r="D173" s="224">
        <f>IF($H136-D136&gt;0,0,$H136-D136)</f>
        <v>-49694.683656262074</v>
      </c>
      <c r="E173" s="224">
        <f aca="true" t="shared" si="66" ref="E173:G173">IF($H136-E136&gt;0,0,$H136-E136)</f>
        <v>-49694.683656262074</v>
      </c>
      <c r="F173" s="224">
        <f t="shared" si="66"/>
        <v>-28512.961246059716</v>
      </c>
      <c r="G173" s="224">
        <f t="shared" si="66"/>
        <v>-10081.068051177455</v>
      </c>
      <c r="H173" s="224">
        <f aca="true" t="shared" si="67" ref="H173">$H136-H136</f>
        <v>0</v>
      </c>
      <c r="I173" s="224">
        <f>IF($H136-I136&lt;0,0,$H136-I136)</f>
        <v>5130.650843686259</v>
      </c>
      <c r="J173" s="224">
        <f aca="true" t="shared" si="68" ref="J173:M173">IF($H136-J136&lt;0,0,$H136-J136)</f>
        <v>7029.111811607639</v>
      </c>
      <c r="K173" s="224">
        <f t="shared" si="68"/>
        <v>7978.342295568329</v>
      </c>
      <c r="L173" s="224">
        <f t="shared" si="68"/>
        <v>8279.572779529019</v>
      </c>
      <c r="M173" s="224">
        <f t="shared" si="68"/>
        <v>8927.572779529019</v>
      </c>
    </row>
    <row r="174" spans="2:13" ht="15">
      <c r="B174" s="725"/>
      <c r="C174" s="209">
        <v>0.02</v>
      </c>
      <c r="D174" s="224">
        <f>IF($I136-D136&gt;0,0,$I136-D136)</f>
        <v>-54825.33449994834</v>
      </c>
      <c r="E174" s="224">
        <f aca="true" t="shared" si="69" ref="E174:H174">IF($I136-E136&gt;0,0,$I136-E136)</f>
        <v>-54825.33449994834</v>
      </c>
      <c r="F174" s="224">
        <f t="shared" si="69"/>
        <v>-33643.61208974598</v>
      </c>
      <c r="G174" s="224">
        <f t="shared" si="69"/>
        <v>-15211.718894863714</v>
      </c>
      <c r="H174" s="224">
        <f t="shared" si="69"/>
        <v>-5130.650843686259</v>
      </c>
      <c r="I174" s="224">
        <f aca="true" t="shared" si="70" ref="I174">$I136-I136</f>
        <v>0</v>
      </c>
      <c r="J174" s="224">
        <f>IF($I136-J136&lt;0,0,$I136-J136)</f>
        <v>1898.4609679213797</v>
      </c>
      <c r="K174" s="224">
        <f aca="true" t="shared" si="71" ref="K174:M174">IF($I136-K136&lt;0,0,$I136-K136)</f>
        <v>2847.6914518820695</v>
      </c>
      <c r="L174" s="224">
        <f t="shared" si="71"/>
        <v>3148.9219358427595</v>
      </c>
      <c r="M174" s="224">
        <f t="shared" si="71"/>
        <v>3796.9219358427595</v>
      </c>
    </row>
    <row r="175" spans="2:13" ht="15">
      <c r="B175" s="725"/>
      <c r="C175" s="411">
        <v>0.0133</v>
      </c>
      <c r="D175" s="224">
        <f>IF($J136-D136&gt;0,0,$J136-D136)</f>
        <v>-56723.79546786971</v>
      </c>
      <c r="E175" s="224">
        <f aca="true" t="shared" si="72" ref="E175:I175">IF($J136-E136&gt;0,0,$J136-E136)</f>
        <v>-56723.79546786971</v>
      </c>
      <c r="F175" s="224">
        <f t="shared" si="72"/>
        <v>-35542.07305766735</v>
      </c>
      <c r="G175" s="224">
        <f t="shared" si="72"/>
        <v>-17110.179862785095</v>
      </c>
      <c r="H175" s="224">
        <f t="shared" si="72"/>
        <v>-7029.111811607639</v>
      </c>
      <c r="I175" s="224">
        <f t="shared" si="72"/>
        <v>-1898.4609679213797</v>
      </c>
      <c r="J175" s="224">
        <f aca="true" t="shared" si="73" ref="J175">$J136-J136</f>
        <v>0</v>
      </c>
      <c r="K175" s="224">
        <f>IF($J136-K136&lt;0,0,$J136-K136)</f>
        <v>949.2304839606899</v>
      </c>
      <c r="L175" s="224">
        <f aca="true" t="shared" si="74" ref="L175:M175">IF($J136-L136&lt;0,0,$J136-L136)</f>
        <v>1250.4609679213795</v>
      </c>
      <c r="M175" s="224">
        <f t="shared" si="74"/>
        <v>1898.4609679213797</v>
      </c>
    </row>
    <row r="176" spans="2:13" ht="15">
      <c r="B176" s="725"/>
      <c r="C176" s="209">
        <v>0.01</v>
      </c>
      <c r="D176" s="224">
        <f>IF($K136-D136&gt;0,0,$K136-D136)</f>
        <v>-57673.02595183041</v>
      </c>
      <c r="E176" s="224">
        <f aca="true" t="shared" si="75" ref="E176:J176">IF($K136-E136&gt;0,0,$K136-E136)</f>
        <v>-57673.02595183041</v>
      </c>
      <c r="F176" s="224">
        <f t="shared" si="75"/>
        <v>-36491.30354162805</v>
      </c>
      <c r="G176" s="224">
        <f t="shared" si="75"/>
        <v>-18059.410346745783</v>
      </c>
      <c r="H176" s="224">
        <f t="shared" si="75"/>
        <v>-7978.342295568329</v>
      </c>
      <c r="I176" s="224">
        <f t="shared" si="75"/>
        <v>-2847.6914518820695</v>
      </c>
      <c r="J176" s="224">
        <f t="shared" si="75"/>
        <v>-949.2304839606899</v>
      </c>
      <c r="K176" s="224">
        <f aca="true" t="shared" si="76" ref="K176">$K136-K136</f>
        <v>0</v>
      </c>
      <c r="L176" s="224">
        <f>IF($K136-L136&lt;0,0,$K136-L136)</f>
        <v>301.23048396068975</v>
      </c>
      <c r="M176" s="224">
        <f>IF($K136-M136&lt;0,0,$K136-M136)</f>
        <v>949.2304839606899</v>
      </c>
    </row>
    <row r="177" spans="2:13" ht="15">
      <c r="B177" s="725"/>
      <c r="C177" s="210">
        <v>0.005</v>
      </c>
      <c r="D177" s="224">
        <f>IF($L136-D136&gt;0,0,$L136-D136)</f>
        <v>-57974.256435791096</v>
      </c>
      <c r="E177" s="224">
        <f aca="true" t="shared" si="77" ref="E177:K177">IF($L136-E136&gt;0,0,$L136-E136)</f>
        <v>-57974.256435791096</v>
      </c>
      <c r="F177" s="224">
        <f t="shared" si="77"/>
        <v>-36792.534025588735</v>
      </c>
      <c r="G177" s="224">
        <f t="shared" si="77"/>
        <v>-18360.640830706474</v>
      </c>
      <c r="H177" s="224">
        <f t="shared" si="77"/>
        <v>-8279.572779529019</v>
      </c>
      <c r="I177" s="224">
        <f t="shared" si="77"/>
        <v>-3148.9219358427595</v>
      </c>
      <c r="J177" s="224">
        <f t="shared" si="77"/>
        <v>-1250.4609679213795</v>
      </c>
      <c r="K177" s="224">
        <f t="shared" si="77"/>
        <v>-301.23048396068975</v>
      </c>
      <c r="L177" s="224">
        <f aca="true" t="shared" si="78" ref="L177">$L136-L136</f>
        <v>0</v>
      </c>
      <c r="M177" s="224">
        <f>IF($L136-M136&lt;0,0,$L136-M136)</f>
        <v>648.0000000000001</v>
      </c>
    </row>
    <row r="178" spans="2:13" ht="15">
      <c r="B178" s="725"/>
      <c r="C178" s="210">
        <v>0.001</v>
      </c>
      <c r="D178" s="224">
        <f>IF($M136-D136&gt;0,0,$M136-D136)</f>
        <v>-58622.256435791096</v>
      </c>
      <c r="E178" s="224">
        <f aca="true" t="shared" si="79" ref="E178:L178">IF($M136-E136&gt;0,0,$M136-E136)</f>
        <v>-58622.256435791096</v>
      </c>
      <c r="F178" s="224">
        <f t="shared" si="79"/>
        <v>-37440.534025588735</v>
      </c>
      <c r="G178" s="224">
        <f t="shared" si="79"/>
        <v>-19008.640830706474</v>
      </c>
      <c r="H178" s="224">
        <f t="shared" si="79"/>
        <v>-8927.572779529019</v>
      </c>
      <c r="I178" s="224">
        <f t="shared" si="79"/>
        <v>-3796.9219358427595</v>
      </c>
      <c r="J178" s="224">
        <f t="shared" si="79"/>
        <v>-1898.4609679213797</v>
      </c>
      <c r="K178" s="224">
        <f t="shared" si="79"/>
        <v>-949.2304839606899</v>
      </c>
      <c r="L178" s="224">
        <f t="shared" si="79"/>
        <v>-648.0000000000001</v>
      </c>
      <c r="M178" s="224">
        <f aca="true" t="shared" si="80" ref="M178">$M136-M136</f>
        <v>0</v>
      </c>
    </row>
    <row r="180" spans="5:6" ht="15">
      <c r="E180" s="161" t="s">
        <v>262</v>
      </c>
      <c r="F180" s="161" t="s">
        <v>280</v>
      </c>
    </row>
    <row r="181" spans="1:13" ht="15">
      <c r="A181" s="728" t="str">
        <f>C73</f>
        <v>REGISTERED PARKS AND GARDENS</v>
      </c>
      <c r="B181" s="724"/>
      <c r="C181" s="724"/>
      <c r="D181" s="209">
        <v>1</v>
      </c>
      <c r="E181" s="209">
        <v>0.5</v>
      </c>
      <c r="F181" s="209">
        <v>0.2</v>
      </c>
      <c r="G181" s="209">
        <v>0.1</v>
      </c>
      <c r="H181" s="209">
        <v>0.04</v>
      </c>
      <c r="I181" s="209">
        <v>0.02</v>
      </c>
      <c r="J181" s="411">
        <v>0.0133</v>
      </c>
      <c r="K181" s="209">
        <v>0.01</v>
      </c>
      <c r="L181" s="210">
        <v>0.005</v>
      </c>
      <c r="M181" s="210">
        <v>0.001</v>
      </c>
    </row>
    <row r="182" spans="3:13" ht="15">
      <c r="C182" s="209">
        <v>1</v>
      </c>
      <c r="D182" s="224">
        <f>IF($D137-D137&lt;0,0,$D137-D137)</f>
        <v>0</v>
      </c>
      <c r="E182" s="224">
        <f aca="true" t="shared" si="81" ref="E182:M182">IF($D137-E137&lt;0,0,$D137-E137)</f>
        <v>0</v>
      </c>
      <c r="F182" s="224">
        <f t="shared" si="81"/>
        <v>521481.6409386638</v>
      </c>
      <c r="G182" s="224">
        <f t="shared" si="81"/>
        <v>553353.4562548144</v>
      </c>
      <c r="H182" s="224">
        <f t="shared" si="81"/>
        <v>570785.3030933087</v>
      </c>
      <c r="I182" s="224">
        <f t="shared" si="81"/>
        <v>579657.0535105162</v>
      </c>
      <c r="J182" s="224">
        <f t="shared" si="81"/>
        <v>582939.8089342136</v>
      </c>
      <c r="K182" s="224">
        <f t="shared" si="81"/>
        <v>584581.1866460623</v>
      </c>
      <c r="L182" s="224">
        <f t="shared" si="81"/>
        <v>585102.064357911</v>
      </c>
      <c r="M182" s="224">
        <f t="shared" si="81"/>
        <v>586222.564357911</v>
      </c>
    </row>
    <row r="183" spans="2:13" ht="15">
      <c r="B183" s="161" t="s">
        <v>261</v>
      </c>
      <c r="C183" s="209">
        <v>0.5</v>
      </c>
      <c r="D183" s="224">
        <f>IF($E137-D137&gt;0,0,$E137-D137)</f>
        <v>0</v>
      </c>
      <c r="E183" s="224">
        <f aca="true" t="shared" si="82" ref="E183">$E137-E137</f>
        <v>0</v>
      </c>
      <c r="F183" s="224">
        <f>IF($E137-F137&lt;0,0,$E137-F137)</f>
        <v>521481.6409386638</v>
      </c>
      <c r="G183" s="224">
        <f aca="true" t="shared" si="83" ref="G183:M183">IF($E137-G137&lt;0,0,$E137-G137)</f>
        <v>553353.4562548144</v>
      </c>
      <c r="H183" s="224">
        <f t="shared" si="83"/>
        <v>570785.3030933087</v>
      </c>
      <c r="I183" s="224">
        <f t="shared" si="83"/>
        <v>579657.0535105162</v>
      </c>
      <c r="J183" s="224">
        <f t="shared" si="83"/>
        <v>582939.8089342136</v>
      </c>
      <c r="K183" s="224">
        <f t="shared" si="83"/>
        <v>584581.1866460623</v>
      </c>
      <c r="L183" s="224">
        <f t="shared" si="83"/>
        <v>585102.064357911</v>
      </c>
      <c r="M183" s="224">
        <f t="shared" si="83"/>
        <v>586222.564357911</v>
      </c>
    </row>
    <row r="184" spans="2:13" ht="15">
      <c r="B184" s="725" t="s">
        <v>281</v>
      </c>
      <c r="C184" s="209">
        <v>0.2</v>
      </c>
      <c r="D184" s="224">
        <f>IF($F137-D137&gt;0,0,$F137-D137)</f>
        <v>-521481.6409386638</v>
      </c>
      <c r="E184" s="224">
        <f>IF($F137-E137&gt;0,0,$F137-E137)</f>
        <v>-521481.6409386638</v>
      </c>
      <c r="F184" s="224">
        <f aca="true" t="shared" si="84" ref="F184">$F137-F137</f>
        <v>0</v>
      </c>
      <c r="G184" s="224">
        <f>IF($F137-G137&lt;0,0,$F137-G137)</f>
        <v>31871.81531615057</v>
      </c>
      <c r="H184" s="224">
        <f aca="true" t="shared" si="85" ref="H184:M184">IF($F137-H137&lt;0,0,$F137-H137)</f>
        <v>49303.662154644924</v>
      </c>
      <c r="I184" s="224">
        <f t="shared" si="85"/>
        <v>58175.412571852416</v>
      </c>
      <c r="J184" s="224">
        <f t="shared" si="85"/>
        <v>61458.1679955498</v>
      </c>
      <c r="K184" s="224">
        <f t="shared" si="85"/>
        <v>63099.545707398494</v>
      </c>
      <c r="L184" s="224">
        <f t="shared" si="85"/>
        <v>63620.423419247185</v>
      </c>
      <c r="M184" s="224">
        <f t="shared" si="85"/>
        <v>64740.923419247185</v>
      </c>
    </row>
    <row r="185" spans="2:13" ht="15">
      <c r="B185" s="725"/>
      <c r="C185" s="209">
        <v>0.1</v>
      </c>
      <c r="D185" s="224">
        <f>IF($G137-D137&gt;0,0,$G137-D137)</f>
        <v>-553353.4562548144</v>
      </c>
      <c r="E185" s="224">
        <f aca="true" t="shared" si="86" ref="E185:F185">IF($G137-E137&gt;0,0,$G137-E137)</f>
        <v>-553353.4562548144</v>
      </c>
      <c r="F185" s="224">
        <f t="shared" si="86"/>
        <v>-31871.81531615057</v>
      </c>
      <c r="G185" s="224">
        <f aca="true" t="shared" si="87" ref="G185">$G137-G137</f>
        <v>0</v>
      </c>
      <c r="H185" s="224">
        <f>IF($G137-H137&lt;0,0,$G137-H137)</f>
        <v>17431.846838494355</v>
      </c>
      <c r="I185" s="224">
        <f aca="true" t="shared" si="88" ref="I185:M185">IF($G137-I137&lt;0,0,$G137-I137)</f>
        <v>26303.597255701847</v>
      </c>
      <c r="J185" s="224">
        <f t="shared" si="88"/>
        <v>29586.35267939923</v>
      </c>
      <c r="K185" s="224">
        <f t="shared" si="88"/>
        <v>31227.730391247922</v>
      </c>
      <c r="L185" s="224">
        <f t="shared" si="88"/>
        <v>31748.608103096616</v>
      </c>
      <c r="M185" s="224">
        <f t="shared" si="88"/>
        <v>32869.108103096616</v>
      </c>
    </row>
    <row r="186" spans="2:13" ht="15">
      <c r="B186" s="725"/>
      <c r="C186" s="209">
        <v>0.04</v>
      </c>
      <c r="D186" s="224">
        <f>IF($H137-D137&gt;0,0,$H137-D137)</f>
        <v>-570785.3030933087</v>
      </c>
      <c r="E186" s="224">
        <f aca="true" t="shared" si="89" ref="E186:G186">IF($H137-E137&gt;0,0,$H137-E137)</f>
        <v>-570785.3030933087</v>
      </c>
      <c r="F186" s="224">
        <f t="shared" si="89"/>
        <v>-49303.662154644924</v>
      </c>
      <c r="G186" s="224">
        <f t="shared" si="89"/>
        <v>-17431.846838494355</v>
      </c>
      <c r="H186" s="224">
        <f aca="true" t="shared" si="90" ref="H186">$H137-H137</f>
        <v>0</v>
      </c>
      <c r="I186" s="224">
        <f>IF($H137-I137&lt;0,0,$H137-I137)</f>
        <v>8871.750417207491</v>
      </c>
      <c r="J186" s="224">
        <f aca="true" t="shared" si="91" ref="J186:M186">IF($H137-J137&lt;0,0,$H137-J137)</f>
        <v>12154.505840904876</v>
      </c>
      <c r="K186" s="224">
        <f t="shared" si="91"/>
        <v>13795.88355275357</v>
      </c>
      <c r="L186" s="224">
        <f t="shared" si="91"/>
        <v>14316.761264602263</v>
      </c>
      <c r="M186" s="224">
        <f t="shared" si="91"/>
        <v>15437.261264602263</v>
      </c>
    </row>
    <row r="187" spans="2:13" ht="15">
      <c r="B187" s="725"/>
      <c r="C187" s="209">
        <v>0.02</v>
      </c>
      <c r="D187" s="224">
        <f>IF($I137-D137&gt;0,0,$I137-D137)</f>
        <v>-579657.0535105162</v>
      </c>
      <c r="E187" s="224">
        <f aca="true" t="shared" si="92" ref="E187:H187">IF($I137-E137&gt;0,0,$I137-E137)</f>
        <v>-579657.0535105162</v>
      </c>
      <c r="F187" s="224">
        <f t="shared" si="92"/>
        <v>-58175.412571852416</v>
      </c>
      <c r="G187" s="224">
        <f t="shared" si="92"/>
        <v>-26303.597255701847</v>
      </c>
      <c r="H187" s="224">
        <f t="shared" si="92"/>
        <v>-8871.750417207491</v>
      </c>
      <c r="I187" s="224">
        <f aca="true" t="shared" si="93" ref="I187">$I137-I137</f>
        <v>0</v>
      </c>
      <c r="J187" s="224">
        <f>IF($I137-J137&lt;0,0,$I137-J137)</f>
        <v>3282.7554236973856</v>
      </c>
      <c r="K187" s="224">
        <f aca="true" t="shared" si="94" ref="K187:M187">IF($I137-K137&lt;0,0,$I137-K137)</f>
        <v>4924.133135546079</v>
      </c>
      <c r="L187" s="224">
        <f t="shared" si="94"/>
        <v>5445.010847394771</v>
      </c>
      <c r="M187" s="224">
        <f t="shared" si="94"/>
        <v>6565.510847394771</v>
      </c>
    </row>
    <row r="188" spans="2:13" ht="15">
      <c r="B188" s="725"/>
      <c r="C188" s="411">
        <v>0.0133</v>
      </c>
      <c r="D188" s="224">
        <f>IF($J137-D137&gt;0,0,$J137-D137)</f>
        <v>-582939.8089342136</v>
      </c>
      <c r="E188" s="224">
        <f aca="true" t="shared" si="95" ref="E188:I188">IF($J137-E137&gt;0,0,$J137-E137)</f>
        <v>-582939.8089342136</v>
      </c>
      <c r="F188" s="224">
        <f t="shared" si="95"/>
        <v>-61458.1679955498</v>
      </c>
      <c r="G188" s="224">
        <f t="shared" si="95"/>
        <v>-29586.35267939923</v>
      </c>
      <c r="H188" s="224">
        <f t="shared" si="95"/>
        <v>-12154.505840904876</v>
      </c>
      <c r="I188" s="224">
        <f t="shared" si="95"/>
        <v>-3282.7554236973856</v>
      </c>
      <c r="J188" s="224">
        <f aca="true" t="shared" si="96" ref="J188">$J137-J137</f>
        <v>0</v>
      </c>
      <c r="K188" s="224">
        <f>IF($J137-K137&lt;0,0,$J137-K137)</f>
        <v>1641.3777118486928</v>
      </c>
      <c r="L188" s="224">
        <f aca="true" t="shared" si="97" ref="L188:M188">IF($J137-L137&lt;0,0,$J137-L137)</f>
        <v>2162.2554236973856</v>
      </c>
      <c r="M188" s="224">
        <f t="shared" si="97"/>
        <v>3282.7554236973856</v>
      </c>
    </row>
    <row r="189" spans="2:13" ht="15">
      <c r="B189" s="725"/>
      <c r="C189" s="209">
        <v>0.01</v>
      </c>
      <c r="D189" s="224">
        <f>IF($K137-D137&gt;0,0,$K137-D137)</f>
        <v>-584581.1866460623</v>
      </c>
      <c r="E189" s="224">
        <f aca="true" t="shared" si="98" ref="E189:J189">IF($K137-E137&gt;0,0,$K137-E137)</f>
        <v>-584581.1866460623</v>
      </c>
      <c r="F189" s="224">
        <f t="shared" si="98"/>
        <v>-63099.545707398494</v>
      </c>
      <c r="G189" s="224">
        <f t="shared" si="98"/>
        <v>-31227.730391247922</v>
      </c>
      <c r="H189" s="224">
        <f t="shared" si="98"/>
        <v>-13795.88355275357</v>
      </c>
      <c r="I189" s="224">
        <f t="shared" si="98"/>
        <v>-4924.133135546079</v>
      </c>
      <c r="J189" s="224">
        <f t="shared" si="98"/>
        <v>-1641.3777118486928</v>
      </c>
      <c r="K189" s="224">
        <f aca="true" t="shared" si="99" ref="K189">$K137-K137</f>
        <v>0</v>
      </c>
      <c r="L189" s="224">
        <f>IF($K137-L137&lt;0,0,$K137-L137)</f>
        <v>520.8777118486926</v>
      </c>
      <c r="M189" s="224">
        <f>IF($K137-M137&lt;0,0,$K137-M137)</f>
        <v>1641.3777118486928</v>
      </c>
    </row>
    <row r="190" spans="2:13" ht="15">
      <c r="B190" s="725"/>
      <c r="C190" s="210">
        <v>0.005</v>
      </c>
      <c r="D190" s="224">
        <f>IF($L137-D137&gt;0,0,$L137-D137)</f>
        <v>-585102.064357911</v>
      </c>
      <c r="E190" s="224">
        <f aca="true" t="shared" si="100" ref="E190:K190">IF($L137-E137&gt;0,0,$L137-E137)</f>
        <v>-585102.064357911</v>
      </c>
      <c r="F190" s="224">
        <f t="shared" si="100"/>
        <v>-63620.423419247185</v>
      </c>
      <c r="G190" s="224">
        <f t="shared" si="100"/>
        <v>-31748.608103096616</v>
      </c>
      <c r="H190" s="224">
        <f t="shared" si="100"/>
        <v>-14316.761264602263</v>
      </c>
      <c r="I190" s="224">
        <f t="shared" si="100"/>
        <v>-5445.010847394771</v>
      </c>
      <c r="J190" s="224">
        <f t="shared" si="100"/>
        <v>-2162.2554236973856</v>
      </c>
      <c r="K190" s="224">
        <f t="shared" si="100"/>
        <v>-520.8777118486926</v>
      </c>
      <c r="L190" s="224">
        <f aca="true" t="shared" si="101" ref="L190">$L137-L137</f>
        <v>0</v>
      </c>
      <c r="M190" s="224">
        <f>IF($L137-M137&lt;0,0,$L137-M137)</f>
        <v>1120.5000000000002</v>
      </c>
    </row>
    <row r="191" spans="2:13" ht="15">
      <c r="B191" s="725"/>
      <c r="C191" s="210">
        <v>0.001</v>
      </c>
      <c r="D191" s="224">
        <f>IF($M137-D137&gt;0,0,$M137-D137)</f>
        <v>-586222.564357911</v>
      </c>
      <c r="E191" s="224">
        <f aca="true" t="shared" si="102" ref="E191:L191">IF($M137-E137&gt;0,0,$M137-E137)</f>
        <v>-586222.564357911</v>
      </c>
      <c r="F191" s="224">
        <f t="shared" si="102"/>
        <v>-64740.923419247185</v>
      </c>
      <c r="G191" s="224">
        <f t="shared" si="102"/>
        <v>-32869.108103096616</v>
      </c>
      <c r="H191" s="224">
        <f t="shared" si="102"/>
        <v>-15437.261264602263</v>
      </c>
      <c r="I191" s="224">
        <f t="shared" si="102"/>
        <v>-6565.510847394771</v>
      </c>
      <c r="J191" s="224">
        <f t="shared" si="102"/>
        <v>-3282.7554236973856</v>
      </c>
      <c r="K191" s="224">
        <f t="shared" si="102"/>
        <v>-1641.3777118486928</v>
      </c>
      <c r="L191" s="224">
        <f t="shared" si="102"/>
        <v>-1120.5000000000002</v>
      </c>
      <c r="M191" s="224">
        <f aca="true" t="shared" si="103" ref="M191">$M137-M137</f>
        <v>0</v>
      </c>
    </row>
    <row r="193" spans="5:6" ht="15">
      <c r="E193" s="161" t="s">
        <v>262</v>
      </c>
      <c r="F193" s="161" t="s">
        <v>280</v>
      </c>
    </row>
    <row r="194" spans="1:13" ht="15">
      <c r="A194" s="728" t="str">
        <f>C86</f>
        <v>REGISTERED BATTLEFIELDS</v>
      </c>
      <c r="B194" s="724"/>
      <c r="C194" s="724"/>
      <c r="D194" s="209">
        <v>1</v>
      </c>
      <c r="E194" s="209">
        <v>0.5</v>
      </c>
      <c r="F194" s="209">
        <v>0.2</v>
      </c>
      <c r="G194" s="209">
        <v>0.1</v>
      </c>
      <c r="H194" s="209">
        <v>0.04</v>
      </c>
      <c r="I194" s="209">
        <v>0.02</v>
      </c>
      <c r="J194" s="411">
        <v>0.0133</v>
      </c>
      <c r="K194" s="209">
        <v>0.01</v>
      </c>
      <c r="L194" s="210">
        <v>0.005</v>
      </c>
      <c r="M194" s="210">
        <v>0.001</v>
      </c>
    </row>
    <row r="195" spans="3:13" ht="15">
      <c r="C195" s="209">
        <v>1</v>
      </c>
      <c r="D195" s="224">
        <f>IF($D138-D138&lt;0,0,$D138-D138)</f>
        <v>0</v>
      </c>
      <c r="E195" s="224">
        <f aca="true" t="shared" si="104" ref="E195:M195">IF($D138-E138&lt;0,0,$D138-E138)</f>
        <v>0</v>
      </c>
      <c r="F195" s="224">
        <f t="shared" si="104"/>
        <v>562042.219466385</v>
      </c>
      <c r="G195" s="224">
        <f t="shared" si="104"/>
        <v>573946.1504880798</v>
      </c>
      <c r="H195" s="224">
        <f t="shared" si="104"/>
        <v>580456.8402711318</v>
      </c>
      <c r="I195" s="224">
        <f t="shared" si="104"/>
        <v>583770.3856076793</v>
      </c>
      <c r="J195" s="224">
        <f t="shared" si="104"/>
        <v>584996.4749827951</v>
      </c>
      <c r="K195" s="224">
        <f t="shared" si="104"/>
        <v>585609.519670353</v>
      </c>
      <c r="L195" s="224">
        <f t="shared" si="104"/>
        <v>585804.064357911</v>
      </c>
      <c r="M195" s="224">
        <f t="shared" si="104"/>
        <v>586222.564357911</v>
      </c>
    </row>
    <row r="196" spans="2:13" ht="15">
      <c r="B196" s="161" t="s">
        <v>261</v>
      </c>
      <c r="C196" s="209">
        <v>0.5</v>
      </c>
      <c r="D196" s="224">
        <f>IF($E138-D138&gt;0,0,$E138-D138)</f>
        <v>0</v>
      </c>
      <c r="E196" s="224">
        <f aca="true" t="shared" si="105" ref="E196">$E138-E138</f>
        <v>0</v>
      </c>
      <c r="F196" s="224">
        <f>IF($E138-F138&lt;0,0,$E138-F138)</f>
        <v>562042.219466385</v>
      </c>
      <c r="G196" s="224">
        <f aca="true" t="shared" si="106" ref="G196:M196">IF($E138-G138&lt;0,0,$E138-G138)</f>
        <v>573946.1504880798</v>
      </c>
      <c r="H196" s="224">
        <f t="shared" si="106"/>
        <v>580456.8402711318</v>
      </c>
      <c r="I196" s="224">
        <f t="shared" si="106"/>
        <v>583770.3856076793</v>
      </c>
      <c r="J196" s="224">
        <f t="shared" si="106"/>
        <v>584996.4749827951</v>
      </c>
      <c r="K196" s="224">
        <f t="shared" si="106"/>
        <v>585609.519670353</v>
      </c>
      <c r="L196" s="224">
        <f t="shared" si="106"/>
        <v>585804.064357911</v>
      </c>
      <c r="M196" s="224">
        <f t="shared" si="106"/>
        <v>586222.564357911</v>
      </c>
    </row>
    <row r="197" spans="2:13" ht="15">
      <c r="B197" s="725" t="s">
        <v>281</v>
      </c>
      <c r="C197" s="209">
        <v>0.2</v>
      </c>
      <c r="D197" s="224">
        <f>IF($F138-D138&gt;0,0,$F138-D138)</f>
        <v>-562042.219466385</v>
      </c>
      <c r="E197" s="224">
        <f>IF($F138-E138&gt;0,0,$F138-E138)</f>
        <v>-562042.219466385</v>
      </c>
      <c r="F197" s="224">
        <f aca="true" t="shared" si="107" ref="F197">$F138-F138</f>
        <v>0</v>
      </c>
      <c r="G197" s="224">
        <f>IF($F138-G138&lt;0,0,$F138-G138)</f>
        <v>11903.931021694789</v>
      </c>
      <c r="H197" s="224">
        <f aca="true" t="shared" si="108" ref="H197:M197">IF($F138-H138&lt;0,0,$F138-H138)</f>
        <v>18414.620804746894</v>
      </c>
      <c r="I197" s="224">
        <f t="shared" si="108"/>
        <v>21728.16614129427</v>
      </c>
      <c r="J197" s="224">
        <f t="shared" si="108"/>
        <v>22954.25551641016</v>
      </c>
      <c r="K197" s="224">
        <f t="shared" si="108"/>
        <v>23567.30020396811</v>
      </c>
      <c r="L197" s="224">
        <f t="shared" si="108"/>
        <v>23761.844891526052</v>
      </c>
      <c r="M197" s="224">
        <f t="shared" si="108"/>
        <v>24180.344891526052</v>
      </c>
    </row>
    <row r="198" spans="2:13" ht="15">
      <c r="B198" s="725"/>
      <c r="C198" s="209">
        <v>0.1</v>
      </c>
      <c r="D198" s="224">
        <f>IF($G138-D138&gt;0,0,$G138-D138)</f>
        <v>-573946.1504880798</v>
      </c>
      <c r="E198" s="224">
        <f aca="true" t="shared" si="109" ref="E198:F198">IF($G138-E138&gt;0,0,$G138-E138)</f>
        <v>-573946.1504880798</v>
      </c>
      <c r="F198" s="224">
        <f t="shared" si="109"/>
        <v>-11903.931021694789</v>
      </c>
      <c r="G198" s="224">
        <f aca="true" t="shared" si="110" ref="G198">$G138-G138</f>
        <v>0</v>
      </c>
      <c r="H198" s="224">
        <f>IF($G138-H138&lt;0,0,$G138-H138)</f>
        <v>6510.689783052106</v>
      </c>
      <c r="I198" s="224">
        <f aca="true" t="shared" si="111" ref="I198:M198">IF($G138-I138&lt;0,0,$G138-I138)</f>
        <v>9824.235119599482</v>
      </c>
      <c r="J198" s="224">
        <f t="shared" si="111"/>
        <v>11050.324494715373</v>
      </c>
      <c r="K198" s="224">
        <f t="shared" si="111"/>
        <v>11663.369182273318</v>
      </c>
      <c r="L198" s="224">
        <f t="shared" si="111"/>
        <v>11857.913869831264</v>
      </c>
      <c r="M198" s="224">
        <f t="shared" si="111"/>
        <v>12276.413869831264</v>
      </c>
    </row>
    <row r="199" spans="2:13" ht="15">
      <c r="B199" s="725"/>
      <c r="C199" s="209">
        <v>0.04</v>
      </c>
      <c r="D199" s="224">
        <f>IF($H138-D138&gt;0,0,$H138-D138)</f>
        <v>-580456.8402711318</v>
      </c>
      <c r="E199" s="224">
        <f aca="true" t="shared" si="112" ref="E199:G199">IF($H138-E138&gt;0,0,$H138-E138)</f>
        <v>-580456.8402711318</v>
      </c>
      <c r="F199" s="224">
        <f t="shared" si="112"/>
        <v>-18414.620804746894</v>
      </c>
      <c r="G199" s="224">
        <f t="shared" si="112"/>
        <v>-6510.689783052106</v>
      </c>
      <c r="H199" s="224">
        <f aca="true" t="shared" si="113" ref="H199">$H138-H138</f>
        <v>0</v>
      </c>
      <c r="I199" s="224">
        <f>IF($H138-I138&lt;0,0,$H138-I138)</f>
        <v>3313.545336547376</v>
      </c>
      <c r="J199" s="224">
        <f aca="true" t="shared" si="114" ref="J199:M199">IF($H138-J138&lt;0,0,$H138-J138)</f>
        <v>4539.634711663267</v>
      </c>
      <c r="K199" s="224">
        <f t="shared" si="114"/>
        <v>5152.679399221212</v>
      </c>
      <c r="L199" s="224">
        <f t="shared" si="114"/>
        <v>5347.224086779158</v>
      </c>
      <c r="M199" s="224">
        <f t="shared" si="114"/>
        <v>5765.724086779158</v>
      </c>
    </row>
    <row r="200" spans="2:13" ht="15">
      <c r="B200" s="725"/>
      <c r="C200" s="209">
        <v>0.02</v>
      </c>
      <c r="D200" s="224">
        <f>IF($I138-D138&gt;0,0,$I138-D138)</f>
        <v>-583770.3856076793</v>
      </c>
      <c r="E200" s="224">
        <f aca="true" t="shared" si="115" ref="E200:H200">IF($I138-E138&gt;0,0,$I138-E138)</f>
        <v>-583770.3856076793</v>
      </c>
      <c r="F200" s="224">
        <f t="shared" si="115"/>
        <v>-21728.16614129427</v>
      </c>
      <c r="G200" s="224">
        <f t="shared" si="115"/>
        <v>-9824.235119599482</v>
      </c>
      <c r="H200" s="224">
        <f t="shared" si="115"/>
        <v>-3313.545336547376</v>
      </c>
      <c r="I200" s="224">
        <f aca="true" t="shared" si="116" ref="I200">$I138-I138</f>
        <v>0</v>
      </c>
      <c r="J200" s="224">
        <f>IF($I138-J138&lt;0,0,$I138-J138)</f>
        <v>1226.089375115891</v>
      </c>
      <c r="K200" s="224">
        <f aca="true" t="shared" si="117" ref="K200:M200">IF($I138-K138&lt;0,0,$I138-K138)</f>
        <v>1839.1340626738365</v>
      </c>
      <c r="L200" s="224">
        <f t="shared" si="117"/>
        <v>2033.678750231782</v>
      </c>
      <c r="M200" s="224">
        <f t="shared" si="117"/>
        <v>2452.178750231782</v>
      </c>
    </row>
    <row r="201" spans="2:13" ht="15">
      <c r="B201" s="725"/>
      <c r="C201" s="411">
        <v>0.0133</v>
      </c>
      <c r="D201" s="224">
        <f>IF($J138-D138&gt;0,0,$J138-D138)</f>
        <v>-584996.4749827951</v>
      </c>
      <c r="E201" s="224">
        <f aca="true" t="shared" si="118" ref="E201:I201">IF($J138-E138&gt;0,0,$J138-E138)</f>
        <v>-584996.4749827951</v>
      </c>
      <c r="F201" s="224">
        <f t="shared" si="118"/>
        <v>-22954.25551641016</v>
      </c>
      <c r="G201" s="224">
        <f t="shared" si="118"/>
        <v>-11050.324494715373</v>
      </c>
      <c r="H201" s="224">
        <f t="shared" si="118"/>
        <v>-4539.634711663267</v>
      </c>
      <c r="I201" s="224">
        <f t="shared" si="118"/>
        <v>-1226.089375115891</v>
      </c>
      <c r="J201" s="224">
        <f aca="true" t="shared" si="119" ref="J201">$J138-J138</f>
        <v>0</v>
      </c>
      <c r="K201" s="224">
        <f>IF($J138-K138&lt;0,0,$J138-K138)</f>
        <v>613.0446875579455</v>
      </c>
      <c r="L201" s="224">
        <f aca="true" t="shared" si="120" ref="L201:M201">IF($J138-L138&lt;0,0,$J138-L138)</f>
        <v>807.589375115891</v>
      </c>
      <c r="M201" s="224">
        <f t="shared" si="120"/>
        <v>1226.089375115891</v>
      </c>
    </row>
    <row r="202" spans="2:13" ht="15">
      <c r="B202" s="725"/>
      <c r="C202" s="209">
        <v>0.01</v>
      </c>
      <c r="D202" s="224">
        <f>IF($K138-D138&gt;0,0,$K138-D138)</f>
        <v>-585609.519670353</v>
      </c>
      <c r="E202" s="224">
        <f aca="true" t="shared" si="121" ref="E202:J202">IF($K138-E138&gt;0,0,$K138-E138)</f>
        <v>-585609.519670353</v>
      </c>
      <c r="F202" s="224">
        <f t="shared" si="121"/>
        <v>-23567.30020396811</v>
      </c>
      <c r="G202" s="224">
        <f t="shared" si="121"/>
        <v>-11663.369182273318</v>
      </c>
      <c r="H202" s="224">
        <f t="shared" si="121"/>
        <v>-5152.679399221212</v>
      </c>
      <c r="I202" s="224">
        <f t="shared" si="121"/>
        <v>-1839.1340626738365</v>
      </c>
      <c r="J202" s="224">
        <f t="shared" si="121"/>
        <v>-613.0446875579455</v>
      </c>
      <c r="K202" s="224">
        <f aca="true" t="shared" si="122" ref="K202">$K138-K138</f>
        <v>0</v>
      </c>
      <c r="L202" s="224">
        <f>IF($K138-L138&lt;0,0,$K138-L138)</f>
        <v>194.5446875579455</v>
      </c>
      <c r="M202" s="224">
        <f>IF($K138-M138&lt;0,0,$K138-M138)</f>
        <v>613.0446875579455</v>
      </c>
    </row>
    <row r="203" spans="2:13" ht="15">
      <c r="B203" s="725"/>
      <c r="C203" s="210">
        <v>0.005</v>
      </c>
      <c r="D203" s="224">
        <f>IF($L138-D138&gt;0,0,$L138-D138)</f>
        <v>-585804.064357911</v>
      </c>
      <c r="E203" s="224">
        <f aca="true" t="shared" si="123" ref="E203:K203">IF($L138-E138&gt;0,0,$L138-E138)</f>
        <v>-585804.064357911</v>
      </c>
      <c r="F203" s="224">
        <f t="shared" si="123"/>
        <v>-23761.844891526052</v>
      </c>
      <c r="G203" s="224">
        <f t="shared" si="123"/>
        <v>-11857.913869831264</v>
      </c>
      <c r="H203" s="224">
        <f t="shared" si="123"/>
        <v>-5347.224086779158</v>
      </c>
      <c r="I203" s="224">
        <f t="shared" si="123"/>
        <v>-2033.678750231782</v>
      </c>
      <c r="J203" s="224">
        <f t="shared" si="123"/>
        <v>-807.589375115891</v>
      </c>
      <c r="K203" s="224">
        <f t="shared" si="123"/>
        <v>-194.5446875579455</v>
      </c>
      <c r="L203" s="224">
        <f aca="true" t="shared" si="124" ref="L203">$L138-L138</f>
        <v>0</v>
      </c>
      <c r="M203" s="224">
        <f>IF($L138-M138&lt;0,0,$L138-M138)</f>
        <v>418.5</v>
      </c>
    </row>
    <row r="204" spans="2:13" ht="15">
      <c r="B204" s="725"/>
      <c r="C204" s="210">
        <v>0.001</v>
      </c>
      <c r="D204" s="224">
        <f>IF($M138-D138&gt;0,0,$M138-D138)</f>
        <v>-586222.564357911</v>
      </c>
      <c r="E204" s="224">
        <f aca="true" t="shared" si="125" ref="E204:L204">IF($M138-E138&gt;0,0,$M138-E138)</f>
        <v>-586222.564357911</v>
      </c>
      <c r="F204" s="224">
        <f t="shared" si="125"/>
        <v>-24180.344891526052</v>
      </c>
      <c r="G204" s="224">
        <f t="shared" si="125"/>
        <v>-12276.413869831264</v>
      </c>
      <c r="H204" s="224">
        <f t="shared" si="125"/>
        <v>-5765.724086779158</v>
      </c>
      <c r="I204" s="224">
        <f t="shared" si="125"/>
        <v>-2452.178750231782</v>
      </c>
      <c r="J204" s="224">
        <f t="shared" si="125"/>
        <v>-1226.089375115891</v>
      </c>
      <c r="K204" s="224">
        <f t="shared" si="125"/>
        <v>-613.0446875579455</v>
      </c>
      <c r="L204" s="224">
        <f t="shared" si="125"/>
        <v>-418.5</v>
      </c>
      <c r="M204" s="224">
        <f aca="true" t="shared" si="126" ref="M204">$M138-M138</f>
        <v>0</v>
      </c>
    </row>
    <row r="206" spans="5:6" ht="15">
      <c r="E206" s="161" t="s">
        <v>262</v>
      </c>
      <c r="F206" s="161" t="s">
        <v>280</v>
      </c>
    </row>
    <row r="207" spans="1:13" ht="15">
      <c r="A207" s="728" t="str">
        <f>C99</f>
        <v>LOCAL DESIGNATIONS</v>
      </c>
      <c r="B207" s="724"/>
      <c r="C207" s="724"/>
      <c r="D207" s="209">
        <v>1</v>
      </c>
      <c r="E207" s="209">
        <v>0.5</v>
      </c>
      <c r="F207" s="209">
        <v>0.2</v>
      </c>
      <c r="G207" s="209">
        <v>0.1</v>
      </c>
      <c r="H207" s="209">
        <v>0.04</v>
      </c>
      <c r="I207" s="209">
        <v>0.02</v>
      </c>
      <c r="J207" s="411">
        <v>0.0133</v>
      </c>
      <c r="K207" s="209">
        <v>0.01</v>
      </c>
      <c r="L207" s="210">
        <v>0.005</v>
      </c>
      <c r="M207" s="210">
        <v>0.001</v>
      </c>
    </row>
    <row r="208" spans="3:13" ht="15">
      <c r="C208" s="209">
        <v>1</v>
      </c>
      <c r="D208" s="224">
        <f>IF($D139-D139&lt;0,0,$D139-D139)</f>
        <v>0</v>
      </c>
      <c r="E208" s="224">
        <f aca="true" t="shared" si="127" ref="E208:M208">IF($D139-E139&lt;0,0,$D139-E139)</f>
        <v>0</v>
      </c>
      <c r="F208" s="224">
        <f t="shared" si="127"/>
        <v>29311.128217895548</v>
      </c>
      <c r="G208" s="224">
        <f t="shared" si="127"/>
        <v>29311.128217895548</v>
      </c>
      <c r="H208" s="224">
        <f t="shared" si="127"/>
        <v>29311.128217895548</v>
      </c>
      <c r="I208" s="224">
        <f t="shared" si="127"/>
        <v>29311.128217895548</v>
      </c>
      <c r="J208" s="224">
        <f t="shared" si="127"/>
        <v>29311.128217895548</v>
      </c>
      <c r="K208" s="224">
        <f t="shared" si="127"/>
        <v>29311.128217895548</v>
      </c>
      <c r="L208" s="224">
        <f t="shared" si="127"/>
        <v>29311.128217895548</v>
      </c>
      <c r="M208" s="224">
        <f t="shared" si="127"/>
        <v>29311.128217895548</v>
      </c>
    </row>
    <row r="209" spans="2:13" ht="15">
      <c r="B209" s="161" t="s">
        <v>261</v>
      </c>
      <c r="C209" s="209">
        <v>0.5</v>
      </c>
      <c r="D209" s="224">
        <f>IF($E139-D139&gt;0,0,$E139-D139)</f>
        <v>0</v>
      </c>
      <c r="E209" s="224">
        <f aca="true" t="shared" si="128" ref="E209">$E139-E139</f>
        <v>0</v>
      </c>
      <c r="F209" s="224">
        <f>IF($E139-F139&lt;0,0,$E139-F139)</f>
        <v>29311.128217895548</v>
      </c>
      <c r="G209" s="224">
        <f aca="true" t="shared" si="129" ref="G209:M209">IF($E139-G139&lt;0,0,$E139-G139)</f>
        <v>29311.128217895548</v>
      </c>
      <c r="H209" s="224">
        <f t="shared" si="129"/>
        <v>29311.128217895548</v>
      </c>
      <c r="I209" s="224">
        <f t="shared" si="129"/>
        <v>29311.128217895548</v>
      </c>
      <c r="J209" s="224">
        <f t="shared" si="129"/>
        <v>29311.128217895548</v>
      </c>
      <c r="K209" s="224">
        <f t="shared" si="129"/>
        <v>29311.128217895548</v>
      </c>
      <c r="L209" s="224">
        <f t="shared" si="129"/>
        <v>29311.128217895548</v>
      </c>
      <c r="M209" s="224">
        <f t="shared" si="129"/>
        <v>29311.128217895548</v>
      </c>
    </row>
    <row r="210" spans="2:13" ht="15">
      <c r="B210" s="725" t="s">
        <v>281</v>
      </c>
      <c r="C210" s="209">
        <v>0.2</v>
      </c>
      <c r="D210" s="224">
        <f>IF($F139-D139&gt;0,0,$F139-D139)</f>
        <v>-29311.128217895548</v>
      </c>
      <c r="E210" s="224">
        <f>IF($F139-E139&gt;0,0,$F139-E139)</f>
        <v>-29311.128217895548</v>
      </c>
      <c r="F210" s="224">
        <f aca="true" t="shared" si="130" ref="F210">$F139-F139</f>
        <v>0</v>
      </c>
      <c r="G210" s="224">
        <f>IF($F139-G139&lt;0,0,$F139-G139)</f>
        <v>0</v>
      </c>
      <c r="H210" s="224">
        <f aca="true" t="shared" si="131" ref="H210:M210">IF($F139-H139&lt;0,0,$F139-H139)</f>
        <v>0</v>
      </c>
      <c r="I210" s="224">
        <f t="shared" si="131"/>
        <v>0</v>
      </c>
      <c r="J210" s="224">
        <f t="shared" si="131"/>
        <v>0</v>
      </c>
      <c r="K210" s="224">
        <f t="shared" si="131"/>
        <v>0</v>
      </c>
      <c r="L210" s="224">
        <f t="shared" si="131"/>
        <v>0</v>
      </c>
      <c r="M210" s="224">
        <f t="shared" si="131"/>
        <v>0</v>
      </c>
    </row>
    <row r="211" spans="2:13" ht="15">
      <c r="B211" s="725"/>
      <c r="C211" s="209">
        <v>0.1</v>
      </c>
      <c r="D211" s="224">
        <f>IF($G139-D139&gt;0,0,$G139-D139)</f>
        <v>-29311.128217895548</v>
      </c>
      <c r="E211" s="224">
        <f aca="true" t="shared" si="132" ref="E211:F211">IF($G139-E139&gt;0,0,$G139-E139)</f>
        <v>-29311.128217895548</v>
      </c>
      <c r="F211" s="224">
        <f t="shared" si="132"/>
        <v>0</v>
      </c>
      <c r="G211" s="224">
        <f aca="true" t="shared" si="133" ref="G211">$G139-G139</f>
        <v>0</v>
      </c>
      <c r="H211" s="224">
        <f>IF($G139-H139&lt;0,0,$G139-H139)</f>
        <v>0</v>
      </c>
      <c r="I211" s="224">
        <f aca="true" t="shared" si="134" ref="I211:M211">IF($G139-I139&lt;0,0,$G139-I139)</f>
        <v>0</v>
      </c>
      <c r="J211" s="224">
        <f t="shared" si="134"/>
        <v>0</v>
      </c>
      <c r="K211" s="224">
        <f t="shared" si="134"/>
        <v>0</v>
      </c>
      <c r="L211" s="224">
        <f t="shared" si="134"/>
        <v>0</v>
      </c>
      <c r="M211" s="224">
        <f t="shared" si="134"/>
        <v>0</v>
      </c>
    </row>
    <row r="212" spans="2:13" ht="15">
      <c r="B212" s="725"/>
      <c r="C212" s="209">
        <v>0.04</v>
      </c>
      <c r="D212" s="224">
        <f>IF($H139-D139&gt;0,0,$H139-D139)</f>
        <v>-29311.128217895548</v>
      </c>
      <c r="E212" s="224">
        <f aca="true" t="shared" si="135" ref="E212:G212">IF($H139-E139&gt;0,0,$H139-E139)</f>
        <v>-29311.128217895548</v>
      </c>
      <c r="F212" s="224">
        <f t="shared" si="135"/>
        <v>0</v>
      </c>
      <c r="G212" s="224">
        <f t="shared" si="135"/>
        <v>0</v>
      </c>
      <c r="H212" s="224">
        <f aca="true" t="shared" si="136" ref="H212">$H139-H139</f>
        <v>0</v>
      </c>
      <c r="I212" s="224">
        <f>IF($H139-I139&lt;0,0,$H139-I139)</f>
        <v>0</v>
      </c>
      <c r="J212" s="224">
        <f aca="true" t="shared" si="137" ref="J212:M212">IF($H139-J139&lt;0,0,$H139-J139)</f>
        <v>0</v>
      </c>
      <c r="K212" s="224">
        <f t="shared" si="137"/>
        <v>0</v>
      </c>
      <c r="L212" s="224">
        <f t="shared" si="137"/>
        <v>0</v>
      </c>
      <c r="M212" s="224">
        <f t="shared" si="137"/>
        <v>0</v>
      </c>
    </row>
    <row r="213" spans="2:13" ht="15">
      <c r="B213" s="725"/>
      <c r="C213" s="209">
        <v>0.02</v>
      </c>
      <c r="D213" s="224">
        <f>IF($I139-D139&gt;0,0,$I139-D139)</f>
        <v>-29311.128217895548</v>
      </c>
      <c r="E213" s="224">
        <f aca="true" t="shared" si="138" ref="E213:H213">IF($I139-E139&gt;0,0,$I139-E139)</f>
        <v>-29311.128217895548</v>
      </c>
      <c r="F213" s="224">
        <f t="shared" si="138"/>
        <v>0</v>
      </c>
      <c r="G213" s="224">
        <f t="shared" si="138"/>
        <v>0</v>
      </c>
      <c r="H213" s="224">
        <f t="shared" si="138"/>
        <v>0</v>
      </c>
      <c r="I213" s="224">
        <f aca="true" t="shared" si="139" ref="I213">$I139-I139</f>
        <v>0</v>
      </c>
      <c r="J213" s="224">
        <f>IF($I139-J139&lt;0,0,$I139-J139)</f>
        <v>0</v>
      </c>
      <c r="K213" s="224">
        <f aca="true" t="shared" si="140" ref="K213:M213">IF($I139-K139&lt;0,0,$I139-K139)</f>
        <v>0</v>
      </c>
      <c r="L213" s="224">
        <f t="shared" si="140"/>
        <v>0</v>
      </c>
      <c r="M213" s="224">
        <f t="shared" si="140"/>
        <v>0</v>
      </c>
    </row>
    <row r="214" spans="2:13" ht="15">
      <c r="B214" s="725"/>
      <c r="C214" s="411">
        <v>0.0133</v>
      </c>
      <c r="D214" s="224">
        <f>IF($J139-D139&gt;0,0,$J139-D139)</f>
        <v>-29311.128217895548</v>
      </c>
      <c r="E214" s="224">
        <f aca="true" t="shared" si="141" ref="E214:I214">IF($J139-E139&gt;0,0,$J139-E139)</f>
        <v>-29311.128217895548</v>
      </c>
      <c r="F214" s="224">
        <f t="shared" si="141"/>
        <v>0</v>
      </c>
      <c r="G214" s="224">
        <f t="shared" si="141"/>
        <v>0</v>
      </c>
      <c r="H214" s="224">
        <f t="shared" si="141"/>
        <v>0</v>
      </c>
      <c r="I214" s="224">
        <f t="shared" si="141"/>
        <v>0</v>
      </c>
      <c r="J214" s="224">
        <f aca="true" t="shared" si="142" ref="J214">$J139-J139</f>
        <v>0</v>
      </c>
      <c r="K214" s="224">
        <f>IF($J139-K139&lt;0,0,$J139-K139)</f>
        <v>0</v>
      </c>
      <c r="L214" s="224">
        <f aca="true" t="shared" si="143" ref="L214:M214">IF($J139-L139&lt;0,0,$J139-L139)</f>
        <v>0</v>
      </c>
      <c r="M214" s="224">
        <f t="shared" si="143"/>
        <v>0</v>
      </c>
    </row>
    <row r="215" spans="2:13" ht="15">
      <c r="B215" s="725"/>
      <c r="C215" s="209">
        <v>0.01</v>
      </c>
      <c r="D215" s="224">
        <f>IF($K139-D139&gt;0,0,$K139-D139)</f>
        <v>-29311.128217895548</v>
      </c>
      <c r="E215" s="224">
        <f aca="true" t="shared" si="144" ref="E215:J215">IF($K139-E139&gt;0,0,$K139-E139)</f>
        <v>-29311.128217895548</v>
      </c>
      <c r="F215" s="224">
        <f t="shared" si="144"/>
        <v>0</v>
      </c>
      <c r="G215" s="224">
        <f t="shared" si="144"/>
        <v>0</v>
      </c>
      <c r="H215" s="224">
        <f t="shared" si="144"/>
        <v>0</v>
      </c>
      <c r="I215" s="224">
        <f t="shared" si="144"/>
        <v>0</v>
      </c>
      <c r="J215" s="224">
        <f t="shared" si="144"/>
        <v>0</v>
      </c>
      <c r="K215" s="224">
        <f aca="true" t="shared" si="145" ref="K215">$K139-K139</f>
        <v>0</v>
      </c>
      <c r="L215" s="224">
        <f>IF($K139-L139&lt;0,0,$K139-L139)</f>
        <v>0</v>
      </c>
      <c r="M215" s="224">
        <f>IF($K139-M139&lt;0,0,$K139-M139)</f>
        <v>0</v>
      </c>
    </row>
    <row r="216" spans="2:13" ht="15">
      <c r="B216" s="725"/>
      <c r="C216" s="210">
        <v>0.005</v>
      </c>
      <c r="D216" s="224">
        <f>IF($L139-D139&gt;0,0,$L139-D139)</f>
        <v>-29311.128217895548</v>
      </c>
      <c r="E216" s="224">
        <f aca="true" t="shared" si="146" ref="E216:K216">IF($L139-E139&gt;0,0,$L139-E139)</f>
        <v>-29311.128217895548</v>
      </c>
      <c r="F216" s="224">
        <f t="shared" si="146"/>
        <v>0</v>
      </c>
      <c r="G216" s="224">
        <f t="shared" si="146"/>
        <v>0</v>
      </c>
      <c r="H216" s="224">
        <f t="shared" si="146"/>
        <v>0</v>
      </c>
      <c r="I216" s="224">
        <f t="shared" si="146"/>
        <v>0</v>
      </c>
      <c r="J216" s="224">
        <f t="shared" si="146"/>
        <v>0</v>
      </c>
      <c r="K216" s="224">
        <f t="shared" si="146"/>
        <v>0</v>
      </c>
      <c r="L216" s="224">
        <f aca="true" t="shared" si="147" ref="L216">$L139-L139</f>
        <v>0</v>
      </c>
      <c r="M216" s="224">
        <f>IF($L139-M139&lt;0,0,$L139-M139)</f>
        <v>0</v>
      </c>
    </row>
    <row r="217" spans="2:13" ht="15">
      <c r="B217" s="725"/>
      <c r="C217" s="210">
        <v>0.001</v>
      </c>
      <c r="D217" s="224">
        <f>IF($M139-D139&gt;0,0,$M139-D139)</f>
        <v>-29311.128217895548</v>
      </c>
      <c r="E217" s="224">
        <f aca="true" t="shared" si="148" ref="E217:L217">IF($M139-E139&gt;0,0,$M139-E139)</f>
        <v>-29311.128217895548</v>
      </c>
      <c r="F217" s="224">
        <f t="shared" si="148"/>
        <v>0</v>
      </c>
      <c r="G217" s="224">
        <f t="shared" si="148"/>
        <v>0</v>
      </c>
      <c r="H217" s="224">
        <f t="shared" si="148"/>
        <v>0</v>
      </c>
      <c r="I217" s="224">
        <f t="shared" si="148"/>
        <v>0</v>
      </c>
      <c r="J217" s="224">
        <f t="shared" si="148"/>
        <v>0</v>
      </c>
      <c r="K217" s="224">
        <f t="shared" si="148"/>
        <v>0</v>
      </c>
      <c r="L217" s="224">
        <f t="shared" si="148"/>
        <v>0</v>
      </c>
      <c r="M217" s="224">
        <f aca="true" t="shared" si="149" ref="M217">$M139-M139</f>
        <v>0</v>
      </c>
    </row>
    <row r="219" spans="5:6" ht="15">
      <c r="E219" s="161" t="s">
        <v>262</v>
      </c>
      <c r="F219" s="161" t="s">
        <v>280</v>
      </c>
    </row>
    <row r="220" spans="1:13" ht="15">
      <c r="A220" s="728" t="s">
        <v>550</v>
      </c>
      <c r="B220" s="724"/>
      <c r="C220" s="724"/>
      <c r="D220" s="209">
        <v>1</v>
      </c>
      <c r="E220" s="209">
        <v>0.5</v>
      </c>
      <c r="F220" s="209">
        <v>0.2</v>
      </c>
      <c r="G220" s="209">
        <v>0.1</v>
      </c>
      <c r="H220" s="209">
        <v>0.04</v>
      </c>
      <c r="I220" s="209">
        <v>0.02</v>
      </c>
      <c r="J220" s="411">
        <v>0.0133</v>
      </c>
      <c r="K220" s="209">
        <v>0.01</v>
      </c>
      <c r="L220" s="210">
        <v>0.005</v>
      </c>
      <c r="M220" s="210">
        <v>0.001</v>
      </c>
    </row>
    <row r="221" spans="3:13" ht="15">
      <c r="C221" s="209">
        <v>1</v>
      </c>
      <c r="D221" s="224">
        <f aca="true" t="shared" si="150" ref="D221:M221">D143*D35+D48*D156+D169*D61+D74*D170+D195*D87+D100*D208</f>
        <v>0</v>
      </c>
      <c r="E221" s="224">
        <f t="shared" si="150"/>
        <v>0</v>
      </c>
      <c r="F221" s="224">
        <f t="shared" si="150"/>
        <v>0</v>
      </c>
      <c r="G221" s="224">
        <f t="shared" si="150"/>
        <v>0</v>
      </c>
      <c r="H221" s="224">
        <f t="shared" si="150"/>
        <v>0</v>
      </c>
      <c r="I221" s="224">
        <f t="shared" si="150"/>
        <v>0</v>
      </c>
      <c r="J221" s="224">
        <f t="shared" si="150"/>
        <v>0</v>
      </c>
      <c r="K221" s="224">
        <f t="shared" si="150"/>
        <v>0</v>
      </c>
      <c r="L221" s="224">
        <f t="shared" si="150"/>
        <v>0</v>
      </c>
      <c r="M221" s="224">
        <f t="shared" si="150"/>
        <v>0</v>
      </c>
    </row>
    <row r="222" spans="2:13" ht="15">
      <c r="B222" s="161" t="s">
        <v>261</v>
      </c>
      <c r="C222" s="209">
        <v>0.5</v>
      </c>
      <c r="D222" s="224">
        <f aca="true" t="shared" si="151" ref="D222:M230">D144*D36+D49*D157+D170*D62+D75*D183+D196*D88+D101*D209</f>
        <v>0</v>
      </c>
      <c r="E222" s="224">
        <f t="shared" si="151"/>
        <v>0</v>
      </c>
      <c r="F222" s="224">
        <f t="shared" si="151"/>
        <v>0</v>
      </c>
      <c r="G222" s="224">
        <f t="shared" si="151"/>
        <v>0</v>
      </c>
      <c r="H222" s="224">
        <f t="shared" si="151"/>
        <v>0</v>
      </c>
      <c r="I222" s="224">
        <f t="shared" si="151"/>
        <v>0</v>
      </c>
      <c r="J222" s="224">
        <f t="shared" si="151"/>
        <v>0</v>
      </c>
      <c r="K222" s="224">
        <f t="shared" si="151"/>
        <v>0</v>
      </c>
      <c r="L222" s="224">
        <f t="shared" si="151"/>
        <v>0</v>
      </c>
      <c r="M222" s="224">
        <f t="shared" si="151"/>
        <v>0</v>
      </c>
    </row>
    <row r="223" spans="2:13" ht="15">
      <c r="B223" s="725" t="s">
        <v>281</v>
      </c>
      <c r="C223" s="209">
        <v>0.2</v>
      </c>
      <c r="D223" s="224">
        <f t="shared" si="151"/>
        <v>0</v>
      </c>
      <c r="E223" s="224">
        <f t="shared" si="151"/>
        <v>0</v>
      </c>
      <c r="F223" s="224">
        <f t="shared" si="151"/>
        <v>0</v>
      </c>
      <c r="G223" s="224">
        <f t="shared" si="151"/>
        <v>0</v>
      </c>
      <c r="H223" s="224">
        <f t="shared" si="151"/>
        <v>0</v>
      </c>
      <c r="I223" s="224">
        <f t="shared" si="151"/>
        <v>0</v>
      </c>
      <c r="J223" s="224">
        <f t="shared" si="151"/>
        <v>0</v>
      </c>
      <c r="K223" s="224">
        <f t="shared" si="151"/>
        <v>0</v>
      </c>
      <c r="L223" s="224">
        <f t="shared" si="151"/>
        <v>0</v>
      </c>
      <c r="M223" s="224">
        <f t="shared" si="151"/>
        <v>0</v>
      </c>
    </row>
    <row r="224" spans="2:13" ht="15">
      <c r="B224" s="725"/>
      <c r="C224" s="209">
        <v>0.1</v>
      </c>
      <c r="D224" s="224">
        <f t="shared" si="151"/>
        <v>0</v>
      </c>
      <c r="E224" s="224">
        <f t="shared" si="151"/>
        <v>0</v>
      </c>
      <c r="F224" s="224">
        <f t="shared" si="151"/>
        <v>0</v>
      </c>
      <c r="G224" s="224">
        <f t="shared" si="151"/>
        <v>0</v>
      </c>
      <c r="H224" s="224">
        <f t="shared" si="151"/>
        <v>0</v>
      </c>
      <c r="I224" s="224">
        <f t="shared" si="151"/>
        <v>0</v>
      </c>
      <c r="J224" s="224">
        <f t="shared" si="151"/>
        <v>0</v>
      </c>
      <c r="K224" s="224">
        <f t="shared" si="151"/>
        <v>0</v>
      </c>
      <c r="L224" s="224">
        <f t="shared" si="151"/>
        <v>0</v>
      </c>
      <c r="M224" s="224">
        <f t="shared" si="151"/>
        <v>0</v>
      </c>
    </row>
    <row r="225" spans="2:13" ht="15">
      <c r="B225" s="725"/>
      <c r="C225" s="209">
        <v>0.04</v>
      </c>
      <c r="D225" s="224">
        <f t="shared" si="151"/>
        <v>0</v>
      </c>
      <c r="E225" s="224">
        <f t="shared" si="151"/>
        <v>0</v>
      </c>
      <c r="F225" s="224">
        <f t="shared" si="151"/>
        <v>0</v>
      </c>
      <c r="G225" s="224">
        <f t="shared" si="151"/>
        <v>0</v>
      </c>
      <c r="H225" s="224">
        <f t="shared" si="151"/>
        <v>0</v>
      </c>
      <c r="I225" s="224">
        <f t="shared" si="151"/>
        <v>0</v>
      </c>
      <c r="J225" s="224">
        <f t="shared" si="151"/>
        <v>0</v>
      </c>
      <c r="K225" s="224">
        <f t="shared" si="151"/>
        <v>0</v>
      </c>
      <c r="L225" s="224">
        <f t="shared" si="151"/>
        <v>0</v>
      </c>
      <c r="M225" s="224">
        <f t="shared" si="151"/>
        <v>0</v>
      </c>
    </row>
    <row r="226" spans="2:13" ht="15">
      <c r="B226" s="725"/>
      <c r="C226" s="209">
        <v>0.02</v>
      </c>
      <c r="D226" s="224">
        <f aca="true" t="shared" si="152" ref="D226:M226">D148*D40+D53*D161+D173*D66+D79*D174+D200*D92+D105*D213</f>
        <v>0</v>
      </c>
      <c r="E226" s="224">
        <f t="shared" si="152"/>
        <v>0</v>
      </c>
      <c r="F226" s="224">
        <f t="shared" si="152"/>
        <v>0</v>
      </c>
      <c r="G226" s="224">
        <f t="shared" si="152"/>
        <v>0</v>
      </c>
      <c r="H226" s="224">
        <f t="shared" si="152"/>
        <v>0</v>
      </c>
      <c r="I226" s="224">
        <f t="shared" si="152"/>
        <v>0</v>
      </c>
      <c r="J226" s="224">
        <f t="shared" si="152"/>
        <v>0</v>
      </c>
      <c r="K226" s="224">
        <f t="shared" si="152"/>
        <v>0</v>
      </c>
      <c r="L226" s="224">
        <f t="shared" si="152"/>
        <v>0</v>
      </c>
      <c r="M226" s="224">
        <f t="shared" si="152"/>
        <v>0</v>
      </c>
    </row>
    <row r="227" spans="2:13" ht="15">
      <c r="B227" s="725"/>
      <c r="C227" s="411">
        <v>0.0133</v>
      </c>
      <c r="D227" s="224">
        <f t="shared" si="151"/>
        <v>0</v>
      </c>
      <c r="E227" s="224">
        <f t="shared" si="151"/>
        <v>0</v>
      </c>
      <c r="F227" s="224">
        <f t="shared" si="151"/>
        <v>0</v>
      </c>
      <c r="G227" s="224">
        <f t="shared" si="151"/>
        <v>0</v>
      </c>
      <c r="H227" s="224">
        <f t="shared" si="151"/>
        <v>0</v>
      </c>
      <c r="I227" s="224">
        <f t="shared" si="151"/>
        <v>0</v>
      </c>
      <c r="J227" s="224">
        <f t="shared" si="151"/>
        <v>0</v>
      </c>
      <c r="K227" s="224">
        <f t="shared" si="151"/>
        <v>0</v>
      </c>
      <c r="L227" s="224">
        <f t="shared" si="151"/>
        <v>0</v>
      </c>
      <c r="M227" s="224">
        <f t="shared" si="151"/>
        <v>0</v>
      </c>
    </row>
    <row r="228" spans="2:13" ht="15">
      <c r="B228" s="725"/>
      <c r="C228" s="209">
        <v>0.01</v>
      </c>
      <c r="D228" s="224">
        <f t="shared" si="151"/>
        <v>0</v>
      </c>
      <c r="E228" s="224">
        <f t="shared" si="151"/>
        <v>0</v>
      </c>
      <c r="F228" s="224">
        <f t="shared" si="151"/>
        <v>0</v>
      </c>
      <c r="G228" s="224">
        <f t="shared" si="151"/>
        <v>0</v>
      </c>
      <c r="H228" s="224">
        <f t="shared" si="151"/>
        <v>0</v>
      </c>
      <c r="I228" s="224">
        <f t="shared" si="151"/>
        <v>0</v>
      </c>
      <c r="J228" s="224">
        <f t="shared" si="151"/>
        <v>0</v>
      </c>
      <c r="K228" s="224">
        <f t="shared" si="151"/>
        <v>0</v>
      </c>
      <c r="L228" s="224">
        <f t="shared" si="151"/>
        <v>0</v>
      </c>
      <c r="M228" s="224">
        <f t="shared" si="151"/>
        <v>0</v>
      </c>
    </row>
    <row r="229" spans="2:13" ht="15">
      <c r="B229" s="725"/>
      <c r="C229" s="210">
        <v>0.005</v>
      </c>
      <c r="D229" s="224">
        <f t="shared" si="151"/>
        <v>0</v>
      </c>
      <c r="E229" s="224">
        <f t="shared" si="151"/>
        <v>0</v>
      </c>
      <c r="F229" s="224">
        <f t="shared" si="151"/>
        <v>0</v>
      </c>
      <c r="G229" s="224">
        <f t="shared" si="151"/>
        <v>0</v>
      </c>
      <c r="H229" s="224">
        <f t="shared" si="151"/>
        <v>0</v>
      </c>
      <c r="I229" s="224">
        <f t="shared" si="151"/>
        <v>0</v>
      </c>
      <c r="J229" s="224">
        <f t="shared" si="151"/>
        <v>0</v>
      </c>
      <c r="K229" s="224">
        <f t="shared" si="151"/>
        <v>0</v>
      </c>
      <c r="L229" s="224">
        <f t="shared" si="151"/>
        <v>0</v>
      </c>
      <c r="M229" s="224">
        <f t="shared" si="151"/>
        <v>0</v>
      </c>
    </row>
    <row r="230" spans="2:13" ht="15">
      <c r="B230" s="725"/>
      <c r="C230" s="210">
        <v>0.001</v>
      </c>
      <c r="D230" s="224">
        <f t="shared" si="151"/>
        <v>0</v>
      </c>
      <c r="E230" s="224">
        <f t="shared" si="151"/>
        <v>0</v>
      </c>
      <c r="F230" s="224">
        <f t="shared" si="151"/>
        <v>0</v>
      </c>
      <c r="G230" s="224">
        <f t="shared" si="151"/>
        <v>0</v>
      </c>
      <c r="H230" s="224">
        <f t="shared" si="151"/>
        <v>0</v>
      </c>
      <c r="I230" s="224">
        <f t="shared" si="151"/>
        <v>0</v>
      </c>
      <c r="J230" s="224">
        <f t="shared" si="151"/>
        <v>0</v>
      </c>
      <c r="K230" s="224">
        <f t="shared" si="151"/>
        <v>0</v>
      </c>
      <c r="L230" s="224">
        <f t="shared" si="151"/>
        <v>0</v>
      </c>
      <c r="M230" s="224">
        <f t="shared" si="151"/>
        <v>0</v>
      </c>
    </row>
    <row r="231" ht="15.75" thickBot="1"/>
    <row r="232" spans="4:17" ht="16.5" thickBot="1" thickTop="1">
      <c r="D232" s="220" t="str">
        <f>IF(SUM(D221:M230)=0,"Enter number of heritage assets","Total annual impacts")</f>
        <v>Enter number of heritage assets</v>
      </c>
      <c r="E232" s="221"/>
      <c r="F232" s="222"/>
      <c r="G232" s="222"/>
      <c r="H232" s="222"/>
      <c r="I232" s="222"/>
      <c r="J232" s="222"/>
      <c r="K232" s="223">
        <f>SUM(D221:M230)</f>
        <v>0</v>
      </c>
      <c r="L232" s="412"/>
      <c r="M232" s="367" t="s">
        <v>804</v>
      </c>
      <c r="N232" s="718" t="s">
        <v>811</v>
      </c>
      <c r="O232" s="719"/>
      <c r="P232" s="719"/>
      <c r="Q232" s="720"/>
    </row>
    <row r="233" ht="15.75" thickTop="1"/>
  </sheetData>
  <sheetProtection sheet="1" objects="1" scenarios="1"/>
  <mergeCells count="25">
    <mergeCell ref="A155:C155"/>
    <mergeCell ref="B158:B165"/>
    <mergeCell ref="A168:C168"/>
    <mergeCell ref="B171:B178"/>
    <mergeCell ref="N232:Q232"/>
    <mergeCell ref="B210:B217"/>
    <mergeCell ref="A220:C220"/>
    <mergeCell ref="B223:B230"/>
    <mergeCell ref="A181:C181"/>
    <mergeCell ref="B184:B191"/>
    <mergeCell ref="A194:C194"/>
    <mergeCell ref="B197:B204"/>
    <mergeCell ref="A207:C207"/>
    <mergeCell ref="A142:C142"/>
    <mergeCell ref="E26:F26"/>
    <mergeCell ref="E27:F27"/>
    <mergeCell ref="E28:F28"/>
    <mergeCell ref="B145:B152"/>
    <mergeCell ref="C22:W22"/>
    <mergeCell ref="O112:Y112"/>
    <mergeCell ref="A123:C123"/>
    <mergeCell ref="L1:P1"/>
    <mergeCell ref="E29:F29"/>
    <mergeCell ref="E30:F30"/>
    <mergeCell ref="E31:F31"/>
  </mergeCells>
  <dataValidations count="2">
    <dataValidation type="list" allowBlank="1" showInputMessage="1" showErrorMessage="1" sqref="D112:M112">
      <formula1>"Permanent loss, One-off loss"</formula1>
    </dataValidation>
    <dataValidation type="list" allowBlank="1" showInputMessage="1" showErrorMessage="1" sqref="N232:Q232">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70"/>
  <headerFooter>
    <oddHeader>&amp;C&amp;A</oddHead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R17"/>
  <sheetViews>
    <sheetView workbookViewId="0" topLeftCell="A1"/>
  </sheetViews>
  <sheetFormatPr defaultColWidth="9.140625" defaultRowHeight="15"/>
  <cols>
    <col min="1" max="2" width="9.140625" style="161" customWidth="1"/>
    <col min="3" max="3" width="18.57421875" style="161" customWidth="1"/>
    <col min="4" max="4" width="10.140625" style="161" bestFit="1" customWidth="1"/>
    <col min="5" max="5" width="11.28125" style="161" customWidth="1"/>
    <col min="6" max="16384" width="9.140625" style="161" customWidth="1"/>
  </cols>
  <sheetData>
    <row r="1" spans="1:18" ht="15">
      <c r="A1" s="158" t="s">
        <v>373</v>
      </c>
      <c r="B1" s="156"/>
      <c r="C1" s="156"/>
      <c r="E1" s="157"/>
      <c r="F1" s="157" t="s">
        <v>260</v>
      </c>
      <c r="I1" s="741"/>
      <c r="J1" s="741"/>
      <c r="K1" s="215" t="s">
        <v>992</v>
      </c>
      <c r="L1" s="215">
        <v>17</v>
      </c>
      <c r="M1" s="215" t="s">
        <v>991</v>
      </c>
      <c r="N1" s="724"/>
      <c r="O1" s="724"/>
      <c r="P1" s="724"/>
      <c r="Q1" s="724"/>
      <c r="R1" s="724"/>
    </row>
    <row r="3" ht="15">
      <c r="C3" s="215" t="s">
        <v>248</v>
      </c>
    </row>
    <row r="5" spans="3:12" ht="15">
      <c r="C5" s="160" t="s">
        <v>249</v>
      </c>
      <c r="D5" s="587">
        <v>0.7</v>
      </c>
      <c r="E5" s="160" t="s">
        <v>450</v>
      </c>
      <c r="F5" s="160"/>
      <c r="G5" s="160"/>
      <c r="H5" s="160"/>
      <c r="I5" s="160"/>
      <c r="J5" s="160"/>
      <c r="K5" s="160"/>
      <c r="L5" s="160"/>
    </row>
    <row r="6" spans="3:12" ht="15">
      <c r="C6" s="160" t="s">
        <v>250</v>
      </c>
      <c r="D6" s="224">
        <f>'Summary of area'!C24</f>
        <v>0</v>
      </c>
      <c r="E6" s="160"/>
      <c r="F6" s="160"/>
      <c r="G6" s="160"/>
      <c r="H6" s="160"/>
      <c r="I6" s="160"/>
      <c r="J6" s="160"/>
      <c r="K6" s="160"/>
      <c r="L6" s="160"/>
    </row>
    <row r="7" spans="3:12" ht="15">
      <c r="C7" s="160" t="s">
        <v>215</v>
      </c>
      <c r="D7" s="570">
        <v>2.316</v>
      </c>
      <c r="E7" s="160" t="s">
        <v>251</v>
      </c>
      <c r="F7" s="160"/>
      <c r="G7" s="160"/>
      <c r="H7" s="160"/>
      <c r="I7" s="160"/>
      <c r="J7" s="160"/>
      <c r="K7" s="160"/>
      <c r="L7" s="160"/>
    </row>
    <row r="8" spans="3:12" ht="15.75" thickBot="1">
      <c r="C8" s="160"/>
      <c r="D8" s="160"/>
      <c r="E8" s="160" t="s">
        <v>252</v>
      </c>
      <c r="F8" s="160"/>
      <c r="G8" s="160"/>
      <c r="H8" s="160"/>
      <c r="I8" s="160"/>
      <c r="J8" s="160"/>
      <c r="K8" s="160"/>
      <c r="L8" s="160"/>
    </row>
    <row r="9" spans="3:9" ht="16.5" thickBot="1" thickTop="1">
      <c r="C9" s="240" t="str">
        <f>IF(D5&lt;&gt;"","Indirect benefits","Enter leakage")</f>
        <v>Indirect benefits</v>
      </c>
      <c r="D9" s="241">
        <f>D6*(1-D5)*D7</f>
        <v>0</v>
      </c>
      <c r="E9" s="367" t="s">
        <v>804</v>
      </c>
      <c r="F9" s="718" t="s">
        <v>811</v>
      </c>
      <c r="G9" s="719"/>
      <c r="H9" s="719"/>
      <c r="I9" s="720"/>
    </row>
    <row r="10" ht="15.75" thickTop="1"/>
    <row r="11" ht="15">
      <c r="C11" s="215" t="s">
        <v>451</v>
      </c>
    </row>
    <row r="12" spans="3:12" ht="15">
      <c r="C12" s="160" t="s">
        <v>250</v>
      </c>
      <c r="D12" s="224">
        <f>D6</f>
        <v>0</v>
      </c>
      <c r="E12" s="160"/>
      <c r="F12" s="160"/>
      <c r="G12" s="160"/>
      <c r="H12" s="160"/>
      <c r="I12" s="160"/>
      <c r="J12" s="160"/>
      <c r="K12" s="160"/>
      <c r="L12" s="160"/>
    </row>
    <row r="13" spans="3:12" ht="30">
      <c r="C13" s="229" t="s">
        <v>253</v>
      </c>
      <c r="D13" s="569">
        <v>85000</v>
      </c>
      <c r="E13" s="160" t="s">
        <v>254</v>
      </c>
      <c r="F13" s="160"/>
      <c r="G13" s="160"/>
      <c r="H13" s="160"/>
      <c r="I13" s="160"/>
      <c r="J13" s="160"/>
      <c r="K13" s="160"/>
      <c r="L13" s="160"/>
    </row>
    <row r="14" spans="3:12" ht="15.75" thickBot="1">
      <c r="C14" s="160"/>
      <c r="D14" s="160"/>
      <c r="E14" s="160" t="s">
        <v>255</v>
      </c>
      <c r="F14" s="160"/>
      <c r="G14" s="160"/>
      <c r="H14" s="160"/>
      <c r="I14" s="160"/>
      <c r="J14" s="160"/>
      <c r="K14" s="160"/>
      <c r="L14" s="160"/>
    </row>
    <row r="15" spans="3:9" ht="16.5" thickBot="1" thickTop="1">
      <c r="C15" s="160" t="str">
        <f>IF(D5&lt;&gt;"","Staff supported","Enter leakage")</f>
        <v>Staff supported</v>
      </c>
      <c r="D15" s="239">
        <f>(D12*(1-D5))/D13</f>
        <v>0</v>
      </c>
      <c r="E15" s="367" t="s">
        <v>804</v>
      </c>
      <c r="F15" s="718" t="s">
        <v>811</v>
      </c>
      <c r="G15" s="719"/>
      <c r="H15" s="719"/>
      <c r="I15" s="720"/>
    </row>
    <row r="16" ht="15.75" thickTop="1"/>
    <row r="17" ht="15">
      <c r="C17" s="161" t="s">
        <v>790</v>
      </c>
    </row>
  </sheetData>
  <sheetProtection sheet="1" objects="1" scenarios="1"/>
  <mergeCells count="4">
    <mergeCell ref="I1:J1"/>
    <mergeCell ref="F9:I9"/>
    <mergeCell ref="F15:I15"/>
    <mergeCell ref="N1:R1"/>
  </mergeCells>
  <dataValidations count="1">
    <dataValidation type="list" allowBlank="1" showInputMessage="1" showErrorMessage="1" sqref="F15:I15 F9:I9">
      <formula1>"High:  default values used throughout, Moderate:  some specific data included, Low:  specific data used throughout"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headerFooter>
    <oddHeader>&amp;C&amp;A</oddHead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85" zoomScaleNormal="85" workbookViewId="0" topLeftCell="A1">
      <pane ySplit="2" topLeftCell="A43" activePane="bottomLeft" state="frozen"/>
      <selection pane="topLeft" activeCell="G15" sqref="G15:AI114"/>
      <selection pane="bottomLeft" activeCell="G15" sqref="G15:AI114"/>
    </sheetView>
  </sheetViews>
  <sheetFormatPr defaultColWidth="9.140625" defaultRowHeight="15"/>
  <cols>
    <col min="1" max="2" width="27.28125" style="14" customWidth="1"/>
    <col min="3" max="3" width="9.140625" style="14" customWidth="1"/>
    <col min="4" max="4" width="27.140625" style="16" customWidth="1"/>
    <col min="5" max="5" width="18.00390625" style="17" customWidth="1"/>
    <col min="6" max="7" width="13.7109375" style="17" customWidth="1"/>
    <col min="8" max="9" width="14.00390625" style="17" customWidth="1"/>
    <col min="10" max="11" width="17.8515625" style="17" customWidth="1"/>
    <col min="12" max="16384" width="9.140625" style="16" customWidth="1"/>
  </cols>
  <sheetData>
    <row r="1" spans="1:4" ht="31.5" customHeight="1" thickBot="1">
      <c r="A1" s="14" t="s">
        <v>39</v>
      </c>
      <c r="B1" s="15" t="s">
        <v>72</v>
      </c>
      <c r="C1" s="15"/>
      <c r="D1" s="71"/>
    </row>
    <row r="2" spans="1:11" ht="37.5" customHeight="1">
      <c r="A2" s="1" t="s">
        <v>17</v>
      </c>
      <c r="B2" s="1" t="s">
        <v>18</v>
      </c>
      <c r="C2" s="8" t="s">
        <v>41</v>
      </c>
      <c r="D2" s="89" t="s">
        <v>144</v>
      </c>
      <c r="E2" s="17" t="s">
        <v>186</v>
      </c>
      <c r="F2" s="17" t="s">
        <v>187</v>
      </c>
      <c r="G2" s="17" t="s">
        <v>192</v>
      </c>
      <c r="H2" s="17" t="s">
        <v>188</v>
      </c>
      <c r="I2" s="17" t="s">
        <v>189</v>
      </c>
      <c r="J2" s="17" t="s">
        <v>172</v>
      </c>
      <c r="K2" s="17" t="s">
        <v>191</v>
      </c>
    </row>
    <row r="3" spans="1:3" ht="13.5" thickBot="1">
      <c r="A3" s="2"/>
      <c r="B3" s="2"/>
      <c r="C3" s="23" t="s">
        <v>42</v>
      </c>
    </row>
    <row r="4" spans="1:3" ht="26.25" thickBot="1">
      <c r="A4" s="3" t="s">
        <v>0</v>
      </c>
      <c r="B4" s="4"/>
      <c r="C4" s="4"/>
    </row>
    <row r="5" spans="1:12" s="61" customFormat="1" ht="25.5">
      <c r="A5" s="67" t="s">
        <v>1</v>
      </c>
      <c r="B5" s="68" t="s">
        <v>19</v>
      </c>
      <c r="C5" s="30" t="s">
        <v>52</v>
      </c>
      <c r="D5" s="61" t="s">
        <v>145</v>
      </c>
      <c r="E5" s="105"/>
      <c r="F5" s="105"/>
      <c r="G5" s="105"/>
      <c r="H5" s="105"/>
      <c r="I5" s="105"/>
      <c r="J5" s="105" t="s">
        <v>190</v>
      </c>
      <c r="K5" s="105"/>
      <c r="L5" s="14">
        <f>COUNTIF(E5:K5,"Y")</f>
        <v>1</v>
      </c>
    </row>
    <row r="6" spans="1:12" s="19" customFormat="1" ht="15">
      <c r="A6" s="39"/>
      <c r="B6" s="40"/>
      <c r="C6" s="55" t="s">
        <v>53</v>
      </c>
      <c r="D6" s="55"/>
      <c r="E6" s="57"/>
      <c r="F6" s="57"/>
      <c r="G6" s="57"/>
      <c r="H6" s="57"/>
      <c r="I6" s="57"/>
      <c r="J6" s="57"/>
      <c r="K6" s="57"/>
      <c r="L6" s="14">
        <f aca="true" t="shared" si="0" ref="L6:L71">COUNTIF(E6:K6,"Y")</f>
        <v>0</v>
      </c>
    </row>
    <row r="7" spans="1:12" s="62" customFormat="1" ht="13.5" thickBot="1">
      <c r="A7" s="41"/>
      <c r="B7" s="42"/>
      <c r="C7" s="58" t="s">
        <v>54</v>
      </c>
      <c r="D7" s="58"/>
      <c r="E7" s="60"/>
      <c r="F7" s="60"/>
      <c r="G7" s="60"/>
      <c r="H7" s="60"/>
      <c r="I7" s="60"/>
      <c r="J7" s="60"/>
      <c r="K7" s="60"/>
      <c r="L7" s="14">
        <f t="shared" si="0"/>
        <v>0</v>
      </c>
    </row>
    <row r="8" spans="1:12" s="61" customFormat="1" ht="25.5">
      <c r="A8" s="43" t="s">
        <v>216</v>
      </c>
      <c r="B8" s="38" t="s">
        <v>20</v>
      </c>
      <c r="C8" s="26" t="s">
        <v>52</v>
      </c>
      <c r="D8" s="61" t="s">
        <v>146</v>
      </c>
      <c r="E8" s="105" t="s">
        <v>190</v>
      </c>
      <c r="F8" s="105"/>
      <c r="G8" s="105"/>
      <c r="H8" s="105"/>
      <c r="I8" s="105"/>
      <c r="J8" s="105"/>
      <c r="K8" s="105"/>
      <c r="L8" s="14">
        <f t="shared" si="0"/>
        <v>1</v>
      </c>
    </row>
    <row r="9" spans="1:12" s="19" customFormat="1" ht="13.5" thickBot="1">
      <c r="A9" s="44"/>
      <c r="B9" s="44"/>
      <c r="C9" s="55" t="s">
        <v>53</v>
      </c>
      <c r="D9" s="58"/>
      <c r="E9" s="60"/>
      <c r="F9" s="60"/>
      <c r="G9" s="60"/>
      <c r="H9" s="60"/>
      <c r="I9" s="60"/>
      <c r="J9" s="60"/>
      <c r="K9" s="60"/>
      <c r="L9" s="14">
        <f t="shared" si="0"/>
        <v>0</v>
      </c>
    </row>
    <row r="10" spans="1:12" s="19" customFormat="1" ht="15">
      <c r="A10" s="44"/>
      <c r="B10" s="72"/>
      <c r="C10" s="24" t="s">
        <v>54</v>
      </c>
      <c r="D10" s="19" t="s">
        <v>147</v>
      </c>
      <c r="E10" s="106"/>
      <c r="F10" s="106"/>
      <c r="G10" s="106"/>
      <c r="H10" s="106"/>
      <c r="I10" s="106"/>
      <c r="J10" s="106" t="s">
        <v>190</v>
      </c>
      <c r="K10" s="106"/>
      <c r="L10" s="14">
        <f t="shared" si="0"/>
        <v>1</v>
      </c>
    </row>
    <row r="11" spans="1:12" s="19" customFormat="1" ht="15">
      <c r="A11" s="44"/>
      <c r="B11" s="45" t="s">
        <v>21</v>
      </c>
      <c r="C11" s="24" t="s">
        <v>52</v>
      </c>
      <c r="D11" s="19" t="s">
        <v>148</v>
      </c>
      <c r="E11" s="106"/>
      <c r="F11" s="106" t="s">
        <v>190</v>
      </c>
      <c r="G11" s="106"/>
      <c r="H11" s="106" t="s">
        <v>190</v>
      </c>
      <c r="I11" s="106"/>
      <c r="J11" s="106"/>
      <c r="K11" s="106"/>
      <c r="L11" s="14">
        <f t="shared" si="0"/>
        <v>2</v>
      </c>
    </row>
    <row r="12" spans="1:12" s="19" customFormat="1" ht="25.5">
      <c r="A12" s="44"/>
      <c r="B12" s="44"/>
      <c r="C12" s="24" t="s">
        <v>53</v>
      </c>
      <c r="D12" s="19" t="s">
        <v>149</v>
      </c>
      <c r="E12" s="106"/>
      <c r="F12" s="106" t="s">
        <v>190</v>
      </c>
      <c r="G12" s="106"/>
      <c r="H12" s="106"/>
      <c r="I12" s="106"/>
      <c r="J12" s="106"/>
      <c r="K12" s="106" t="s">
        <v>190</v>
      </c>
      <c r="L12" s="14">
        <f t="shared" si="0"/>
        <v>2</v>
      </c>
    </row>
    <row r="13" spans="1:12" s="19" customFormat="1" ht="38.25">
      <c r="A13" s="44"/>
      <c r="B13" s="72"/>
      <c r="C13" s="24" t="s">
        <v>54</v>
      </c>
      <c r="D13" s="19" t="s">
        <v>150</v>
      </c>
      <c r="E13" s="106"/>
      <c r="F13" s="106"/>
      <c r="G13" s="106"/>
      <c r="H13" s="106" t="s">
        <v>190</v>
      </c>
      <c r="I13" s="106"/>
      <c r="J13" s="106"/>
      <c r="K13" s="106" t="s">
        <v>190</v>
      </c>
      <c r="L13" s="14">
        <f t="shared" si="0"/>
        <v>2</v>
      </c>
    </row>
    <row r="14" spans="1:12" s="19" customFormat="1" ht="51">
      <c r="A14" s="44"/>
      <c r="B14" s="45" t="s">
        <v>22</v>
      </c>
      <c r="C14" s="24" t="s">
        <v>52</v>
      </c>
      <c r="D14" s="19" t="s">
        <v>151</v>
      </c>
      <c r="E14" s="106"/>
      <c r="F14" s="106"/>
      <c r="G14" s="106"/>
      <c r="H14" s="106" t="s">
        <v>190</v>
      </c>
      <c r="I14" s="106" t="s">
        <v>190</v>
      </c>
      <c r="J14" s="106"/>
      <c r="K14" s="106"/>
      <c r="L14" s="14">
        <f t="shared" si="0"/>
        <v>2</v>
      </c>
    </row>
    <row r="15" spans="1:12" s="19" customFormat="1" ht="15">
      <c r="A15" s="44"/>
      <c r="B15" s="44"/>
      <c r="C15" s="24" t="s">
        <v>53</v>
      </c>
      <c r="D15" s="19" t="s">
        <v>152</v>
      </c>
      <c r="E15" s="106" t="s">
        <v>190</v>
      </c>
      <c r="F15" s="106"/>
      <c r="G15" s="106"/>
      <c r="H15" s="106"/>
      <c r="I15" s="106"/>
      <c r="J15" s="106"/>
      <c r="K15" s="106"/>
      <c r="L15" s="14">
        <f t="shared" si="0"/>
        <v>1</v>
      </c>
    </row>
    <row r="16" spans="1:12" s="19" customFormat="1" ht="25.5">
      <c r="A16" s="44"/>
      <c r="B16" s="72"/>
      <c r="C16" s="24" t="s">
        <v>54</v>
      </c>
      <c r="D16" s="19" t="s">
        <v>153</v>
      </c>
      <c r="E16" s="106"/>
      <c r="F16" s="106"/>
      <c r="G16" s="106"/>
      <c r="H16" s="106"/>
      <c r="I16" s="106"/>
      <c r="J16" s="106" t="s">
        <v>190</v>
      </c>
      <c r="K16" s="106"/>
      <c r="L16" s="14">
        <f t="shared" si="0"/>
        <v>1</v>
      </c>
    </row>
    <row r="17" spans="1:12" s="19" customFormat="1" ht="38.25">
      <c r="A17" s="44"/>
      <c r="B17" s="45" t="s">
        <v>23</v>
      </c>
      <c r="C17" s="24" t="s">
        <v>52</v>
      </c>
      <c r="D17" s="19" t="s">
        <v>157</v>
      </c>
      <c r="E17" s="106"/>
      <c r="F17" s="106"/>
      <c r="G17" s="106"/>
      <c r="H17" s="106" t="s">
        <v>190</v>
      </c>
      <c r="I17" s="106" t="s">
        <v>190</v>
      </c>
      <c r="J17" s="106"/>
      <c r="K17" s="106"/>
      <c r="L17" s="14">
        <f t="shared" si="0"/>
        <v>2</v>
      </c>
    </row>
    <row r="18" spans="1:12" s="19" customFormat="1" ht="15">
      <c r="A18" s="44"/>
      <c r="B18" s="44"/>
      <c r="C18" s="24" t="s">
        <v>53</v>
      </c>
      <c r="D18" s="19" t="s">
        <v>158</v>
      </c>
      <c r="E18" s="106" t="s">
        <v>190</v>
      </c>
      <c r="F18" s="106" t="s">
        <v>190</v>
      </c>
      <c r="G18" s="106" t="s">
        <v>190</v>
      </c>
      <c r="H18" s="106" t="s">
        <v>190</v>
      </c>
      <c r="I18" s="106"/>
      <c r="J18" s="106"/>
      <c r="K18" s="106"/>
      <c r="L18" s="14">
        <f t="shared" si="0"/>
        <v>4</v>
      </c>
    </row>
    <row r="19" spans="1:12" s="19" customFormat="1" ht="25.5">
      <c r="A19" s="44"/>
      <c r="B19" s="72"/>
      <c r="C19" s="24" t="s">
        <v>54</v>
      </c>
      <c r="D19" s="19" t="s">
        <v>159</v>
      </c>
      <c r="E19" s="106"/>
      <c r="F19" s="106"/>
      <c r="G19" s="106"/>
      <c r="H19" s="106"/>
      <c r="I19" s="106"/>
      <c r="J19" s="106" t="s">
        <v>190</v>
      </c>
      <c r="K19" s="106" t="s">
        <v>190</v>
      </c>
      <c r="L19" s="14">
        <f t="shared" si="0"/>
        <v>2</v>
      </c>
    </row>
    <row r="20" spans="1:12" s="19" customFormat="1" ht="89.25">
      <c r="A20" s="44"/>
      <c r="B20" s="45" t="s">
        <v>71</v>
      </c>
      <c r="C20" s="24" t="s">
        <v>52</v>
      </c>
      <c r="D20" s="19" t="s">
        <v>154</v>
      </c>
      <c r="E20" s="106"/>
      <c r="F20" s="106"/>
      <c r="G20" s="106"/>
      <c r="H20" s="106"/>
      <c r="I20" s="106" t="s">
        <v>190</v>
      </c>
      <c r="J20" s="106"/>
      <c r="K20" s="106"/>
      <c r="L20" s="14">
        <f t="shared" si="0"/>
        <v>1</v>
      </c>
    </row>
    <row r="21" spans="1:12" s="19" customFormat="1" ht="15">
      <c r="A21" s="44"/>
      <c r="B21" s="44"/>
      <c r="C21" s="24" t="s">
        <v>53</v>
      </c>
      <c r="D21" s="19" t="s">
        <v>155</v>
      </c>
      <c r="E21" s="106" t="s">
        <v>190</v>
      </c>
      <c r="F21" s="106" t="s">
        <v>190</v>
      </c>
      <c r="G21" s="106" t="s">
        <v>190</v>
      </c>
      <c r="H21" s="106" t="s">
        <v>190</v>
      </c>
      <c r="I21" s="106"/>
      <c r="J21" s="106"/>
      <c r="K21" s="106"/>
      <c r="L21" s="14">
        <f t="shared" si="0"/>
        <v>4</v>
      </c>
    </row>
    <row r="22" spans="1:12" s="19" customFormat="1" ht="25.5">
      <c r="A22" s="44"/>
      <c r="B22" s="72"/>
      <c r="C22" s="24" t="s">
        <v>54</v>
      </c>
      <c r="D22" s="19" t="s">
        <v>156</v>
      </c>
      <c r="E22" s="106"/>
      <c r="F22" s="106"/>
      <c r="G22" s="106"/>
      <c r="H22" s="106"/>
      <c r="I22" s="106"/>
      <c r="J22" s="106" t="s">
        <v>190</v>
      </c>
      <c r="K22" s="106" t="s">
        <v>190</v>
      </c>
      <c r="L22" s="14">
        <f t="shared" si="0"/>
        <v>2</v>
      </c>
    </row>
    <row r="23" spans="1:12" s="19" customFormat="1" ht="38.25">
      <c r="A23" s="44"/>
      <c r="B23" s="45" t="s">
        <v>24</v>
      </c>
      <c r="C23" s="24" t="s">
        <v>52</v>
      </c>
      <c r="D23" s="19" t="s">
        <v>825</v>
      </c>
      <c r="E23" s="106"/>
      <c r="F23" s="106"/>
      <c r="G23" s="106"/>
      <c r="H23" s="106" t="s">
        <v>190</v>
      </c>
      <c r="I23" s="106" t="s">
        <v>190</v>
      </c>
      <c r="J23" s="106"/>
      <c r="K23" s="106"/>
      <c r="L23" s="14">
        <f t="shared" si="0"/>
        <v>2</v>
      </c>
    </row>
    <row r="24" spans="1:12" s="19" customFormat="1" ht="25.5">
      <c r="A24" s="383"/>
      <c r="B24" s="382"/>
      <c r="C24" s="24" t="s">
        <v>52</v>
      </c>
      <c r="D24" s="19" t="s">
        <v>826</v>
      </c>
      <c r="E24" s="106"/>
      <c r="F24" s="106"/>
      <c r="G24" s="106"/>
      <c r="H24" s="106"/>
      <c r="I24" s="106" t="s">
        <v>190</v>
      </c>
      <c r="J24" s="106"/>
      <c r="K24" s="106"/>
      <c r="L24" s="14">
        <f t="shared" si="0"/>
        <v>1</v>
      </c>
    </row>
    <row r="25" spans="1:12" s="19" customFormat="1" ht="15">
      <c r="A25" s="44"/>
      <c r="B25" s="44"/>
      <c r="C25" s="24" t="s">
        <v>53</v>
      </c>
      <c r="D25" s="19" t="s">
        <v>829</v>
      </c>
      <c r="E25" s="106" t="s">
        <v>190</v>
      </c>
      <c r="F25" s="106" t="s">
        <v>190</v>
      </c>
      <c r="G25" s="106" t="s">
        <v>190</v>
      </c>
      <c r="H25" s="106" t="s">
        <v>190</v>
      </c>
      <c r="I25" s="106"/>
      <c r="J25" s="106" t="s">
        <v>190</v>
      </c>
      <c r="K25" s="106"/>
      <c r="L25" s="14">
        <f t="shared" si="0"/>
        <v>5</v>
      </c>
    </row>
    <row r="26" spans="1:12" s="85" customFormat="1" ht="15">
      <c r="A26" s="386"/>
      <c r="B26" s="386"/>
      <c r="C26" s="24" t="s">
        <v>53</v>
      </c>
      <c r="D26" s="19" t="s">
        <v>830</v>
      </c>
      <c r="E26" s="106" t="s">
        <v>190</v>
      </c>
      <c r="F26" s="106" t="s">
        <v>190</v>
      </c>
      <c r="G26" s="106" t="s">
        <v>190</v>
      </c>
      <c r="H26" s="106" t="s">
        <v>190</v>
      </c>
      <c r="I26" s="106"/>
      <c r="J26" s="106" t="s">
        <v>190</v>
      </c>
      <c r="K26" s="106"/>
      <c r="L26" s="14">
        <f t="shared" si="0"/>
        <v>5</v>
      </c>
    </row>
    <row r="27" spans="1:12" s="62" customFormat="1" ht="26.25" thickBot="1">
      <c r="A27" s="73"/>
      <c r="B27" s="73"/>
      <c r="C27" s="28" t="s">
        <v>54</v>
      </c>
      <c r="D27" s="62" t="s">
        <v>161</v>
      </c>
      <c r="E27" s="107"/>
      <c r="F27" s="107"/>
      <c r="G27" s="107"/>
      <c r="H27" s="107"/>
      <c r="I27" s="107"/>
      <c r="J27" s="107" t="s">
        <v>190</v>
      </c>
      <c r="K27" s="107" t="s">
        <v>190</v>
      </c>
      <c r="L27" s="14">
        <f t="shared" si="0"/>
        <v>2</v>
      </c>
    </row>
    <row r="28" spans="1:12" s="61" customFormat="1" ht="25.5">
      <c r="A28" s="46" t="s">
        <v>40</v>
      </c>
      <c r="B28" s="68" t="s">
        <v>25</v>
      </c>
      <c r="C28" s="30" t="s">
        <v>52</v>
      </c>
      <c r="D28" s="61" t="s">
        <v>162</v>
      </c>
      <c r="E28" s="105" t="s">
        <v>190</v>
      </c>
      <c r="F28" s="105"/>
      <c r="G28" s="105"/>
      <c r="H28" s="105"/>
      <c r="I28" s="105"/>
      <c r="J28" s="105" t="s">
        <v>190</v>
      </c>
      <c r="K28" s="105"/>
      <c r="L28" s="14">
        <f t="shared" si="0"/>
        <v>2</v>
      </c>
    </row>
    <row r="29" spans="1:12" s="19" customFormat="1" ht="15">
      <c r="A29" s="47"/>
      <c r="B29" s="74"/>
      <c r="C29" s="20" t="s">
        <v>53</v>
      </c>
      <c r="D29" s="19" t="s">
        <v>163</v>
      </c>
      <c r="E29" s="106"/>
      <c r="F29" s="106"/>
      <c r="G29" s="106" t="s">
        <v>190</v>
      </c>
      <c r="H29" s="106"/>
      <c r="I29" s="106"/>
      <c r="J29" s="106"/>
      <c r="K29" s="106"/>
      <c r="L29" s="14">
        <f t="shared" si="0"/>
        <v>1</v>
      </c>
    </row>
    <row r="30" spans="1:12" s="62" customFormat="1" ht="39" thickBot="1">
      <c r="A30" s="48"/>
      <c r="B30" s="75"/>
      <c r="C30" s="32" t="s">
        <v>54</v>
      </c>
      <c r="D30" s="62" t="s">
        <v>164</v>
      </c>
      <c r="E30" s="107"/>
      <c r="F30" s="107"/>
      <c r="G30" s="107"/>
      <c r="H30" s="107" t="s">
        <v>190</v>
      </c>
      <c r="I30" s="107"/>
      <c r="J30" s="107" t="s">
        <v>190</v>
      </c>
      <c r="K30" s="107"/>
      <c r="L30" s="14">
        <f t="shared" si="0"/>
        <v>2</v>
      </c>
    </row>
    <row r="31" spans="1:12" s="61" customFormat="1" ht="25.5">
      <c r="A31" s="611" t="s">
        <v>3</v>
      </c>
      <c r="B31" s="614" t="s">
        <v>26</v>
      </c>
      <c r="C31" s="30" t="s">
        <v>52</v>
      </c>
      <c r="D31" s="61" t="s">
        <v>165</v>
      </c>
      <c r="E31" s="105" t="s">
        <v>190</v>
      </c>
      <c r="F31" s="105" t="s">
        <v>190</v>
      </c>
      <c r="G31" s="105" t="s">
        <v>190</v>
      </c>
      <c r="H31" s="105" t="s">
        <v>190</v>
      </c>
      <c r="I31" s="105"/>
      <c r="J31" s="105"/>
      <c r="K31" s="105"/>
      <c r="L31" s="14">
        <f t="shared" si="0"/>
        <v>4</v>
      </c>
    </row>
    <row r="32" spans="1:12" s="19" customFormat="1" ht="13.5" thickBot="1">
      <c r="A32" s="612"/>
      <c r="B32" s="615"/>
      <c r="C32" s="55" t="s">
        <v>53</v>
      </c>
      <c r="D32" s="58"/>
      <c r="E32" s="60"/>
      <c r="F32" s="60"/>
      <c r="G32" s="60"/>
      <c r="H32" s="60"/>
      <c r="I32" s="60"/>
      <c r="J32" s="60"/>
      <c r="K32" s="60"/>
      <c r="L32" s="14">
        <f t="shared" si="0"/>
        <v>0</v>
      </c>
    </row>
    <row r="33" spans="1:12" s="62" customFormat="1" ht="13.5" thickBot="1">
      <c r="A33" s="613"/>
      <c r="B33" s="616"/>
      <c r="C33" s="58" t="s">
        <v>54</v>
      </c>
      <c r="D33" s="58"/>
      <c r="E33" s="60"/>
      <c r="F33" s="60"/>
      <c r="G33" s="60"/>
      <c r="H33" s="60"/>
      <c r="I33" s="60"/>
      <c r="J33" s="60"/>
      <c r="K33" s="60"/>
      <c r="L33" s="14">
        <f t="shared" si="0"/>
        <v>0</v>
      </c>
    </row>
    <row r="34" spans="1:12" ht="26.25" thickBot="1">
      <c r="A34" s="3" t="s">
        <v>4</v>
      </c>
      <c r="B34" s="4"/>
      <c r="C34" s="4"/>
      <c r="L34" s="14">
        <f t="shared" si="0"/>
        <v>0</v>
      </c>
    </row>
    <row r="35" spans="1:12" s="61" customFormat="1" ht="25.5">
      <c r="A35" s="37" t="s">
        <v>5</v>
      </c>
      <c r="B35" s="38" t="s">
        <v>27</v>
      </c>
      <c r="C35" s="26" t="s">
        <v>52</v>
      </c>
      <c r="D35" s="61" t="s">
        <v>163</v>
      </c>
      <c r="E35" s="105"/>
      <c r="F35" s="105"/>
      <c r="G35" s="105" t="s">
        <v>190</v>
      </c>
      <c r="H35" s="105"/>
      <c r="I35" s="105"/>
      <c r="J35" s="105"/>
      <c r="K35" s="105"/>
      <c r="L35" s="14">
        <f t="shared" si="0"/>
        <v>1</v>
      </c>
    </row>
    <row r="36" spans="1:12" s="19" customFormat="1" ht="15">
      <c r="A36" s="76"/>
      <c r="B36" s="44"/>
      <c r="C36" s="24" t="s">
        <v>53</v>
      </c>
      <c r="D36" s="19" t="s">
        <v>166</v>
      </c>
      <c r="E36" s="106" t="s">
        <v>190</v>
      </c>
      <c r="F36" s="106"/>
      <c r="G36" s="106"/>
      <c r="H36" s="106"/>
      <c r="I36" s="106"/>
      <c r="J36" s="106" t="s">
        <v>190</v>
      </c>
      <c r="K36" s="106"/>
      <c r="L36" s="14">
        <f t="shared" si="0"/>
        <v>2</v>
      </c>
    </row>
    <row r="37" spans="1:12" s="62" customFormat="1" ht="13.5" thickBot="1">
      <c r="A37" s="77"/>
      <c r="B37" s="73"/>
      <c r="C37" s="28" t="s">
        <v>54</v>
      </c>
      <c r="D37" s="326" t="s">
        <v>697</v>
      </c>
      <c r="E37" s="327"/>
      <c r="F37" s="327"/>
      <c r="G37" s="327"/>
      <c r="H37" s="327"/>
      <c r="I37" s="327"/>
      <c r="J37" s="327" t="s">
        <v>190</v>
      </c>
      <c r="K37" s="327"/>
      <c r="L37" s="14">
        <f t="shared" si="0"/>
        <v>1</v>
      </c>
    </row>
    <row r="38" spans="1:12" s="61" customFormat="1" ht="38.25">
      <c r="A38" s="67" t="s">
        <v>6</v>
      </c>
      <c r="B38" s="68" t="s">
        <v>28</v>
      </c>
      <c r="C38" s="30" t="s">
        <v>52</v>
      </c>
      <c r="D38" s="61" t="s">
        <v>167</v>
      </c>
      <c r="E38" s="105" t="s">
        <v>190</v>
      </c>
      <c r="F38" s="105"/>
      <c r="G38" s="105" t="s">
        <v>190</v>
      </c>
      <c r="H38" s="105"/>
      <c r="I38" s="105"/>
      <c r="J38" s="105" t="s">
        <v>190</v>
      </c>
      <c r="K38" s="105"/>
      <c r="L38" s="14">
        <f t="shared" si="0"/>
        <v>3</v>
      </c>
    </row>
    <row r="39" spans="1:12" s="19" customFormat="1" ht="13.5" thickBot="1">
      <c r="A39" s="47"/>
      <c r="B39" s="74"/>
      <c r="C39" s="55" t="s">
        <v>53</v>
      </c>
      <c r="D39" s="58"/>
      <c r="E39" s="60"/>
      <c r="F39" s="60"/>
      <c r="G39" s="60"/>
      <c r="H39" s="60"/>
      <c r="I39" s="60"/>
      <c r="J39" s="60"/>
      <c r="K39" s="60"/>
      <c r="L39" s="14">
        <f t="shared" si="0"/>
        <v>0</v>
      </c>
    </row>
    <row r="40" spans="1:12" s="62" customFormat="1" ht="13.5" thickBot="1">
      <c r="A40" s="48"/>
      <c r="B40" s="75"/>
      <c r="C40" s="58" t="s">
        <v>54</v>
      </c>
      <c r="D40" s="58"/>
      <c r="E40" s="60"/>
      <c r="F40" s="60"/>
      <c r="G40" s="60"/>
      <c r="H40" s="60"/>
      <c r="I40" s="60"/>
      <c r="J40" s="60"/>
      <c r="K40" s="60"/>
      <c r="L40" s="14">
        <f t="shared" si="0"/>
        <v>0</v>
      </c>
    </row>
    <row r="41" spans="1:12" s="61" customFormat="1" ht="25.5">
      <c r="A41" s="67" t="s">
        <v>43</v>
      </c>
      <c r="B41" s="68" t="s">
        <v>44</v>
      </c>
      <c r="C41" s="30" t="s">
        <v>52</v>
      </c>
      <c r="D41" s="61" t="s">
        <v>168</v>
      </c>
      <c r="E41" s="105"/>
      <c r="F41" s="105"/>
      <c r="G41" s="105"/>
      <c r="H41" s="105"/>
      <c r="I41" s="105" t="s">
        <v>190</v>
      </c>
      <c r="J41" s="105"/>
      <c r="K41" s="105"/>
      <c r="L41" s="14">
        <f t="shared" si="0"/>
        <v>1</v>
      </c>
    </row>
    <row r="42" spans="1:12" s="19" customFormat="1" ht="15">
      <c r="A42" s="47"/>
      <c r="B42" s="74"/>
      <c r="C42" s="20" t="s">
        <v>53</v>
      </c>
      <c r="D42" s="19" t="s">
        <v>169</v>
      </c>
      <c r="E42" s="106" t="s">
        <v>190</v>
      </c>
      <c r="F42" s="106" t="s">
        <v>190</v>
      </c>
      <c r="G42" s="106" t="s">
        <v>190</v>
      </c>
      <c r="H42" s="106" t="s">
        <v>190</v>
      </c>
      <c r="I42" s="106"/>
      <c r="J42" s="106" t="s">
        <v>190</v>
      </c>
      <c r="K42" s="106" t="s">
        <v>190</v>
      </c>
      <c r="L42" s="14">
        <f t="shared" si="0"/>
        <v>6</v>
      </c>
    </row>
    <row r="43" spans="1:12" s="62" customFormat="1" ht="13.5" thickBot="1">
      <c r="A43" s="48"/>
      <c r="B43" s="75"/>
      <c r="C43" s="58" t="s">
        <v>54</v>
      </c>
      <c r="D43" s="58"/>
      <c r="E43" s="60"/>
      <c r="F43" s="60"/>
      <c r="G43" s="60"/>
      <c r="H43" s="60"/>
      <c r="I43" s="60"/>
      <c r="J43" s="60"/>
      <c r="K43" s="60"/>
      <c r="L43" s="14">
        <f t="shared" si="0"/>
        <v>0</v>
      </c>
    </row>
    <row r="44" spans="1:12" s="61" customFormat="1" ht="88.5" customHeight="1">
      <c r="A44" s="46" t="s">
        <v>7</v>
      </c>
      <c r="B44" s="68" t="s">
        <v>64</v>
      </c>
      <c r="C44" s="30" t="s">
        <v>52</v>
      </c>
      <c r="D44" s="61" t="s">
        <v>170</v>
      </c>
      <c r="E44" s="105"/>
      <c r="F44" s="105"/>
      <c r="G44" s="105" t="s">
        <v>190</v>
      </c>
      <c r="H44" s="105"/>
      <c r="I44" s="105"/>
      <c r="J44" s="105"/>
      <c r="K44" s="105"/>
      <c r="L44" s="14">
        <f t="shared" si="0"/>
        <v>1</v>
      </c>
    </row>
    <row r="45" spans="1:12" s="19" customFormat="1" ht="15">
      <c r="A45" s="47"/>
      <c r="B45" s="74"/>
      <c r="C45" s="20" t="s">
        <v>53</v>
      </c>
      <c r="D45" s="19" t="s">
        <v>166</v>
      </c>
      <c r="E45" s="106" t="s">
        <v>190</v>
      </c>
      <c r="F45" s="106" t="s">
        <v>190</v>
      </c>
      <c r="G45" s="106"/>
      <c r="H45" s="106" t="s">
        <v>190</v>
      </c>
      <c r="I45" s="106"/>
      <c r="J45" s="106" t="s">
        <v>190</v>
      </c>
      <c r="K45" s="106" t="s">
        <v>190</v>
      </c>
      <c r="L45" s="14">
        <f t="shared" si="0"/>
        <v>5</v>
      </c>
    </row>
    <row r="46" spans="1:12" s="62" customFormat="1" ht="13.5" thickBot="1">
      <c r="A46" s="48"/>
      <c r="B46" s="75"/>
      <c r="C46" s="58" t="s">
        <v>54</v>
      </c>
      <c r="D46" s="58"/>
      <c r="E46" s="60"/>
      <c r="F46" s="60"/>
      <c r="G46" s="60"/>
      <c r="H46" s="60"/>
      <c r="I46" s="60"/>
      <c r="J46" s="60"/>
      <c r="K46" s="60"/>
      <c r="L46" s="14">
        <f t="shared" si="0"/>
        <v>0</v>
      </c>
    </row>
    <row r="47" spans="1:12" s="61" customFormat="1" ht="409.5" customHeight="1">
      <c r="A47" s="37" t="s">
        <v>2</v>
      </c>
      <c r="B47" s="38" t="s">
        <v>65</v>
      </c>
      <c r="C47" s="26" t="s">
        <v>52</v>
      </c>
      <c r="D47" s="61" t="s">
        <v>171</v>
      </c>
      <c r="E47" s="105" t="s">
        <v>190</v>
      </c>
      <c r="F47" s="105"/>
      <c r="G47" s="105"/>
      <c r="H47" s="105" t="s">
        <v>190</v>
      </c>
      <c r="I47" s="105"/>
      <c r="J47" s="105"/>
      <c r="K47" s="105"/>
      <c r="L47" s="14">
        <f>COUNTIF(E47:K49,"Y")</f>
        <v>4</v>
      </c>
    </row>
    <row r="48" spans="1:12" s="19" customFormat="1" ht="15">
      <c r="A48" s="49"/>
      <c r="B48" s="44"/>
      <c r="C48" s="24" t="s">
        <v>53</v>
      </c>
      <c r="D48" s="19" t="s">
        <v>163</v>
      </c>
      <c r="E48" s="106"/>
      <c r="F48" s="106"/>
      <c r="G48" s="106" t="s">
        <v>190</v>
      </c>
      <c r="H48" s="106"/>
      <c r="I48" s="106"/>
      <c r="J48" s="106"/>
      <c r="K48" s="106"/>
      <c r="L48" s="14">
        <f t="shared" si="0"/>
        <v>1</v>
      </c>
    </row>
    <row r="49" spans="1:12" s="62" customFormat="1" ht="13.5" thickBot="1">
      <c r="A49" s="50"/>
      <c r="B49" s="73"/>
      <c r="C49" s="28" t="s">
        <v>54</v>
      </c>
      <c r="D49" s="62" t="s">
        <v>172</v>
      </c>
      <c r="E49" s="107"/>
      <c r="F49" s="107"/>
      <c r="G49" s="107"/>
      <c r="H49" s="107"/>
      <c r="I49" s="107"/>
      <c r="J49" s="107" t="s">
        <v>190</v>
      </c>
      <c r="K49" s="107"/>
      <c r="L49" s="14">
        <f t="shared" si="0"/>
        <v>1</v>
      </c>
    </row>
    <row r="50" spans="1:12" s="61" customFormat="1" ht="25.5">
      <c r="A50" s="67" t="s">
        <v>69</v>
      </c>
      <c r="B50" s="68" t="s">
        <v>29</v>
      </c>
      <c r="C50" s="30" t="s">
        <v>52</v>
      </c>
      <c r="D50" s="61" t="s">
        <v>173</v>
      </c>
      <c r="E50" s="105"/>
      <c r="F50" s="105" t="s">
        <v>190</v>
      </c>
      <c r="G50" s="105" t="s">
        <v>190</v>
      </c>
      <c r="H50" s="105"/>
      <c r="I50" s="105" t="s">
        <v>190</v>
      </c>
      <c r="J50" s="105"/>
      <c r="K50" s="105"/>
      <c r="L50" s="14">
        <f t="shared" si="0"/>
        <v>3</v>
      </c>
    </row>
    <row r="51" spans="1:12" s="19" customFormat="1" ht="15">
      <c r="A51" s="47"/>
      <c r="B51" s="74"/>
      <c r="C51" s="20" t="s">
        <v>53</v>
      </c>
      <c r="D51" s="19" t="s">
        <v>174</v>
      </c>
      <c r="E51" s="106" t="s">
        <v>190</v>
      </c>
      <c r="F51" s="106" t="s">
        <v>190</v>
      </c>
      <c r="G51" s="106" t="s">
        <v>190</v>
      </c>
      <c r="H51" s="106" t="s">
        <v>190</v>
      </c>
      <c r="I51" s="106"/>
      <c r="J51" s="106" t="s">
        <v>190</v>
      </c>
      <c r="K51" s="106" t="s">
        <v>190</v>
      </c>
      <c r="L51" s="14">
        <f t="shared" si="0"/>
        <v>6</v>
      </c>
    </row>
    <row r="52" spans="1:12" s="62" customFormat="1" ht="13.5" thickBot="1">
      <c r="A52" s="48"/>
      <c r="B52" s="75"/>
      <c r="C52" s="58" t="s">
        <v>54</v>
      </c>
      <c r="D52" s="58"/>
      <c r="E52" s="60"/>
      <c r="F52" s="60"/>
      <c r="G52" s="60"/>
      <c r="H52" s="60"/>
      <c r="I52" s="60"/>
      <c r="J52" s="60"/>
      <c r="K52" s="60"/>
      <c r="L52" s="14">
        <f t="shared" si="0"/>
        <v>0</v>
      </c>
    </row>
    <row r="53" spans="1:12" ht="26.25" thickBot="1">
      <c r="A53" s="3" t="s">
        <v>8</v>
      </c>
      <c r="B53" s="4"/>
      <c r="C53" s="4"/>
      <c r="L53" s="14">
        <f t="shared" si="0"/>
        <v>0</v>
      </c>
    </row>
    <row r="54" spans="1:12" s="61" customFormat="1" ht="38.25">
      <c r="A54" s="37" t="s">
        <v>9</v>
      </c>
      <c r="B54" s="38" t="s">
        <v>30</v>
      </c>
      <c r="C54" s="26" t="s">
        <v>52</v>
      </c>
      <c r="D54" s="61" t="s">
        <v>175</v>
      </c>
      <c r="E54" s="105" t="s">
        <v>190</v>
      </c>
      <c r="F54" s="105"/>
      <c r="G54" s="105"/>
      <c r="H54" s="105"/>
      <c r="I54" s="105"/>
      <c r="J54" s="105"/>
      <c r="K54" s="105"/>
      <c r="L54" s="14">
        <f t="shared" si="0"/>
        <v>1</v>
      </c>
    </row>
    <row r="55" spans="1:12" s="19" customFormat="1" ht="13.5" thickBot="1">
      <c r="A55" s="76"/>
      <c r="B55" s="44"/>
      <c r="C55" s="55" t="s">
        <v>53</v>
      </c>
      <c r="D55" s="58"/>
      <c r="E55" s="60"/>
      <c r="F55" s="60"/>
      <c r="G55" s="60"/>
      <c r="H55" s="60"/>
      <c r="I55" s="60"/>
      <c r="J55" s="60"/>
      <c r="K55" s="60"/>
      <c r="L55" s="14">
        <f t="shared" si="0"/>
        <v>0</v>
      </c>
    </row>
    <row r="56" spans="1:12" s="62" customFormat="1" ht="26.25" thickBot="1">
      <c r="A56" s="77"/>
      <c r="B56" s="73"/>
      <c r="C56" s="28" t="s">
        <v>54</v>
      </c>
      <c r="D56" s="62" t="s">
        <v>176</v>
      </c>
      <c r="E56" s="107"/>
      <c r="F56" s="107"/>
      <c r="G56" s="107"/>
      <c r="H56" s="107" t="s">
        <v>190</v>
      </c>
      <c r="I56" s="107"/>
      <c r="J56" s="107" t="s">
        <v>190</v>
      </c>
      <c r="K56" s="107"/>
      <c r="L56" s="14">
        <f t="shared" si="0"/>
        <v>2</v>
      </c>
    </row>
    <row r="57" spans="1:12" s="61" customFormat="1" ht="63.75">
      <c r="A57" s="37" t="s">
        <v>10</v>
      </c>
      <c r="B57" s="38" t="s">
        <v>66</v>
      </c>
      <c r="C57" s="26" t="s">
        <v>52</v>
      </c>
      <c r="D57" s="61" t="s">
        <v>177</v>
      </c>
      <c r="E57" s="105" t="s">
        <v>190</v>
      </c>
      <c r="F57" s="105"/>
      <c r="G57" s="105"/>
      <c r="H57" s="105"/>
      <c r="I57" s="105"/>
      <c r="J57" s="105"/>
      <c r="K57" s="105"/>
      <c r="L57" s="14">
        <f t="shared" si="0"/>
        <v>1</v>
      </c>
    </row>
    <row r="58" spans="1:12" s="19" customFormat="1" ht="13.5" thickBot="1">
      <c r="A58" s="49"/>
      <c r="B58" s="44"/>
      <c r="C58" s="55" t="s">
        <v>53</v>
      </c>
      <c r="D58" s="58"/>
      <c r="E58" s="60"/>
      <c r="F58" s="60"/>
      <c r="G58" s="60"/>
      <c r="H58" s="60"/>
      <c r="I58" s="60"/>
      <c r="J58" s="60"/>
      <c r="K58" s="60"/>
      <c r="L58" s="14">
        <f t="shared" si="0"/>
        <v>0</v>
      </c>
    </row>
    <row r="59" spans="1:12" s="62" customFormat="1" ht="13.5" thickBot="1">
      <c r="A59" s="50"/>
      <c r="B59" s="73"/>
      <c r="C59" s="58" t="s">
        <v>54</v>
      </c>
      <c r="D59" s="58"/>
      <c r="E59" s="60"/>
      <c r="F59" s="60"/>
      <c r="G59" s="60"/>
      <c r="H59" s="60"/>
      <c r="I59" s="60"/>
      <c r="J59" s="60"/>
      <c r="K59" s="60"/>
      <c r="L59" s="14">
        <f t="shared" si="0"/>
        <v>0</v>
      </c>
    </row>
    <row r="60" spans="1:12" s="61" customFormat="1" ht="38.25">
      <c r="A60" s="51" t="s">
        <v>11</v>
      </c>
      <c r="B60" s="38" t="s">
        <v>31</v>
      </c>
      <c r="C60" s="26" t="s">
        <v>52</v>
      </c>
      <c r="D60" s="61" t="s">
        <v>178</v>
      </c>
      <c r="E60" s="105" t="s">
        <v>190</v>
      </c>
      <c r="F60" s="105" t="s">
        <v>190</v>
      </c>
      <c r="G60" s="105" t="s">
        <v>190</v>
      </c>
      <c r="H60" s="105" t="s">
        <v>190</v>
      </c>
      <c r="I60" s="105" t="s">
        <v>190</v>
      </c>
      <c r="J60" s="105"/>
      <c r="K60" s="105"/>
      <c r="L60" s="14">
        <f t="shared" si="0"/>
        <v>5</v>
      </c>
    </row>
    <row r="61" spans="1:12" s="19" customFormat="1" ht="13.5" thickBot="1">
      <c r="A61" s="76"/>
      <c r="B61" s="44"/>
      <c r="C61" s="55" t="s">
        <v>53</v>
      </c>
      <c r="D61" s="58"/>
      <c r="E61" s="60"/>
      <c r="F61" s="60"/>
      <c r="G61" s="60"/>
      <c r="H61" s="60"/>
      <c r="I61" s="60"/>
      <c r="J61" s="60"/>
      <c r="K61" s="60"/>
      <c r="L61" s="14">
        <f t="shared" si="0"/>
        <v>0</v>
      </c>
    </row>
    <row r="62" spans="1:12" s="62" customFormat="1" ht="13.5" thickBot="1">
      <c r="A62" s="77"/>
      <c r="B62" s="73"/>
      <c r="C62" s="58" t="s">
        <v>54</v>
      </c>
      <c r="D62" s="58"/>
      <c r="E62" s="60"/>
      <c r="F62" s="60"/>
      <c r="G62" s="60"/>
      <c r="H62" s="60"/>
      <c r="I62" s="60"/>
      <c r="J62" s="60"/>
      <c r="K62" s="60"/>
      <c r="L62" s="14">
        <f t="shared" si="0"/>
        <v>0</v>
      </c>
    </row>
    <row r="63" spans="1:12" s="61" customFormat="1" ht="25.5">
      <c r="A63" s="37" t="s">
        <v>12</v>
      </c>
      <c r="B63" s="38" t="s">
        <v>32</v>
      </c>
      <c r="C63" s="26" t="s">
        <v>52</v>
      </c>
      <c r="D63" s="61" t="s">
        <v>179</v>
      </c>
      <c r="E63" s="105" t="s">
        <v>190</v>
      </c>
      <c r="F63" s="105"/>
      <c r="G63" s="105"/>
      <c r="H63" s="105"/>
      <c r="I63" s="105"/>
      <c r="J63" s="105" t="s">
        <v>190</v>
      </c>
      <c r="K63" s="105"/>
      <c r="L63" s="14">
        <f t="shared" si="0"/>
        <v>2</v>
      </c>
    </row>
    <row r="64" spans="1:12" s="19" customFormat="1" ht="13.5" thickBot="1">
      <c r="A64" s="76"/>
      <c r="B64" s="44"/>
      <c r="C64" s="55" t="s">
        <v>53</v>
      </c>
      <c r="D64" s="58"/>
      <c r="E64" s="60"/>
      <c r="F64" s="60"/>
      <c r="G64" s="60"/>
      <c r="H64" s="60"/>
      <c r="I64" s="60"/>
      <c r="J64" s="60"/>
      <c r="K64" s="60"/>
      <c r="L64" s="14">
        <f t="shared" si="0"/>
        <v>0</v>
      </c>
    </row>
    <row r="65" spans="1:12" s="62" customFormat="1" ht="13.5" thickBot="1">
      <c r="A65" s="77"/>
      <c r="B65" s="73"/>
      <c r="C65" s="58" t="s">
        <v>54</v>
      </c>
      <c r="D65" s="58"/>
      <c r="E65" s="60"/>
      <c r="F65" s="60"/>
      <c r="G65" s="60"/>
      <c r="H65" s="60"/>
      <c r="I65" s="60"/>
      <c r="J65" s="60"/>
      <c r="K65" s="60"/>
      <c r="L65" s="14">
        <f t="shared" si="0"/>
        <v>0</v>
      </c>
    </row>
    <row r="66" spans="1:12" s="61" customFormat="1" ht="38.25">
      <c r="A66" s="67" t="s">
        <v>13</v>
      </c>
      <c r="B66" s="68" t="s">
        <v>33</v>
      </c>
      <c r="C66" s="30" t="s">
        <v>52</v>
      </c>
      <c r="D66" s="61" t="s">
        <v>179</v>
      </c>
      <c r="E66" s="105" t="s">
        <v>190</v>
      </c>
      <c r="F66" s="105"/>
      <c r="G66" s="105"/>
      <c r="H66" s="105"/>
      <c r="I66" s="105"/>
      <c r="J66" s="105" t="s">
        <v>190</v>
      </c>
      <c r="K66" s="105"/>
      <c r="L66" s="14">
        <f t="shared" si="0"/>
        <v>2</v>
      </c>
    </row>
    <row r="67" spans="1:12" s="19" customFormat="1" ht="27" customHeight="1" thickBot="1">
      <c r="A67" s="39"/>
      <c r="B67" s="40"/>
      <c r="C67" s="55" t="s">
        <v>53</v>
      </c>
      <c r="D67" s="58"/>
      <c r="E67" s="60"/>
      <c r="F67" s="60"/>
      <c r="G67" s="60"/>
      <c r="H67" s="60"/>
      <c r="I67" s="60"/>
      <c r="J67" s="60"/>
      <c r="K67" s="60"/>
      <c r="L67" s="14">
        <f t="shared" si="0"/>
        <v>0</v>
      </c>
    </row>
    <row r="68" spans="1:12" s="62" customFormat="1" ht="27" customHeight="1" thickBot="1">
      <c r="A68" s="48"/>
      <c r="B68" s="75"/>
      <c r="C68" s="32" t="s">
        <v>54</v>
      </c>
      <c r="D68" s="62" t="s">
        <v>172</v>
      </c>
      <c r="E68" s="107"/>
      <c r="F68" s="107"/>
      <c r="G68" s="107"/>
      <c r="H68" s="107" t="s">
        <v>190</v>
      </c>
      <c r="I68" s="107"/>
      <c r="J68" s="107" t="s">
        <v>190</v>
      </c>
      <c r="K68" s="107"/>
      <c r="L68" s="14">
        <f t="shared" si="0"/>
        <v>2</v>
      </c>
    </row>
    <row r="69" spans="1:12" s="61" customFormat="1" ht="25.5">
      <c r="A69" s="67" t="s">
        <v>14</v>
      </c>
      <c r="B69" s="68" t="s">
        <v>34</v>
      </c>
      <c r="C69" s="30" t="s">
        <v>52</v>
      </c>
      <c r="D69" s="61" t="s">
        <v>180</v>
      </c>
      <c r="E69" s="105" t="s">
        <v>190</v>
      </c>
      <c r="F69" s="105"/>
      <c r="G69" s="105"/>
      <c r="H69" s="105"/>
      <c r="I69" s="105"/>
      <c r="J69" s="105" t="s">
        <v>190</v>
      </c>
      <c r="K69" s="105"/>
      <c r="L69" s="14">
        <f t="shared" si="0"/>
        <v>2</v>
      </c>
    </row>
    <row r="70" spans="1:12" s="19" customFormat="1" ht="13.5" thickBot="1">
      <c r="A70" s="47"/>
      <c r="B70" s="74"/>
      <c r="C70" s="55" t="s">
        <v>53</v>
      </c>
      <c r="D70" s="58"/>
      <c r="E70" s="60"/>
      <c r="F70" s="60"/>
      <c r="G70" s="60"/>
      <c r="H70" s="60"/>
      <c r="I70" s="60"/>
      <c r="J70" s="60"/>
      <c r="K70" s="60"/>
      <c r="L70" s="14">
        <f t="shared" si="0"/>
        <v>0</v>
      </c>
    </row>
    <row r="71" spans="1:12" s="62" customFormat="1" ht="13.5" thickBot="1">
      <c r="A71" s="48"/>
      <c r="B71" s="75"/>
      <c r="C71" s="58" t="s">
        <v>54</v>
      </c>
      <c r="D71" s="58"/>
      <c r="E71" s="60"/>
      <c r="F71" s="60"/>
      <c r="G71" s="60"/>
      <c r="H71" s="60"/>
      <c r="I71" s="60"/>
      <c r="J71" s="60"/>
      <c r="K71" s="60"/>
      <c r="L71" s="14">
        <f t="shared" si="0"/>
        <v>0</v>
      </c>
    </row>
    <row r="72" spans="1:12" s="61" customFormat="1" ht="26.25" hidden="1" thickBot="1">
      <c r="A72" s="46" t="s">
        <v>15</v>
      </c>
      <c r="B72" s="52" t="s">
        <v>67</v>
      </c>
      <c r="C72" s="30" t="s">
        <v>52</v>
      </c>
      <c r="E72" s="105"/>
      <c r="F72" s="105"/>
      <c r="G72" s="105"/>
      <c r="H72" s="105"/>
      <c r="I72" s="105"/>
      <c r="J72" s="105"/>
      <c r="K72" s="105"/>
      <c r="L72" s="14">
        <f aca="true" t="shared" si="1" ref="L72:L83">COUNTIF(E72:K72,"Y")</f>
        <v>0</v>
      </c>
    </row>
    <row r="73" spans="1:12" s="19" customFormat="1" ht="13.5" hidden="1" thickBot="1">
      <c r="A73" s="47"/>
      <c r="B73" s="74"/>
      <c r="C73" s="20" t="s">
        <v>53</v>
      </c>
      <c r="E73" s="106"/>
      <c r="F73" s="106"/>
      <c r="G73" s="106"/>
      <c r="H73" s="106"/>
      <c r="I73" s="106"/>
      <c r="J73" s="106"/>
      <c r="K73" s="106"/>
      <c r="L73" s="14">
        <f t="shared" si="1"/>
        <v>0</v>
      </c>
    </row>
    <row r="74" spans="1:12" s="62" customFormat="1" ht="13.5" hidden="1" thickBot="1">
      <c r="A74" s="48"/>
      <c r="B74" s="75"/>
      <c r="C74" s="32" t="s">
        <v>54</v>
      </c>
      <c r="E74" s="107"/>
      <c r="F74" s="107"/>
      <c r="G74" s="107"/>
      <c r="H74" s="107"/>
      <c r="I74" s="107"/>
      <c r="J74" s="107"/>
      <c r="K74" s="107"/>
      <c r="L74" s="14">
        <f t="shared" si="1"/>
        <v>0</v>
      </c>
    </row>
    <row r="75" spans="1:12" s="61" customFormat="1" ht="25.5">
      <c r="A75" s="67" t="s">
        <v>16</v>
      </c>
      <c r="B75" s="68" t="s">
        <v>68</v>
      </c>
      <c r="C75" s="30" t="s">
        <v>52</v>
      </c>
      <c r="D75" s="61" t="s">
        <v>181</v>
      </c>
      <c r="E75" s="105" t="s">
        <v>190</v>
      </c>
      <c r="F75" s="105"/>
      <c r="G75" s="105"/>
      <c r="H75" s="105"/>
      <c r="I75" s="105"/>
      <c r="J75" s="105" t="s">
        <v>190</v>
      </c>
      <c r="K75" s="105"/>
      <c r="L75" s="14">
        <f t="shared" si="1"/>
        <v>2</v>
      </c>
    </row>
    <row r="76" spans="1:12" s="19" customFormat="1" ht="13.5" thickBot="1">
      <c r="A76" s="39"/>
      <c r="B76" s="74"/>
      <c r="C76" s="55" t="s">
        <v>53</v>
      </c>
      <c r="D76" s="58"/>
      <c r="E76" s="60"/>
      <c r="F76" s="60"/>
      <c r="G76" s="60"/>
      <c r="H76" s="60"/>
      <c r="I76" s="60"/>
      <c r="J76" s="60"/>
      <c r="K76" s="60"/>
      <c r="L76" s="14">
        <f t="shared" si="1"/>
        <v>0</v>
      </c>
    </row>
    <row r="77" spans="1:12" s="62" customFormat="1" ht="26.25" thickBot="1">
      <c r="A77" s="48"/>
      <c r="B77" s="75"/>
      <c r="C77" s="32" t="s">
        <v>54</v>
      </c>
      <c r="D77" s="62" t="s">
        <v>182</v>
      </c>
      <c r="E77" s="107"/>
      <c r="F77" s="107"/>
      <c r="G77" s="107"/>
      <c r="H77" s="107"/>
      <c r="I77" s="107"/>
      <c r="J77" s="107" t="s">
        <v>190</v>
      </c>
      <c r="K77" s="107"/>
      <c r="L77" s="14">
        <f t="shared" si="1"/>
        <v>1</v>
      </c>
    </row>
    <row r="78" spans="1:12" s="61" customFormat="1" ht="15">
      <c r="A78" s="67" t="s">
        <v>35</v>
      </c>
      <c r="B78" s="68" t="s">
        <v>36</v>
      </c>
      <c r="C78" s="30" t="s">
        <v>52</v>
      </c>
      <c r="D78" s="61" t="s">
        <v>183</v>
      </c>
      <c r="E78" s="105" t="s">
        <v>190</v>
      </c>
      <c r="F78" s="105"/>
      <c r="G78" s="105"/>
      <c r="H78" s="105"/>
      <c r="I78" s="105"/>
      <c r="J78" s="105" t="s">
        <v>190</v>
      </c>
      <c r="K78" s="105"/>
      <c r="L78" s="14">
        <f t="shared" si="1"/>
        <v>2</v>
      </c>
    </row>
    <row r="79" spans="1:12" s="19" customFormat="1" ht="13.5" thickBot="1">
      <c r="A79" s="47"/>
      <c r="B79" s="74"/>
      <c r="C79" s="55" t="s">
        <v>53</v>
      </c>
      <c r="D79" s="58"/>
      <c r="E79" s="60"/>
      <c r="F79" s="60"/>
      <c r="G79" s="60"/>
      <c r="H79" s="60"/>
      <c r="I79" s="60"/>
      <c r="J79" s="60"/>
      <c r="K79" s="60"/>
      <c r="L79" s="14">
        <f t="shared" si="1"/>
        <v>0</v>
      </c>
    </row>
    <row r="80" spans="1:12" s="62" customFormat="1" ht="13.5" thickBot="1">
      <c r="A80" s="48"/>
      <c r="B80" s="75"/>
      <c r="C80" s="58" t="s">
        <v>54</v>
      </c>
      <c r="D80" s="58"/>
      <c r="E80" s="60"/>
      <c r="F80" s="60"/>
      <c r="G80" s="60"/>
      <c r="H80" s="60"/>
      <c r="I80" s="60"/>
      <c r="J80" s="60"/>
      <c r="K80" s="60"/>
      <c r="L80" s="14">
        <f t="shared" si="1"/>
        <v>0</v>
      </c>
    </row>
    <row r="81" spans="1:12" s="61" customFormat="1" ht="26.25" thickBot="1">
      <c r="A81" s="67" t="s">
        <v>37</v>
      </c>
      <c r="B81" s="68" t="s">
        <v>38</v>
      </c>
      <c r="C81" s="65" t="s">
        <v>52</v>
      </c>
      <c r="D81" s="58"/>
      <c r="E81" s="60"/>
      <c r="F81" s="60"/>
      <c r="G81" s="60"/>
      <c r="H81" s="60"/>
      <c r="I81" s="60"/>
      <c r="J81" s="60"/>
      <c r="K81" s="60"/>
      <c r="L81" s="14">
        <f t="shared" si="1"/>
        <v>0</v>
      </c>
    </row>
    <row r="82" spans="1:12" s="19" customFormat="1" ht="25.5">
      <c r="A82" s="78"/>
      <c r="B82" s="79"/>
      <c r="C82" s="20" t="s">
        <v>53</v>
      </c>
      <c r="D82" s="19" t="s">
        <v>184</v>
      </c>
      <c r="E82" s="106"/>
      <c r="F82" s="106" t="s">
        <v>190</v>
      </c>
      <c r="G82" s="106"/>
      <c r="H82" s="106" t="s">
        <v>190</v>
      </c>
      <c r="I82" s="106"/>
      <c r="J82" s="106"/>
      <c r="K82" s="106" t="s">
        <v>190</v>
      </c>
      <c r="L82" s="14">
        <f t="shared" si="1"/>
        <v>3</v>
      </c>
    </row>
    <row r="83" spans="1:12" s="62" customFormat="1" ht="26.25" thickBot="1">
      <c r="A83" s="80"/>
      <c r="B83" s="81"/>
      <c r="C83" s="32" t="s">
        <v>54</v>
      </c>
      <c r="D83" s="62" t="s">
        <v>185</v>
      </c>
      <c r="E83" s="107"/>
      <c r="F83" s="107" t="s">
        <v>190</v>
      </c>
      <c r="G83" s="107"/>
      <c r="H83" s="107" t="s">
        <v>190</v>
      </c>
      <c r="I83" s="107"/>
      <c r="J83" s="107"/>
      <c r="K83" s="107" t="s">
        <v>190</v>
      </c>
      <c r="L83" s="14">
        <f t="shared" si="1"/>
        <v>3</v>
      </c>
    </row>
  </sheetData>
  <mergeCells count="2">
    <mergeCell ref="A31:A33"/>
    <mergeCell ref="B31:B33"/>
  </mergeCells>
  <conditionalFormatting sqref="E1:J1048576">
    <cfRule type="cellIs" priority="2" dxfId="0" operator="equal">
      <formula>"Y"</formula>
    </cfRule>
  </conditionalFormatting>
  <conditionalFormatting sqref="K1:K1048576">
    <cfRule type="cellIs" priority="1" dxfId="0" operator="equal">
      <formula>"Y"</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G118"/>
  <sheetViews>
    <sheetView zoomScale="85" zoomScaleNormal="85" workbookViewId="0" topLeftCell="A1"/>
  </sheetViews>
  <sheetFormatPr defaultColWidth="9.140625" defaultRowHeight="15"/>
  <cols>
    <col min="1" max="1" width="18.57421875" style="14" customWidth="1"/>
    <col min="2" max="2" width="17.57421875" style="14" customWidth="1"/>
    <col min="3" max="3" width="8.7109375" style="14" customWidth="1"/>
    <col min="4" max="4" width="45.421875" style="16" customWidth="1"/>
    <col min="5" max="6" width="41.421875" style="16" customWidth="1"/>
    <col min="7" max="7" width="41.421875" style="357" customWidth="1"/>
    <col min="8" max="735" width="9.140625" style="272" customWidth="1"/>
    <col min="736" max="16384" width="9.140625" style="16" customWidth="1"/>
  </cols>
  <sheetData>
    <row r="1" spans="1:7" ht="39.75" customHeight="1" thickBot="1">
      <c r="A1" s="14" t="s">
        <v>39</v>
      </c>
      <c r="B1" s="15">
        <f>'Summary of area'!C3</f>
        <v>0</v>
      </c>
      <c r="C1" s="15"/>
      <c r="D1" s="15" t="s">
        <v>47</v>
      </c>
      <c r="E1" s="15"/>
      <c r="F1" s="15"/>
      <c r="G1" s="387"/>
    </row>
    <row r="2" spans="1:7" ht="42.75" customHeight="1" thickBot="1">
      <c r="A2" s="1" t="s">
        <v>17</v>
      </c>
      <c r="B2" s="1" t="s">
        <v>18</v>
      </c>
      <c r="C2" s="8" t="s">
        <v>41</v>
      </c>
      <c r="D2" s="9" t="s">
        <v>70</v>
      </c>
      <c r="E2" s="10" t="s">
        <v>48</v>
      </c>
      <c r="F2" s="11" t="s">
        <v>50</v>
      </c>
      <c r="G2" s="358" t="s">
        <v>802</v>
      </c>
    </row>
    <row r="3" spans="1:7" ht="33.75" customHeight="1" thickBot="1">
      <c r="A3" s="2"/>
      <c r="B3" s="2"/>
      <c r="C3" s="23" t="s">
        <v>42</v>
      </c>
      <c r="D3" s="12" t="s">
        <v>45</v>
      </c>
      <c r="E3" s="6" t="s">
        <v>49</v>
      </c>
      <c r="F3" s="262" t="s">
        <v>51</v>
      </c>
      <c r="G3" s="358" t="s">
        <v>803</v>
      </c>
    </row>
    <row r="4" spans="1:7" ht="26.25" thickBot="1">
      <c r="A4" s="3" t="s">
        <v>0</v>
      </c>
      <c r="B4" s="4"/>
      <c r="C4" s="4"/>
      <c r="D4" s="4"/>
      <c r="E4" s="4"/>
      <c r="F4" s="4"/>
      <c r="G4" s="359"/>
    </row>
    <row r="5" spans="1:735" s="61" customFormat="1" ht="15">
      <c r="A5" s="606" t="s">
        <v>1</v>
      </c>
      <c r="B5" s="608" t="s">
        <v>19</v>
      </c>
      <c r="C5" s="608" t="s">
        <v>52</v>
      </c>
      <c r="D5" s="605"/>
      <c r="E5" s="618"/>
      <c r="F5" s="628"/>
      <c r="G5" s="634"/>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c r="IW5" s="272"/>
      <c r="IX5" s="272"/>
      <c r="IY5" s="272"/>
      <c r="IZ5" s="272"/>
      <c r="JA5" s="272"/>
      <c r="JB5" s="272"/>
      <c r="JC5" s="272"/>
      <c r="JD5" s="272"/>
      <c r="JE5" s="272"/>
      <c r="JF5" s="272"/>
      <c r="JG5" s="272"/>
      <c r="JH5" s="272"/>
      <c r="JI5" s="272"/>
      <c r="JJ5" s="272"/>
      <c r="JK5" s="272"/>
      <c r="JL5" s="272"/>
      <c r="JM5" s="272"/>
      <c r="JN5" s="272"/>
      <c r="JO5" s="272"/>
      <c r="JP5" s="272"/>
      <c r="JQ5" s="272"/>
      <c r="JR5" s="272"/>
      <c r="JS5" s="272"/>
      <c r="JT5" s="272"/>
      <c r="JU5" s="272"/>
      <c r="JV5" s="272"/>
      <c r="JW5" s="272"/>
      <c r="JX5" s="272"/>
      <c r="JY5" s="272"/>
      <c r="JZ5" s="272"/>
      <c r="KA5" s="272"/>
      <c r="KB5" s="272"/>
      <c r="KC5" s="272"/>
      <c r="KD5" s="272"/>
      <c r="KE5" s="272"/>
      <c r="KF5" s="272"/>
      <c r="KG5" s="272"/>
      <c r="KH5" s="272"/>
      <c r="KI5" s="272"/>
      <c r="KJ5" s="272"/>
      <c r="KK5" s="272"/>
      <c r="KL5" s="272"/>
      <c r="KM5" s="272"/>
      <c r="KN5" s="272"/>
      <c r="KO5" s="272"/>
      <c r="KP5" s="272"/>
      <c r="KQ5" s="272"/>
      <c r="KR5" s="272"/>
      <c r="KS5" s="272"/>
      <c r="KT5" s="272"/>
      <c r="KU5" s="272"/>
      <c r="KV5" s="272"/>
      <c r="KW5" s="272"/>
      <c r="KX5" s="272"/>
      <c r="KY5" s="272"/>
      <c r="KZ5" s="272"/>
      <c r="LA5" s="272"/>
      <c r="LB5" s="272"/>
      <c r="LC5" s="272"/>
      <c r="LD5" s="272"/>
      <c r="LE5" s="272"/>
      <c r="LF5" s="272"/>
      <c r="LG5" s="272"/>
      <c r="LH5" s="272"/>
      <c r="LI5" s="272"/>
      <c r="LJ5" s="272"/>
      <c r="LK5" s="272"/>
      <c r="LL5" s="272"/>
      <c r="LM5" s="272"/>
      <c r="LN5" s="272"/>
      <c r="LO5" s="272"/>
      <c r="LP5" s="272"/>
      <c r="LQ5" s="272"/>
      <c r="LR5" s="272"/>
      <c r="LS5" s="272"/>
      <c r="LT5" s="272"/>
      <c r="LU5" s="272"/>
      <c r="LV5" s="272"/>
      <c r="LW5" s="272"/>
      <c r="LX5" s="272"/>
      <c r="LY5" s="272"/>
      <c r="LZ5" s="272"/>
      <c r="MA5" s="272"/>
      <c r="MB5" s="272"/>
      <c r="MC5" s="272"/>
      <c r="MD5" s="272"/>
      <c r="ME5" s="272"/>
      <c r="MF5" s="272"/>
      <c r="MG5" s="272"/>
      <c r="MH5" s="272"/>
      <c r="MI5" s="272"/>
      <c r="MJ5" s="272"/>
      <c r="MK5" s="272"/>
      <c r="ML5" s="272"/>
      <c r="MM5" s="272"/>
      <c r="MN5" s="272"/>
      <c r="MO5" s="272"/>
      <c r="MP5" s="272"/>
      <c r="MQ5" s="272"/>
      <c r="MR5" s="272"/>
      <c r="MS5" s="272"/>
      <c r="MT5" s="272"/>
      <c r="MU5" s="272"/>
      <c r="MV5" s="272"/>
      <c r="MW5" s="272"/>
      <c r="MX5" s="272"/>
      <c r="MY5" s="272"/>
      <c r="MZ5" s="272"/>
      <c r="NA5" s="272"/>
      <c r="NB5" s="272"/>
      <c r="NC5" s="272"/>
      <c r="ND5" s="272"/>
      <c r="NE5" s="272"/>
      <c r="NF5" s="272"/>
      <c r="NG5" s="272"/>
      <c r="NH5" s="272"/>
      <c r="NI5" s="272"/>
      <c r="NJ5" s="272"/>
      <c r="NK5" s="272"/>
      <c r="NL5" s="272"/>
      <c r="NM5" s="272"/>
      <c r="NN5" s="272"/>
      <c r="NO5" s="272"/>
      <c r="NP5" s="272"/>
      <c r="NQ5" s="272"/>
      <c r="NR5" s="272"/>
      <c r="NS5" s="272"/>
      <c r="NT5" s="272"/>
      <c r="NU5" s="272"/>
      <c r="NV5" s="272"/>
      <c r="NW5" s="272"/>
      <c r="NX5" s="272"/>
      <c r="NY5" s="272"/>
      <c r="NZ5" s="272"/>
      <c r="OA5" s="272"/>
      <c r="OB5" s="272"/>
      <c r="OC5" s="272"/>
      <c r="OD5" s="272"/>
      <c r="OE5" s="272"/>
      <c r="OF5" s="272"/>
      <c r="OG5" s="272"/>
      <c r="OH5" s="272"/>
      <c r="OI5" s="272"/>
      <c r="OJ5" s="272"/>
      <c r="OK5" s="272"/>
      <c r="OL5" s="272"/>
      <c r="OM5" s="272"/>
      <c r="ON5" s="272"/>
      <c r="OO5" s="272"/>
      <c r="OP5" s="272"/>
      <c r="OQ5" s="272"/>
      <c r="OR5" s="272"/>
      <c r="OS5" s="272"/>
      <c r="OT5" s="272"/>
      <c r="OU5" s="272"/>
      <c r="OV5" s="272"/>
      <c r="OW5" s="272"/>
      <c r="OX5" s="272"/>
      <c r="OY5" s="272"/>
      <c r="OZ5" s="272"/>
      <c r="PA5" s="272"/>
      <c r="PB5" s="272"/>
      <c r="PC5" s="272"/>
      <c r="PD5" s="272"/>
      <c r="PE5" s="272"/>
      <c r="PF5" s="272"/>
      <c r="PG5" s="272"/>
      <c r="PH5" s="272"/>
      <c r="PI5" s="272"/>
      <c r="PJ5" s="272"/>
      <c r="PK5" s="272"/>
      <c r="PL5" s="272"/>
      <c r="PM5" s="272"/>
      <c r="PN5" s="272"/>
      <c r="PO5" s="272"/>
      <c r="PP5" s="272"/>
      <c r="PQ5" s="272"/>
      <c r="PR5" s="272"/>
      <c r="PS5" s="272"/>
      <c r="PT5" s="272"/>
      <c r="PU5" s="272"/>
      <c r="PV5" s="272"/>
      <c r="PW5" s="272"/>
      <c r="PX5" s="272"/>
      <c r="PY5" s="272"/>
      <c r="PZ5" s="272"/>
      <c r="QA5" s="272"/>
      <c r="QB5" s="272"/>
      <c r="QC5" s="272"/>
      <c r="QD5" s="272"/>
      <c r="QE5" s="272"/>
      <c r="QF5" s="272"/>
      <c r="QG5" s="272"/>
      <c r="QH5" s="272"/>
      <c r="QI5" s="272"/>
      <c r="QJ5" s="272"/>
      <c r="QK5" s="272"/>
      <c r="QL5" s="272"/>
      <c r="QM5" s="272"/>
      <c r="QN5" s="272"/>
      <c r="QO5" s="272"/>
      <c r="QP5" s="272"/>
      <c r="QQ5" s="272"/>
      <c r="QR5" s="272"/>
      <c r="QS5" s="272"/>
      <c r="QT5" s="272"/>
      <c r="QU5" s="272"/>
      <c r="QV5" s="272"/>
      <c r="QW5" s="272"/>
      <c r="QX5" s="272"/>
      <c r="QY5" s="272"/>
      <c r="QZ5" s="272"/>
      <c r="RA5" s="272"/>
      <c r="RB5" s="272"/>
      <c r="RC5" s="272"/>
      <c r="RD5" s="272"/>
      <c r="RE5" s="272"/>
      <c r="RF5" s="272"/>
      <c r="RG5" s="272"/>
      <c r="RH5" s="272"/>
      <c r="RI5" s="272"/>
      <c r="RJ5" s="272"/>
      <c r="RK5" s="272"/>
      <c r="RL5" s="272"/>
      <c r="RM5" s="272"/>
      <c r="RN5" s="272"/>
      <c r="RO5" s="272"/>
      <c r="RP5" s="272"/>
      <c r="RQ5" s="272"/>
      <c r="RR5" s="272"/>
      <c r="RS5" s="272"/>
      <c r="RT5" s="272"/>
      <c r="RU5" s="272"/>
      <c r="RV5" s="272"/>
      <c r="RW5" s="272"/>
      <c r="RX5" s="272"/>
      <c r="RY5" s="272"/>
      <c r="RZ5" s="272"/>
      <c r="SA5" s="272"/>
      <c r="SB5" s="272"/>
      <c r="SC5" s="272"/>
      <c r="SD5" s="272"/>
      <c r="SE5" s="272"/>
      <c r="SF5" s="272"/>
      <c r="SG5" s="272"/>
      <c r="SH5" s="272"/>
      <c r="SI5" s="272"/>
      <c r="SJ5" s="272"/>
      <c r="SK5" s="272"/>
      <c r="SL5" s="272"/>
      <c r="SM5" s="272"/>
      <c r="SN5" s="272"/>
      <c r="SO5" s="272"/>
      <c r="SP5" s="272"/>
      <c r="SQ5" s="272"/>
      <c r="SR5" s="272"/>
      <c r="SS5" s="272"/>
      <c r="ST5" s="272"/>
      <c r="SU5" s="272"/>
      <c r="SV5" s="272"/>
      <c r="SW5" s="272"/>
      <c r="SX5" s="272"/>
      <c r="SY5" s="272"/>
      <c r="SZ5" s="272"/>
      <c r="TA5" s="272"/>
      <c r="TB5" s="272"/>
      <c r="TC5" s="272"/>
      <c r="TD5" s="272"/>
      <c r="TE5" s="272"/>
      <c r="TF5" s="272"/>
      <c r="TG5" s="272"/>
      <c r="TH5" s="272"/>
      <c r="TI5" s="272"/>
      <c r="TJ5" s="272"/>
      <c r="TK5" s="272"/>
      <c r="TL5" s="272"/>
      <c r="TM5" s="272"/>
      <c r="TN5" s="272"/>
      <c r="TO5" s="272"/>
      <c r="TP5" s="272"/>
      <c r="TQ5" s="272"/>
      <c r="TR5" s="272"/>
      <c r="TS5" s="272"/>
      <c r="TT5" s="272"/>
      <c r="TU5" s="272"/>
      <c r="TV5" s="272"/>
      <c r="TW5" s="272"/>
      <c r="TX5" s="272"/>
      <c r="TY5" s="272"/>
      <c r="TZ5" s="272"/>
      <c r="UA5" s="272"/>
      <c r="UB5" s="272"/>
      <c r="UC5" s="272"/>
      <c r="UD5" s="272"/>
      <c r="UE5" s="272"/>
      <c r="UF5" s="272"/>
      <c r="UG5" s="272"/>
      <c r="UH5" s="272"/>
      <c r="UI5" s="272"/>
      <c r="UJ5" s="272"/>
      <c r="UK5" s="272"/>
      <c r="UL5" s="272"/>
      <c r="UM5" s="272"/>
      <c r="UN5" s="272"/>
      <c r="UO5" s="272"/>
      <c r="UP5" s="272"/>
      <c r="UQ5" s="272"/>
      <c r="UR5" s="272"/>
      <c r="US5" s="272"/>
      <c r="UT5" s="272"/>
      <c r="UU5" s="272"/>
      <c r="UV5" s="272"/>
      <c r="UW5" s="272"/>
      <c r="UX5" s="272"/>
      <c r="UY5" s="272"/>
      <c r="UZ5" s="272"/>
      <c r="VA5" s="272"/>
      <c r="VB5" s="272"/>
      <c r="VC5" s="272"/>
      <c r="VD5" s="272"/>
      <c r="VE5" s="272"/>
      <c r="VF5" s="272"/>
      <c r="VG5" s="272"/>
      <c r="VH5" s="272"/>
      <c r="VI5" s="272"/>
      <c r="VJ5" s="272"/>
      <c r="VK5" s="272"/>
      <c r="VL5" s="272"/>
      <c r="VM5" s="272"/>
      <c r="VN5" s="272"/>
      <c r="VO5" s="272"/>
      <c r="VP5" s="272"/>
      <c r="VQ5" s="272"/>
      <c r="VR5" s="272"/>
      <c r="VS5" s="272"/>
      <c r="VT5" s="272"/>
      <c r="VU5" s="272"/>
      <c r="VV5" s="272"/>
      <c r="VW5" s="272"/>
      <c r="VX5" s="272"/>
      <c r="VY5" s="272"/>
      <c r="VZ5" s="272"/>
      <c r="WA5" s="272"/>
      <c r="WB5" s="272"/>
      <c r="WC5" s="272"/>
      <c r="WD5" s="272"/>
      <c r="WE5" s="272"/>
      <c r="WF5" s="272"/>
      <c r="WG5" s="272"/>
      <c r="WH5" s="272"/>
      <c r="WI5" s="272"/>
      <c r="WJ5" s="272"/>
      <c r="WK5" s="272"/>
      <c r="WL5" s="272"/>
      <c r="WM5" s="272"/>
      <c r="WN5" s="272"/>
      <c r="WO5" s="272"/>
      <c r="WP5" s="272"/>
      <c r="WQ5" s="272"/>
      <c r="WR5" s="272"/>
      <c r="WS5" s="272"/>
      <c r="WT5" s="272"/>
      <c r="WU5" s="272"/>
      <c r="WV5" s="272"/>
      <c r="WW5" s="272"/>
      <c r="WX5" s="272"/>
      <c r="WY5" s="272"/>
      <c r="WZ5" s="272"/>
      <c r="XA5" s="272"/>
      <c r="XB5" s="272"/>
      <c r="XC5" s="272"/>
      <c r="XD5" s="272"/>
      <c r="XE5" s="272"/>
      <c r="XF5" s="272"/>
      <c r="XG5" s="272"/>
      <c r="XH5" s="272"/>
      <c r="XI5" s="272"/>
      <c r="XJ5" s="272"/>
      <c r="XK5" s="272"/>
      <c r="XL5" s="272"/>
      <c r="XM5" s="272"/>
      <c r="XN5" s="272"/>
      <c r="XO5" s="272"/>
      <c r="XP5" s="272"/>
      <c r="XQ5" s="272"/>
      <c r="XR5" s="272"/>
      <c r="XS5" s="272"/>
      <c r="XT5" s="272"/>
      <c r="XU5" s="272"/>
      <c r="XV5" s="272"/>
      <c r="XW5" s="272"/>
      <c r="XX5" s="272"/>
      <c r="XY5" s="272"/>
      <c r="XZ5" s="272"/>
      <c r="YA5" s="272"/>
      <c r="YB5" s="272"/>
      <c r="YC5" s="272"/>
      <c r="YD5" s="272"/>
      <c r="YE5" s="272"/>
      <c r="YF5" s="272"/>
      <c r="YG5" s="272"/>
      <c r="YH5" s="272"/>
      <c r="YI5" s="272"/>
      <c r="YJ5" s="272"/>
      <c r="YK5" s="272"/>
      <c r="YL5" s="272"/>
      <c r="YM5" s="272"/>
      <c r="YN5" s="272"/>
      <c r="YO5" s="272"/>
      <c r="YP5" s="272"/>
      <c r="YQ5" s="272"/>
      <c r="YR5" s="272"/>
      <c r="YS5" s="272"/>
      <c r="YT5" s="272"/>
      <c r="YU5" s="272"/>
      <c r="YV5" s="272"/>
      <c r="YW5" s="272"/>
      <c r="YX5" s="272"/>
      <c r="YY5" s="272"/>
      <c r="YZ5" s="272"/>
      <c r="ZA5" s="272"/>
      <c r="ZB5" s="272"/>
      <c r="ZC5" s="272"/>
      <c r="ZD5" s="272"/>
      <c r="ZE5" s="272"/>
      <c r="ZF5" s="272"/>
      <c r="ZG5" s="272"/>
      <c r="ZH5" s="272"/>
      <c r="ZI5" s="272"/>
      <c r="ZJ5" s="272"/>
      <c r="ZK5" s="272"/>
      <c r="ZL5" s="272"/>
      <c r="ZM5" s="272"/>
      <c r="ZN5" s="272"/>
      <c r="ZO5" s="272"/>
      <c r="ZP5" s="272"/>
      <c r="ZQ5" s="272"/>
      <c r="ZR5" s="272"/>
      <c r="ZS5" s="272"/>
      <c r="ZT5" s="272"/>
      <c r="ZU5" s="272"/>
      <c r="ZV5" s="272"/>
      <c r="ZW5" s="272"/>
      <c r="ZX5" s="272"/>
      <c r="ZY5" s="272"/>
      <c r="ZZ5" s="272"/>
      <c r="AAA5" s="272"/>
      <c r="AAB5" s="272"/>
      <c r="AAC5" s="272"/>
      <c r="AAD5" s="272"/>
      <c r="AAE5" s="272"/>
      <c r="AAF5" s="272"/>
      <c r="AAG5" s="272"/>
      <c r="AAH5" s="272"/>
      <c r="AAI5" s="272"/>
      <c r="AAJ5" s="272"/>
      <c r="AAK5" s="272"/>
      <c r="AAL5" s="272"/>
      <c r="AAM5" s="272"/>
      <c r="AAN5" s="272"/>
      <c r="AAO5" s="272"/>
      <c r="AAP5" s="272"/>
      <c r="AAQ5" s="272"/>
      <c r="AAR5" s="272"/>
      <c r="AAS5" s="272"/>
      <c r="AAT5" s="272"/>
      <c r="AAU5" s="272"/>
      <c r="AAV5" s="272"/>
      <c r="AAW5" s="272"/>
      <c r="AAX5" s="272"/>
      <c r="AAY5" s="272"/>
      <c r="AAZ5" s="272"/>
      <c r="ABA5" s="272"/>
      <c r="ABB5" s="272"/>
      <c r="ABC5" s="272"/>
      <c r="ABD5" s="272"/>
      <c r="ABE5" s="272"/>
      <c r="ABF5" s="272"/>
      <c r="ABG5" s="272"/>
    </row>
    <row r="6" spans="1:735" s="86" customFormat="1" ht="15">
      <c r="A6" s="629"/>
      <c r="B6" s="631"/>
      <c r="C6" s="631"/>
      <c r="D6" s="600"/>
      <c r="E6" s="619"/>
      <c r="F6" s="626"/>
      <c r="G6" s="636"/>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c r="GH6" s="272"/>
      <c r="GI6" s="272"/>
      <c r="GJ6" s="272"/>
      <c r="GK6" s="272"/>
      <c r="GL6" s="272"/>
      <c r="GM6" s="272"/>
      <c r="GN6" s="272"/>
      <c r="GO6" s="272"/>
      <c r="GP6" s="272"/>
      <c r="GQ6" s="272"/>
      <c r="GR6" s="272"/>
      <c r="GS6" s="272"/>
      <c r="GT6" s="272"/>
      <c r="GU6" s="272"/>
      <c r="GV6" s="272"/>
      <c r="GW6" s="272"/>
      <c r="GX6" s="272"/>
      <c r="GY6" s="272"/>
      <c r="GZ6" s="272"/>
      <c r="HA6" s="272"/>
      <c r="HB6" s="272"/>
      <c r="HC6" s="272"/>
      <c r="HD6" s="272"/>
      <c r="HE6" s="272"/>
      <c r="HF6" s="272"/>
      <c r="HG6" s="272"/>
      <c r="HH6" s="272"/>
      <c r="HI6" s="272"/>
      <c r="HJ6" s="272"/>
      <c r="HK6" s="272"/>
      <c r="HL6" s="272"/>
      <c r="HM6" s="272"/>
      <c r="HN6" s="272"/>
      <c r="HO6" s="272"/>
      <c r="HP6" s="272"/>
      <c r="HQ6" s="272"/>
      <c r="HR6" s="272"/>
      <c r="HS6" s="272"/>
      <c r="HT6" s="272"/>
      <c r="HU6" s="272"/>
      <c r="HV6" s="272"/>
      <c r="HW6" s="272"/>
      <c r="HX6" s="272"/>
      <c r="HY6" s="272"/>
      <c r="HZ6" s="272"/>
      <c r="IA6" s="272"/>
      <c r="IB6" s="272"/>
      <c r="IC6" s="272"/>
      <c r="ID6" s="272"/>
      <c r="IE6" s="272"/>
      <c r="IF6" s="272"/>
      <c r="IG6" s="272"/>
      <c r="IH6" s="272"/>
      <c r="II6" s="272"/>
      <c r="IJ6" s="272"/>
      <c r="IK6" s="272"/>
      <c r="IL6" s="272"/>
      <c r="IM6" s="272"/>
      <c r="IN6" s="272"/>
      <c r="IO6" s="272"/>
      <c r="IP6" s="272"/>
      <c r="IQ6" s="272"/>
      <c r="IR6" s="272"/>
      <c r="IS6" s="272"/>
      <c r="IT6" s="272"/>
      <c r="IU6" s="272"/>
      <c r="IV6" s="272"/>
      <c r="IW6" s="272"/>
      <c r="IX6" s="272"/>
      <c r="IY6" s="272"/>
      <c r="IZ6" s="272"/>
      <c r="JA6" s="272"/>
      <c r="JB6" s="272"/>
      <c r="JC6" s="272"/>
      <c r="JD6" s="272"/>
      <c r="JE6" s="272"/>
      <c r="JF6" s="272"/>
      <c r="JG6" s="272"/>
      <c r="JH6" s="272"/>
      <c r="JI6" s="272"/>
      <c r="JJ6" s="272"/>
      <c r="JK6" s="272"/>
      <c r="JL6" s="272"/>
      <c r="JM6" s="272"/>
      <c r="JN6" s="272"/>
      <c r="JO6" s="272"/>
      <c r="JP6" s="272"/>
      <c r="JQ6" s="272"/>
      <c r="JR6" s="272"/>
      <c r="JS6" s="272"/>
      <c r="JT6" s="272"/>
      <c r="JU6" s="272"/>
      <c r="JV6" s="272"/>
      <c r="JW6" s="272"/>
      <c r="JX6" s="272"/>
      <c r="JY6" s="272"/>
      <c r="JZ6" s="272"/>
      <c r="KA6" s="272"/>
      <c r="KB6" s="272"/>
      <c r="KC6" s="272"/>
      <c r="KD6" s="272"/>
      <c r="KE6" s="272"/>
      <c r="KF6" s="272"/>
      <c r="KG6" s="272"/>
      <c r="KH6" s="272"/>
      <c r="KI6" s="272"/>
      <c r="KJ6" s="272"/>
      <c r="KK6" s="272"/>
      <c r="KL6" s="272"/>
      <c r="KM6" s="272"/>
      <c r="KN6" s="272"/>
      <c r="KO6" s="272"/>
      <c r="KP6" s="272"/>
      <c r="KQ6" s="272"/>
      <c r="KR6" s="272"/>
      <c r="KS6" s="272"/>
      <c r="KT6" s="272"/>
      <c r="KU6" s="272"/>
      <c r="KV6" s="272"/>
      <c r="KW6" s="272"/>
      <c r="KX6" s="272"/>
      <c r="KY6" s="272"/>
      <c r="KZ6" s="272"/>
      <c r="LA6" s="272"/>
      <c r="LB6" s="272"/>
      <c r="LC6" s="272"/>
      <c r="LD6" s="272"/>
      <c r="LE6" s="272"/>
      <c r="LF6" s="272"/>
      <c r="LG6" s="272"/>
      <c r="LH6" s="272"/>
      <c r="LI6" s="272"/>
      <c r="LJ6" s="272"/>
      <c r="LK6" s="272"/>
      <c r="LL6" s="272"/>
      <c r="LM6" s="272"/>
      <c r="LN6" s="272"/>
      <c r="LO6" s="272"/>
      <c r="LP6" s="272"/>
      <c r="LQ6" s="272"/>
      <c r="LR6" s="272"/>
      <c r="LS6" s="272"/>
      <c r="LT6" s="272"/>
      <c r="LU6" s="272"/>
      <c r="LV6" s="272"/>
      <c r="LW6" s="272"/>
      <c r="LX6" s="272"/>
      <c r="LY6" s="272"/>
      <c r="LZ6" s="272"/>
      <c r="MA6" s="272"/>
      <c r="MB6" s="272"/>
      <c r="MC6" s="272"/>
      <c r="MD6" s="272"/>
      <c r="ME6" s="272"/>
      <c r="MF6" s="272"/>
      <c r="MG6" s="272"/>
      <c r="MH6" s="272"/>
      <c r="MI6" s="272"/>
      <c r="MJ6" s="272"/>
      <c r="MK6" s="272"/>
      <c r="ML6" s="272"/>
      <c r="MM6" s="272"/>
      <c r="MN6" s="272"/>
      <c r="MO6" s="272"/>
      <c r="MP6" s="272"/>
      <c r="MQ6" s="272"/>
      <c r="MR6" s="272"/>
      <c r="MS6" s="272"/>
      <c r="MT6" s="272"/>
      <c r="MU6" s="272"/>
      <c r="MV6" s="272"/>
      <c r="MW6" s="272"/>
      <c r="MX6" s="272"/>
      <c r="MY6" s="272"/>
      <c r="MZ6" s="272"/>
      <c r="NA6" s="272"/>
      <c r="NB6" s="272"/>
      <c r="NC6" s="272"/>
      <c r="ND6" s="272"/>
      <c r="NE6" s="272"/>
      <c r="NF6" s="272"/>
      <c r="NG6" s="272"/>
      <c r="NH6" s="272"/>
      <c r="NI6" s="272"/>
      <c r="NJ6" s="272"/>
      <c r="NK6" s="272"/>
      <c r="NL6" s="272"/>
      <c r="NM6" s="272"/>
      <c r="NN6" s="272"/>
      <c r="NO6" s="272"/>
      <c r="NP6" s="272"/>
      <c r="NQ6" s="272"/>
      <c r="NR6" s="272"/>
      <c r="NS6" s="272"/>
      <c r="NT6" s="272"/>
      <c r="NU6" s="272"/>
      <c r="NV6" s="272"/>
      <c r="NW6" s="272"/>
      <c r="NX6" s="272"/>
      <c r="NY6" s="272"/>
      <c r="NZ6" s="272"/>
      <c r="OA6" s="272"/>
      <c r="OB6" s="272"/>
      <c r="OC6" s="272"/>
      <c r="OD6" s="272"/>
      <c r="OE6" s="272"/>
      <c r="OF6" s="272"/>
      <c r="OG6" s="272"/>
      <c r="OH6" s="272"/>
      <c r="OI6" s="272"/>
      <c r="OJ6" s="272"/>
      <c r="OK6" s="272"/>
      <c r="OL6" s="272"/>
      <c r="OM6" s="272"/>
      <c r="ON6" s="272"/>
      <c r="OO6" s="272"/>
      <c r="OP6" s="272"/>
      <c r="OQ6" s="272"/>
      <c r="OR6" s="272"/>
      <c r="OS6" s="272"/>
      <c r="OT6" s="272"/>
      <c r="OU6" s="272"/>
      <c r="OV6" s="272"/>
      <c r="OW6" s="272"/>
      <c r="OX6" s="272"/>
      <c r="OY6" s="272"/>
      <c r="OZ6" s="272"/>
      <c r="PA6" s="272"/>
      <c r="PB6" s="272"/>
      <c r="PC6" s="272"/>
      <c r="PD6" s="272"/>
      <c r="PE6" s="272"/>
      <c r="PF6" s="272"/>
      <c r="PG6" s="272"/>
      <c r="PH6" s="272"/>
      <c r="PI6" s="272"/>
      <c r="PJ6" s="272"/>
      <c r="PK6" s="272"/>
      <c r="PL6" s="272"/>
      <c r="PM6" s="272"/>
      <c r="PN6" s="272"/>
      <c r="PO6" s="272"/>
      <c r="PP6" s="272"/>
      <c r="PQ6" s="272"/>
      <c r="PR6" s="272"/>
      <c r="PS6" s="272"/>
      <c r="PT6" s="272"/>
      <c r="PU6" s="272"/>
      <c r="PV6" s="272"/>
      <c r="PW6" s="272"/>
      <c r="PX6" s="272"/>
      <c r="PY6" s="272"/>
      <c r="PZ6" s="272"/>
      <c r="QA6" s="272"/>
      <c r="QB6" s="272"/>
      <c r="QC6" s="272"/>
      <c r="QD6" s="272"/>
      <c r="QE6" s="272"/>
      <c r="QF6" s="272"/>
      <c r="QG6" s="272"/>
      <c r="QH6" s="272"/>
      <c r="QI6" s="272"/>
      <c r="QJ6" s="272"/>
      <c r="QK6" s="272"/>
      <c r="QL6" s="272"/>
      <c r="QM6" s="272"/>
      <c r="QN6" s="272"/>
      <c r="QO6" s="272"/>
      <c r="QP6" s="272"/>
      <c r="QQ6" s="272"/>
      <c r="QR6" s="272"/>
      <c r="QS6" s="272"/>
      <c r="QT6" s="272"/>
      <c r="QU6" s="272"/>
      <c r="QV6" s="272"/>
      <c r="QW6" s="272"/>
      <c r="QX6" s="272"/>
      <c r="QY6" s="272"/>
      <c r="QZ6" s="272"/>
      <c r="RA6" s="272"/>
      <c r="RB6" s="272"/>
      <c r="RC6" s="272"/>
      <c r="RD6" s="272"/>
      <c r="RE6" s="272"/>
      <c r="RF6" s="272"/>
      <c r="RG6" s="272"/>
      <c r="RH6" s="272"/>
      <c r="RI6" s="272"/>
      <c r="RJ6" s="272"/>
      <c r="RK6" s="272"/>
      <c r="RL6" s="272"/>
      <c r="RM6" s="272"/>
      <c r="RN6" s="272"/>
      <c r="RO6" s="272"/>
      <c r="RP6" s="272"/>
      <c r="RQ6" s="272"/>
      <c r="RR6" s="272"/>
      <c r="RS6" s="272"/>
      <c r="RT6" s="272"/>
      <c r="RU6" s="272"/>
      <c r="RV6" s="272"/>
      <c r="RW6" s="272"/>
      <c r="RX6" s="272"/>
      <c r="RY6" s="272"/>
      <c r="RZ6" s="272"/>
      <c r="SA6" s="272"/>
      <c r="SB6" s="272"/>
      <c r="SC6" s="272"/>
      <c r="SD6" s="272"/>
      <c r="SE6" s="272"/>
      <c r="SF6" s="272"/>
      <c r="SG6" s="272"/>
      <c r="SH6" s="272"/>
      <c r="SI6" s="272"/>
      <c r="SJ6" s="272"/>
      <c r="SK6" s="272"/>
      <c r="SL6" s="272"/>
      <c r="SM6" s="272"/>
      <c r="SN6" s="272"/>
      <c r="SO6" s="272"/>
      <c r="SP6" s="272"/>
      <c r="SQ6" s="272"/>
      <c r="SR6" s="272"/>
      <c r="SS6" s="272"/>
      <c r="ST6" s="272"/>
      <c r="SU6" s="272"/>
      <c r="SV6" s="272"/>
      <c r="SW6" s="272"/>
      <c r="SX6" s="272"/>
      <c r="SY6" s="272"/>
      <c r="SZ6" s="272"/>
      <c r="TA6" s="272"/>
      <c r="TB6" s="272"/>
      <c r="TC6" s="272"/>
      <c r="TD6" s="272"/>
      <c r="TE6" s="272"/>
      <c r="TF6" s="272"/>
      <c r="TG6" s="272"/>
      <c r="TH6" s="272"/>
      <c r="TI6" s="272"/>
      <c r="TJ6" s="272"/>
      <c r="TK6" s="272"/>
      <c r="TL6" s="272"/>
      <c r="TM6" s="272"/>
      <c r="TN6" s="272"/>
      <c r="TO6" s="272"/>
      <c r="TP6" s="272"/>
      <c r="TQ6" s="272"/>
      <c r="TR6" s="272"/>
      <c r="TS6" s="272"/>
      <c r="TT6" s="272"/>
      <c r="TU6" s="272"/>
      <c r="TV6" s="272"/>
      <c r="TW6" s="272"/>
      <c r="TX6" s="272"/>
      <c r="TY6" s="272"/>
      <c r="TZ6" s="272"/>
      <c r="UA6" s="272"/>
      <c r="UB6" s="272"/>
      <c r="UC6" s="272"/>
      <c r="UD6" s="272"/>
      <c r="UE6" s="272"/>
      <c r="UF6" s="272"/>
      <c r="UG6" s="272"/>
      <c r="UH6" s="272"/>
      <c r="UI6" s="272"/>
      <c r="UJ6" s="272"/>
      <c r="UK6" s="272"/>
      <c r="UL6" s="272"/>
      <c r="UM6" s="272"/>
      <c r="UN6" s="272"/>
      <c r="UO6" s="272"/>
      <c r="UP6" s="272"/>
      <c r="UQ6" s="272"/>
      <c r="UR6" s="272"/>
      <c r="US6" s="272"/>
      <c r="UT6" s="272"/>
      <c r="UU6" s="272"/>
      <c r="UV6" s="272"/>
      <c r="UW6" s="272"/>
      <c r="UX6" s="272"/>
      <c r="UY6" s="272"/>
      <c r="UZ6" s="272"/>
      <c r="VA6" s="272"/>
      <c r="VB6" s="272"/>
      <c r="VC6" s="272"/>
      <c r="VD6" s="272"/>
      <c r="VE6" s="272"/>
      <c r="VF6" s="272"/>
      <c r="VG6" s="272"/>
      <c r="VH6" s="272"/>
      <c r="VI6" s="272"/>
      <c r="VJ6" s="272"/>
      <c r="VK6" s="272"/>
      <c r="VL6" s="272"/>
      <c r="VM6" s="272"/>
      <c r="VN6" s="272"/>
      <c r="VO6" s="272"/>
      <c r="VP6" s="272"/>
      <c r="VQ6" s="272"/>
      <c r="VR6" s="272"/>
      <c r="VS6" s="272"/>
      <c r="VT6" s="272"/>
      <c r="VU6" s="272"/>
      <c r="VV6" s="272"/>
      <c r="VW6" s="272"/>
      <c r="VX6" s="272"/>
      <c r="VY6" s="272"/>
      <c r="VZ6" s="272"/>
      <c r="WA6" s="272"/>
      <c r="WB6" s="272"/>
      <c r="WC6" s="272"/>
      <c r="WD6" s="272"/>
      <c r="WE6" s="272"/>
      <c r="WF6" s="272"/>
      <c r="WG6" s="272"/>
      <c r="WH6" s="272"/>
      <c r="WI6" s="272"/>
      <c r="WJ6" s="272"/>
      <c r="WK6" s="272"/>
      <c r="WL6" s="272"/>
      <c r="WM6" s="272"/>
      <c r="WN6" s="272"/>
      <c r="WO6" s="272"/>
      <c r="WP6" s="272"/>
      <c r="WQ6" s="272"/>
      <c r="WR6" s="272"/>
      <c r="WS6" s="272"/>
      <c r="WT6" s="272"/>
      <c r="WU6" s="272"/>
      <c r="WV6" s="272"/>
      <c r="WW6" s="272"/>
      <c r="WX6" s="272"/>
      <c r="WY6" s="272"/>
      <c r="WZ6" s="272"/>
      <c r="XA6" s="272"/>
      <c r="XB6" s="272"/>
      <c r="XC6" s="272"/>
      <c r="XD6" s="272"/>
      <c r="XE6" s="272"/>
      <c r="XF6" s="272"/>
      <c r="XG6" s="272"/>
      <c r="XH6" s="272"/>
      <c r="XI6" s="272"/>
      <c r="XJ6" s="272"/>
      <c r="XK6" s="272"/>
      <c r="XL6" s="272"/>
      <c r="XM6" s="272"/>
      <c r="XN6" s="272"/>
      <c r="XO6" s="272"/>
      <c r="XP6" s="272"/>
      <c r="XQ6" s="272"/>
      <c r="XR6" s="272"/>
      <c r="XS6" s="272"/>
      <c r="XT6" s="272"/>
      <c r="XU6" s="272"/>
      <c r="XV6" s="272"/>
      <c r="XW6" s="272"/>
      <c r="XX6" s="272"/>
      <c r="XY6" s="272"/>
      <c r="XZ6" s="272"/>
      <c r="YA6" s="272"/>
      <c r="YB6" s="272"/>
      <c r="YC6" s="272"/>
      <c r="YD6" s="272"/>
      <c r="YE6" s="272"/>
      <c r="YF6" s="272"/>
      <c r="YG6" s="272"/>
      <c r="YH6" s="272"/>
      <c r="YI6" s="272"/>
      <c r="YJ6" s="272"/>
      <c r="YK6" s="272"/>
      <c r="YL6" s="272"/>
      <c r="YM6" s="272"/>
      <c r="YN6" s="272"/>
      <c r="YO6" s="272"/>
      <c r="YP6" s="272"/>
      <c r="YQ6" s="272"/>
      <c r="YR6" s="272"/>
      <c r="YS6" s="272"/>
      <c r="YT6" s="272"/>
      <c r="YU6" s="272"/>
      <c r="YV6" s="272"/>
      <c r="YW6" s="272"/>
      <c r="YX6" s="272"/>
      <c r="YY6" s="272"/>
      <c r="YZ6" s="272"/>
      <c r="ZA6" s="272"/>
      <c r="ZB6" s="272"/>
      <c r="ZC6" s="272"/>
      <c r="ZD6" s="272"/>
      <c r="ZE6" s="272"/>
      <c r="ZF6" s="272"/>
      <c r="ZG6" s="272"/>
      <c r="ZH6" s="272"/>
      <c r="ZI6" s="272"/>
      <c r="ZJ6" s="272"/>
      <c r="ZK6" s="272"/>
      <c r="ZL6" s="272"/>
      <c r="ZM6" s="272"/>
      <c r="ZN6" s="272"/>
      <c r="ZO6" s="272"/>
      <c r="ZP6" s="272"/>
      <c r="ZQ6" s="272"/>
      <c r="ZR6" s="272"/>
      <c r="ZS6" s="272"/>
      <c r="ZT6" s="272"/>
      <c r="ZU6" s="272"/>
      <c r="ZV6" s="272"/>
      <c r="ZW6" s="272"/>
      <c r="ZX6" s="272"/>
      <c r="ZY6" s="272"/>
      <c r="ZZ6" s="272"/>
      <c r="AAA6" s="272"/>
      <c r="AAB6" s="272"/>
      <c r="AAC6" s="272"/>
      <c r="AAD6" s="272"/>
      <c r="AAE6" s="272"/>
      <c r="AAF6" s="272"/>
      <c r="AAG6" s="272"/>
      <c r="AAH6" s="272"/>
      <c r="AAI6" s="272"/>
      <c r="AAJ6" s="272"/>
      <c r="AAK6" s="272"/>
      <c r="AAL6" s="272"/>
      <c r="AAM6" s="272"/>
      <c r="AAN6" s="272"/>
      <c r="AAO6" s="272"/>
      <c r="AAP6" s="272"/>
      <c r="AAQ6" s="272"/>
      <c r="AAR6" s="272"/>
      <c r="AAS6" s="272"/>
      <c r="AAT6" s="272"/>
      <c r="AAU6" s="272"/>
      <c r="AAV6" s="272"/>
      <c r="AAW6" s="272"/>
      <c r="AAX6" s="272"/>
      <c r="AAY6" s="272"/>
      <c r="AAZ6" s="272"/>
      <c r="ABA6" s="272"/>
      <c r="ABB6" s="272"/>
      <c r="ABC6" s="272"/>
      <c r="ABD6" s="272"/>
      <c r="ABE6" s="272"/>
      <c r="ABF6" s="272"/>
      <c r="ABG6" s="272"/>
    </row>
    <row r="7" spans="1:735" s="86" customFormat="1" ht="15">
      <c r="A7" s="629"/>
      <c r="B7" s="631"/>
      <c r="C7" s="631"/>
      <c r="D7" s="600"/>
      <c r="E7" s="619"/>
      <c r="F7" s="626"/>
      <c r="G7" s="636"/>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c r="DQ7" s="272"/>
      <c r="DR7" s="272"/>
      <c r="DS7" s="272"/>
      <c r="DT7" s="272"/>
      <c r="DU7" s="272"/>
      <c r="DV7" s="272"/>
      <c r="DW7" s="272"/>
      <c r="DX7" s="272"/>
      <c r="DY7" s="272"/>
      <c r="DZ7" s="272"/>
      <c r="EA7" s="272"/>
      <c r="EB7" s="272"/>
      <c r="EC7" s="272"/>
      <c r="ED7" s="272"/>
      <c r="EE7" s="272"/>
      <c r="EF7" s="272"/>
      <c r="EG7" s="272"/>
      <c r="EH7" s="272"/>
      <c r="EI7" s="272"/>
      <c r="EJ7" s="272"/>
      <c r="EK7" s="272"/>
      <c r="EL7" s="272"/>
      <c r="EM7" s="272"/>
      <c r="EN7" s="272"/>
      <c r="EO7" s="272"/>
      <c r="EP7" s="272"/>
      <c r="EQ7" s="272"/>
      <c r="ER7" s="272"/>
      <c r="ES7" s="272"/>
      <c r="ET7" s="272"/>
      <c r="EU7" s="272"/>
      <c r="EV7" s="272"/>
      <c r="EW7" s="272"/>
      <c r="EX7" s="272"/>
      <c r="EY7" s="272"/>
      <c r="EZ7" s="272"/>
      <c r="FA7" s="272"/>
      <c r="FB7" s="272"/>
      <c r="FC7" s="272"/>
      <c r="FD7" s="272"/>
      <c r="FE7" s="272"/>
      <c r="FF7" s="272"/>
      <c r="FG7" s="272"/>
      <c r="FH7" s="272"/>
      <c r="FI7" s="272"/>
      <c r="FJ7" s="272"/>
      <c r="FK7" s="272"/>
      <c r="FL7" s="272"/>
      <c r="FM7" s="272"/>
      <c r="FN7" s="272"/>
      <c r="FO7" s="272"/>
      <c r="FP7" s="272"/>
      <c r="FQ7" s="272"/>
      <c r="FR7" s="272"/>
      <c r="FS7" s="272"/>
      <c r="FT7" s="272"/>
      <c r="FU7" s="272"/>
      <c r="FV7" s="272"/>
      <c r="FW7" s="272"/>
      <c r="FX7" s="272"/>
      <c r="FY7" s="272"/>
      <c r="FZ7" s="272"/>
      <c r="GA7" s="272"/>
      <c r="GB7" s="272"/>
      <c r="GC7" s="272"/>
      <c r="GD7" s="272"/>
      <c r="GE7" s="272"/>
      <c r="GF7" s="272"/>
      <c r="GG7" s="272"/>
      <c r="GH7" s="272"/>
      <c r="GI7" s="272"/>
      <c r="GJ7" s="272"/>
      <c r="GK7" s="272"/>
      <c r="GL7" s="272"/>
      <c r="GM7" s="272"/>
      <c r="GN7" s="272"/>
      <c r="GO7" s="272"/>
      <c r="GP7" s="272"/>
      <c r="GQ7" s="272"/>
      <c r="GR7" s="272"/>
      <c r="GS7" s="272"/>
      <c r="GT7" s="272"/>
      <c r="GU7" s="272"/>
      <c r="GV7" s="272"/>
      <c r="GW7" s="272"/>
      <c r="GX7" s="272"/>
      <c r="GY7" s="272"/>
      <c r="GZ7" s="272"/>
      <c r="HA7" s="272"/>
      <c r="HB7" s="272"/>
      <c r="HC7" s="272"/>
      <c r="HD7" s="272"/>
      <c r="HE7" s="272"/>
      <c r="HF7" s="272"/>
      <c r="HG7" s="272"/>
      <c r="HH7" s="272"/>
      <c r="HI7" s="272"/>
      <c r="HJ7" s="272"/>
      <c r="HK7" s="272"/>
      <c r="HL7" s="272"/>
      <c r="HM7" s="272"/>
      <c r="HN7" s="272"/>
      <c r="HO7" s="272"/>
      <c r="HP7" s="272"/>
      <c r="HQ7" s="272"/>
      <c r="HR7" s="272"/>
      <c r="HS7" s="272"/>
      <c r="HT7" s="272"/>
      <c r="HU7" s="272"/>
      <c r="HV7" s="272"/>
      <c r="HW7" s="272"/>
      <c r="HX7" s="272"/>
      <c r="HY7" s="272"/>
      <c r="HZ7" s="272"/>
      <c r="IA7" s="272"/>
      <c r="IB7" s="272"/>
      <c r="IC7" s="272"/>
      <c r="ID7" s="272"/>
      <c r="IE7" s="272"/>
      <c r="IF7" s="272"/>
      <c r="IG7" s="272"/>
      <c r="IH7" s="272"/>
      <c r="II7" s="272"/>
      <c r="IJ7" s="272"/>
      <c r="IK7" s="272"/>
      <c r="IL7" s="272"/>
      <c r="IM7" s="272"/>
      <c r="IN7" s="272"/>
      <c r="IO7" s="272"/>
      <c r="IP7" s="272"/>
      <c r="IQ7" s="272"/>
      <c r="IR7" s="272"/>
      <c r="IS7" s="272"/>
      <c r="IT7" s="272"/>
      <c r="IU7" s="272"/>
      <c r="IV7" s="272"/>
      <c r="IW7" s="272"/>
      <c r="IX7" s="272"/>
      <c r="IY7" s="272"/>
      <c r="IZ7" s="272"/>
      <c r="JA7" s="272"/>
      <c r="JB7" s="272"/>
      <c r="JC7" s="272"/>
      <c r="JD7" s="272"/>
      <c r="JE7" s="272"/>
      <c r="JF7" s="272"/>
      <c r="JG7" s="272"/>
      <c r="JH7" s="272"/>
      <c r="JI7" s="272"/>
      <c r="JJ7" s="272"/>
      <c r="JK7" s="272"/>
      <c r="JL7" s="272"/>
      <c r="JM7" s="272"/>
      <c r="JN7" s="272"/>
      <c r="JO7" s="272"/>
      <c r="JP7" s="272"/>
      <c r="JQ7" s="272"/>
      <c r="JR7" s="272"/>
      <c r="JS7" s="272"/>
      <c r="JT7" s="272"/>
      <c r="JU7" s="272"/>
      <c r="JV7" s="272"/>
      <c r="JW7" s="272"/>
      <c r="JX7" s="272"/>
      <c r="JY7" s="272"/>
      <c r="JZ7" s="272"/>
      <c r="KA7" s="272"/>
      <c r="KB7" s="272"/>
      <c r="KC7" s="272"/>
      <c r="KD7" s="272"/>
      <c r="KE7" s="272"/>
      <c r="KF7" s="272"/>
      <c r="KG7" s="272"/>
      <c r="KH7" s="272"/>
      <c r="KI7" s="272"/>
      <c r="KJ7" s="272"/>
      <c r="KK7" s="272"/>
      <c r="KL7" s="272"/>
      <c r="KM7" s="272"/>
      <c r="KN7" s="272"/>
      <c r="KO7" s="272"/>
      <c r="KP7" s="272"/>
      <c r="KQ7" s="272"/>
      <c r="KR7" s="272"/>
      <c r="KS7" s="272"/>
      <c r="KT7" s="272"/>
      <c r="KU7" s="272"/>
      <c r="KV7" s="272"/>
      <c r="KW7" s="272"/>
      <c r="KX7" s="272"/>
      <c r="KY7" s="272"/>
      <c r="KZ7" s="272"/>
      <c r="LA7" s="272"/>
      <c r="LB7" s="272"/>
      <c r="LC7" s="272"/>
      <c r="LD7" s="272"/>
      <c r="LE7" s="272"/>
      <c r="LF7" s="272"/>
      <c r="LG7" s="272"/>
      <c r="LH7" s="272"/>
      <c r="LI7" s="272"/>
      <c r="LJ7" s="272"/>
      <c r="LK7" s="272"/>
      <c r="LL7" s="272"/>
      <c r="LM7" s="272"/>
      <c r="LN7" s="272"/>
      <c r="LO7" s="272"/>
      <c r="LP7" s="272"/>
      <c r="LQ7" s="272"/>
      <c r="LR7" s="272"/>
      <c r="LS7" s="272"/>
      <c r="LT7" s="272"/>
      <c r="LU7" s="272"/>
      <c r="LV7" s="272"/>
      <c r="LW7" s="272"/>
      <c r="LX7" s="272"/>
      <c r="LY7" s="272"/>
      <c r="LZ7" s="272"/>
      <c r="MA7" s="272"/>
      <c r="MB7" s="272"/>
      <c r="MC7" s="272"/>
      <c r="MD7" s="272"/>
      <c r="ME7" s="272"/>
      <c r="MF7" s="272"/>
      <c r="MG7" s="272"/>
      <c r="MH7" s="272"/>
      <c r="MI7" s="272"/>
      <c r="MJ7" s="272"/>
      <c r="MK7" s="272"/>
      <c r="ML7" s="272"/>
      <c r="MM7" s="272"/>
      <c r="MN7" s="272"/>
      <c r="MO7" s="272"/>
      <c r="MP7" s="272"/>
      <c r="MQ7" s="272"/>
      <c r="MR7" s="272"/>
      <c r="MS7" s="272"/>
      <c r="MT7" s="272"/>
      <c r="MU7" s="272"/>
      <c r="MV7" s="272"/>
      <c r="MW7" s="272"/>
      <c r="MX7" s="272"/>
      <c r="MY7" s="272"/>
      <c r="MZ7" s="272"/>
      <c r="NA7" s="272"/>
      <c r="NB7" s="272"/>
      <c r="NC7" s="272"/>
      <c r="ND7" s="272"/>
      <c r="NE7" s="272"/>
      <c r="NF7" s="272"/>
      <c r="NG7" s="272"/>
      <c r="NH7" s="272"/>
      <c r="NI7" s="272"/>
      <c r="NJ7" s="272"/>
      <c r="NK7" s="272"/>
      <c r="NL7" s="272"/>
      <c r="NM7" s="272"/>
      <c r="NN7" s="272"/>
      <c r="NO7" s="272"/>
      <c r="NP7" s="272"/>
      <c r="NQ7" s="272"/>
      <c r="NR7" s="272"/>
      <c r="NS7" s="272"/>
      <c r="NT7" s="272"/>
      <c r="NU7" s="272"/>
      <c r="NV7" s="272"/>
      <c r="NW7" s="272"/>
      <c r="NX7" s="272"/>
      <c r="NY7" s="272"/>
      <c r="NZ7" s="272"/>
      <c r="OA7" s="272"/>
      <c r="OB7" s="272"/>
      <c r="OC7" s="272"/>
      <c r="OD7" s="272"/>
      <c r="OE7" s="272"/>
      <c r="OF7" s="272"/>
      <c r="OG7" s="272"/>
      <c r="OH7" s="272"/>
      <c r="OI7" s="272"/>
      <c r="OJ7" s="272"/>
      <c r="OK7" s="272"/>
      <c r="OL7" s="272"/>
      <c r="OM7" s="272"/>
      <c r="ON7" s="272"/>
      <c r="OO7" s="272"/>
      <c r="OP7" s="272"/>
      <c r="OQ7" s="272"/>
      <c r="OR7" s="272"/>
      <c r="OS7" s="272"/>
      <c r="OT7" s="272"/>
      <c r="OU7" s="272"/>
      <c r="OV7" s="272"/>
      <c r="OW7" s="272"/>
      <c r="OX7" s="272"/>
      <c r="OY7" s="272"/>
      <c r="OZ7" s="272"/>
      <c r="PA7" s="272"/>
      <c r="PB7" s="272"/>
      <c r="PC7" s="272"/>
      <c r="PD7" s="272"/>
      <c r="PE7" s="272"/>
      <c r="PF7" s="272"/>
      <c r="PG7" s="272"/>
      <c r="PH7" s="272"/>
      <c r="PI7" s="272"/>
      <c r="PJ7" s="272"/>
      <c r="PK7" s="272"/>
      <c r="PL7" s="272"/>
      <c r="PM7" s="272"/>
      <c r="PN7" s="272"/>
      <c r="PO7" s="272"/>
      <c r="PP7" s="272"/>
      <c r="PQ7" s="272"/>
      <c r="PR7" s="272"/>
      <c r="PS7" s="272"/>
      <c r="PT7" s="272"/>
      <c r="PU7" s="272"/>
      <c r="PV7" s="272"/>
      <c r="PW7" s="272"/>
      <c r="PX7" s="272"/>
      <c r="PY7" s="272"/>
      <c r="PZ7" s="272"/>
      <c r="QA7" s="272"/>
      <c r="QB7" s="272"/>
      <c r="QC7" s="272"/>
      <c r="QD7" s="272"/>
      <c r="QE7" s="272"/>
      <c r="QF7" s="272"/>
      <c r="QG7" s="272"/>
      <c r="QH7" s="272"/>
      <c r="QI7" s="272"/>
      <c r="QJ7" s="272"/>
      <c r="QK7" s="272"/>
      <c r="QL7" s="272"/>
      <c r="QM7" s="272"/>
      <c r="QN7" s="272"/>
      <c r="QO7" s="272"/>
      <c r="QP7" s="272"/>
      <c r="QQ7" s="272"/>
      <c r="QR7" s="272"/>
      <c r="QS7" s="272"/>
      <c r="QT7" s="272"/>
      <c r="QU7" s="272"/>
      <c r="QV7" s="272"/>
      <c r="QW7" s="272"/>
      <c r="QX7" s="272"/>
      <c r="QY7" s="272"/>
      <c r="QZ7" s="272"/>
      <c r="RA7" s="272"/>
      <c r="RB7" s="272"/>
      <c r="RC7" s="272"/>
      <c r="RD7" s="272"/>
      <c r="RE7" s="272"/>
      <c r="RF7" s="272"/>
      <c r="RG7" s="272"/>
      <c r="RH7" s="272"/>
      <c r="RI7" s="272"/>
      <c r="RJ7" s="272"/>
      <c r="RK7" s="272"/>
      <c r="RL7" s="272"/>
      <c r="RM7" s="272"/>
      <c r="RN7" s="272"/>
      <c r="RO7" s="272"/>
      <c r="RP7" s="272"/>
      <c r="RQ7" s="272"/>
      <c r="RR7" s="272"/>
      <c r="RS7" s="272"/>
      <c r="RT7" s="272"/>
      <c r="RU7" s="272"/>
      <c r="RV7" s="272"/>
      <c r="RW7" s="272"/>
      <c r="RX7" s="272"/>
      <c r="RY7" s="272"/>
      <c r="RZ7" s="272"/>
      <c r="SA7" s="272"/>
      <c r="SB7" s="272"/>
      <c r="SC7" s="272"/>
      <c r="SD7" s="272"/>
      <c r="SE7" s="272"/>
      <c r="SF7" s="272"/>
      <c r="SG7" s="272"/>
      <c r="SH7" s="272"/>
      <c r="SI7" s="272"/>
      <c r="SJ7" s="272"/>
      <c r="SK7" s="272"/>
      <c r="SL7" s="272"/>
      <c r="SM7" s="272"/>
      <c r="SN7" s="272"/>
      <c r="SO7" s="272"/>
      <c r="SP7" s="272"/>
      <c r="SQ7" s="272"/>
      <c r="SR7" s="272"/>
      <c r="SS7" s="272"/>
      <c r="ST7" s="272"/>
      <c r="SU7" s="272"/>
      <c r="SV7" s="272"/>
      <c r="SW7" s="272"/>
      <c r="SX7" s="272"/>
      <c r="SY7" s="272"/>
      <c r="SZ7" s="272"/>
      <c r="TA7" s="272"/>
      <c r="TB7" s="272"/>
      <c r="TC7" s="272"/>
      <c r="TD7" s="272"/>
      <c r="TE7" s="272"/>
      <c r="TF7" s="272"/>
      <c r="TG7" s="272"/>
      <c r="TH7" s="272"/>
      <c r="TI7" s="272"/>
      <c r="TJ7" s="272"/>
      <c r="TK7" s="272"/>
      <c r="TL7" s="272"/>
      <c r="TM7" s="272"/>
      <c r="TN7" s="272"/>
      <c r="TO7" s="272"/>
      <c r="TP7" s="272"/>
      <c r="TQ7" s="272"/>
      <c r="TR7" s="272"/>
      <c r="TS7" s="272"/>
      <c r="TT7" s="272"/>
      <c r="TU7" s="272"/>
      <c r="TV7" s="272"/>
      <c r="TW7" s="272"/>
      <c r="TX7" s="272"/>
      <c r="TY7" s="272"/>
      <c r="TZ7" s="272"/>
      <c r="UA7" s="272"/>
      <c r="UB7" s="272"/>
      <c r="UC7" s="272"/>
      <c r="UD7" s="272"/>
      <c r="UE7" s="272"/>
      <c r="UF7" s="272"/>
      <c r="UG7" s="272"/>
      <c r="UH7" s="272"/>
      <c r="UI7" s="272"/>
      <c r="UJ7" s="272"/>
      <c r="UK7" s="272"/>
      <c r="UL7" s="272"/>
      <c r="UM7" s="272"/>
      <c r="UN7" s="272"/>
      <c r="UO7" s="272"/>
      <c r="UP7" s="272"/>
      <c r="UQ7" s="272"/>
      <c r="UR7" s="272"/>
      <c r="US7" s="272"/>
      <c r="UT7" s="272"/>
      <c r="UU7" s="272"/>
      <c r="UV7" s="272"/>
      <c r="UW7" s="272"/>
      <c r="UX7" s="272"/>
      <c r="UY7" s="272"/>
      <c r="UZ7" s="272"/>
      <c r="VA7" s="272"/>
      <c r="VB7" s="272"/>
      <c r="VC7" s="272"/>
      <c r="VD7" s="272"/>
      <c r="VE7" s="272"/>
      <c r="VF7" s="272"/>
      <c r="VG7" s="272"/>
      <c r="VH7" s="272"/>
      <c r="VI7" s="272"/>
      <c r="VJ7" s="272"/>
      <c r="VK7" s="272"/>
      <c r="VL7" s="272"/>
      <c r="VM7" s="272"/>
      <c r="VN7" s="272"/>
      <c r="VO7" s="272"/>
      <c r="VP7" s="272"/>
      <c r="VQ7" s="272"/>
      <c r="VR7" s="272"/>
      <c r="VS7" s="272"/>
      <c r="VT7" s="272"/>
      <c r="VU7" s="272"/>
      <c r="VV7" s="272"/>
      <c r="VW7" s="272"/>
      <c r="VX7" s="272"/>
      <c r="VY7" s="272"/>
      <c r="VZ7" s="272"/>
      <c r="WA7" s="272"/>
      <c r="WB7" s="272"/>
      <c r="WC7" s="272"/>
      <c r="WD7" s="272"/>
      <c r="WE7" s="272"/>
      <c r="WF7" s="272"/>
      <c r="WG7" s="272"/>
      <c r="WH7" s="272"/>
      <c r="WI7" s="272"/>
      <c r="WJ7" s="272"/>
      <c r="WK7" s="272"/>
      <c r="WL7" s="272"/>
      <c r="WM7" s="272"/>
      <c r="WN7" s="272"/>
      <c r="WO7" s="272"/>
      <c r="WP7" s="272"/>
      <c r="WQ7" s="272"/>
      <c r="WR7" s="272"/>
      <c r="WS7" s="272"/>
      <c r="WT7" s="272"/>
      <c r="WU7" s="272"/>
      <c r="WV7" s="272"/>
      <c r="WW7" s="272"/>
      <c r="WX7" s="272"/>
      <c r="WY7" s="272"/>
      <c r="WZ7" s="272"/>
      <c r="XA7" s="272"/>
      <c r="XB7" s="272"/>
      <c r="XC7" s="272"/>
      <c r="XD7" s="272"/>
      <c r="XE7" s="272"/>
      <c r="XF7" s="272"/>
      <c r="XG7" s="272"/>
      <c r="XH7" s="272"/>
      <c r="XI7" s="272"/>
      <c r="XJ7" s="272"/>
      <c r="XK7" s="272"/>
      <c r="XL7" s="272"/>
      <c r="XM7" s="272"/>
      <c r="XN7" s="272"/>
      <c r="XO7" s="272"/>
      <c r="XP7" s="272"/>
      <c r="XQ7" s="272"/>
      <c r="XR7" s="272"/>
      <c r="XS7" s="272"/>
      <c r="XT7" s="272"/>
      <c r="XU7" s="272"/>
      <c r="XV7" s="272"/>
      <c r="XW7" s="272"/>
      <c r="XX7" s="272"/>
      <c r="XY7" s="272"/>
      <c r="XZ7" s="272"/>
      <c r="YA7" s="272"/>
      <c r="YB7" s="272"/>
      <c r="YC7" s="272"/>
      <c r="YD7" s="272"/>
      <c r="YE7" s="272"/>
      <c r="YF7" s="272"/>
      <c r="YG7" s="272"/>
      <c r="YH7" s="272"/>
      <c r="YI7" s="272"/>
      <c r="YJ7" s="272"/>
      <c r="YK7" s="272"/>
      <c r="YL7" s="272"/>
      <c r="YM7" s="272"/>
      <c r="YN7" s="272"/>
      <c r="YO7" s="272"/>
      <c r="YP7" s="272"/>
      <c r="YQ7" s="272"/>
      <c r="YR7" s="272"/>
      <c r="YS7" s="272"/>
      <c r="YT7" s="272"/>
      <c r="YU7" s="272"/>
      <c r="YV7" s="272"/>
      <c r="YW7" s="272"/>
      <c r="YX7" s="272"/>
      <c r="YY7" s="272"/>
      <c r="YZ7" s="272"/>
      <c r="ZA7" s="272"/>
      <c r="ZB7" s="272"/>
      <c r="ZC7" s="272"/>
      <c r="ZD7" s="272"/>
      <c r="ZE7" s="272"/>
      <c r="ZF7" s="272"/>
      <c r="ZG7" s="272"/>
      <c r="ZH7" s="272"/>
      <c r="ZI7" s="272"/>
      <c r="ZJ7" s="272"/>
      <c r="ZK7" s="272"/>
      <c r="ZL7" s="272"/>
      <c r="ZM7" s="272"/>
      <c r="ZN7" s="272"/>
      <c r="ZO7" s="272"/>
      <c r="ZP7" s="272"/>
      <c r="ZQ7" s="272"/>
      <c r="ZR7" s="272"/>
      <c r="ZS7" s="272"/>
      <c r="ZT7" s="272"/>
      <c r="ZU7" s="272"/>
      <c r="ZV7" s="272"/>
      <c r="ZW7" s="272"/>
      <c r="ZX7" s="272"/>
      <c r="ZY7" s="272"/>
      <c r="ZZ7" s="272"/>
      <c r="AAA7" s="272"/>
      <c r="AAB7" s="272"/>
      <c r="AAC7" s="272"/>
      <c r="AAD7" s="272"/>
      <c r="AAE7" s="272"/>
      <c r="AAF7" s="272"/>
      <c r="AAG7" s="272"/>
      <c r="AAH7" s="272"/>
      <c r="AAI7" s="272"/>
      <c r="AAJ7" s="272"/>
      <c r="AAK7" s="272"/>
      <c r="AAL7" s="272"/>
      <c r="AAM7" s="272"/>
      <c r="AAN7" s="272"/>
      <c r="AAO7" s="272"/>
      <c r="AAP7" s="272"/>
      <c r="AAQ7" s="272"/>
      <c r="AAR7" s="272"/>
      <c r="AAS7" s="272"/>
      <c r="AAT7" s="272"/>
      <c r="AAU7" s="272"/>
      <c r="AAV7" s="272"/>
      <c r="AAW7" s="272"/>
      <c r="AAX7" s="272"/>
      <c r="AAY7" s="272"/>
      <c r="AAZ7" s="272"/>
      <c r="ABA7" s="272"/>
      <c r="ABB7" s="272"/>
      <c r="ABC7" s="272"/>
      <c r="ABD7" s="272"/>
      <c r="ABE7" s="272"/>
      <c r="ABF7" s="272"/>
      <c r="ABG7" s="272"/>
    </row>
    <row r="8" spans="1:735" s="86" customFormat="1" ht="15">
      <c r="A8" s="629"/>
      <c r="B8" s="631"/>
      <c r="C8" s="631"/>
      <c r="D8" s="600"/>
      <c r="E8" s="619"/>
      <c r="F8" s="626"/>
      <c r="G8" s="636"/>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c r="IG8" s="272"/>
      <c r="IH8" s="272"/>
      <c r="II8" s="272"/>
      <c r="IJ8" s="272"/>
      <c r="IK8" s="272"/>
      <c r="IL8" s="272"/>
      <c r="IM8" s="272"/>
      <c r="IN8" s="272"/>
      <c r="IO8" s="272"/>
      <c r="IP8" s="272"/>
      <c r="IQ8" s="272"/>
      <c r="IR8" s="272"/>
      <c r="IS8" s="272"/>
      <c r="IT8" s="272"/>
      <c r="IU8" s="272"/>
      <c r="IV8" s="272"/>
      <c r="IW8" s="272"/>
      <c r="IX8" s="272"/>
      <c r="IY8" s="272"/>
      <c r="IZ8" s="272"/>
      <c r="JA8" s="272"/>
      <c r="JB8" s="272"/>
      <c r="JC8" s="272"/>
      <c r="JD8" s="272"/>
      <c r="JE8" s="272"/>
      <c r="JF8" s="272"/>
      <c r="JG8" s="272"/>
      <c r="JH8" s="272"/>
      <c r="JI8" s="272"/>
      <c r="JJ8" s="272"/>
      <c r="JK8" s="272"/>
      <c r="JL8" s="272"/>
      <c r="JM8" s="272"/>
      <c r="JN8" s="272"/>
      <c r="JO8" s="272"/>
      <c r="JP8" s="272"/>
      <c r="JQ8" s="272"/>
      <c r="JR8" s="272"/>
      <c r="JS8" s="272"/>
      <c r="JT8" s="272"/>
      <c r="JU8" s="272"/>
      <c r="JV8" s="272"/>
      <c r="JW8" s="272"/>
      <c r="JX8" s="272"/>
      <c r="JY8" s="272"/>
      <c r="JZ8" s="272"/>
      <c r="KA8" s="272"/>
      <c r="KB8" s="272"/>
      <c r="KC8" s="272"/>
      <c r="KD8" s="272"/>
      <c r="KE8" s="272"/>
      <c r="KF8" s="272"/>
      <c r="KG8" s="272"/>
      <c r="KH8" s="272"/>
      <c r="KI8" s="272"/>
      <c r="KJ8" s="272"/>
      <c r="KK8" s="272"/>
      <c r="KL8" s="272"/>
      <c r="KM8" s="272"/>
      <c r="KN8" s="272"/>
      <c r="KO8" s="272"/>
      <c r="KP8" s="272"/>
      <c r="KQ8" s="272"/>
      <c r="KR8" s="272"/>
      <c r="KS8" s="272"/>
      <c r="KT8" s="272"/>
      <c r="KU8" s="272"/>
      <c r="KV8" s="272"/>
      <c r="KW8" s="272"/>
      <c r="KX8" s="272"/>
      <c r="KY8" s="272"/>
      <c r="KZ8" s="272"/>
      <c r="LA8" s="272"/>
      <c r="LB8" s="272"/>
      <c r="LC8" s="272"/>
      <c r="LD8" s="272"/>
      <c r="LE8" s="272"/>
      <c r="LF8" s="272"/>
      <c r="LG8" s="272"/>
      <c r="LH8" s="272"/>
      <c r="LI8" s="272"/>
      <c r="LJ8" s="272"/>
      <c r="LK8" s="272"/>
      <c r="LL8" s="272"/>
      <c r="LM8" s="272"/>
      <c r="LN8" s="272"/>
      <c r="LO8" s="272"/>
      <c r="LP8" s="272"/>
      <c r="LQ8" s="272"/>
      <c r="LR8" s="272"/>
      <c r="LS8" s="272"/>
      <c r="LT8" s="272"/>
      <c r="LU8" s="272"/>
      <c r="LV8" s="272"/>
      <c r="LW8" s="272"/>
      <c r="LX8" s="272"/>
      <c r="LY8" s="272"/>
      <c r="LZ8" s="272"/>
      <c r="MA8" s="272"/>
      <c r="MB8" s="272"/>
      <c r="MC8" s="272"/>
      <c r="MD8" s="272"/>
      <c r="ME8" s="272"/>
      <c r="MF8" s="272"/>
      <c r="MG8" s="272"/>
      <c r="MH8" s="272"/>
      <c r="MI8" s="272"/>
      <c r="MJ8" s="272"/>
      <c r="MK8" s="272"/>
      <c r="ML8" s="272"/>
      <c r="MM8" s="272"/>
      <c r="MN8" s="272"/>
      <c r="MO8" s="272"/>
      <c r="MP8" s="272"/>
      <c r="MQ8" s="272"/>
      <c r="MR8" s="272"/>
      <c r="MS8" s="272"/>
      <c r="MT8" s="272"/>
      <c r="MU8" s="272"/>
      <c r="MV8" s="272"/>
      <c r="MW8" s="272"/>
      <c r="MX8" s="272"/>
      <c r="MY8" s="272"/>
      <c r="MZ8" s="272"/>
      <c r="NA8" s="272"/>
      <c r="NB8" s="272"/>
      <c r="NC8" s="272"/>
      <c r="ND8" s="272"/>
      <c r="NE8" s="272"/>
      <c r="NF8" s="272"/>
      <c r="NG8" s="272"/>
      <c r="NH8" s="272"/>
      <c r="NI8" s="272"/>
      <c r="NJ8" s="272"/>
      <c r="NK8" s="272"/>
      <c r="NL8" s="272"/>
      <c r="NM8" s="272"/>
      <c r="NN8" s="272"/>
      <c r="NO8" s="272"/>
      <c r="NP8" s="272"/>
      <c r="NQ8" s="272"/>
      <c r="NR8" s="272"/>
      <c r="NS8" s="272"/>
      <c r="NT8" s="272"/>
      <c r="NU8" s="272"/>
      <c r="NV8" s="272"/>
      <c r="NW8" s="272"/>
      <c r="NX8" s="272"/>
      <c r="NY8" s="272"/>
      <c r="NZ8" s="272"/>
      <c r="OA8" s="272"/>
      <c r="OB8" s="272"/>
      <c r="OC8" s="272"/>
      <c r="OD8" s="272"/>
      <c r="OE8" s="272"/>
      <c r="OF8" s="272"/>
      <c r="OG8" s="272"/>
      <c r="OH8" s="272"/>
      <c r="OI8" s="272"/>
      <c r="OJ8" s="272"/>
      <c r="OK8" s="272"/>
      <c r="OL8" s="272"/>
      <c r="OM8" s="272"/>
      <c r="ON8" s="272"/>
      <c r="OO8" s="272"/>
      <c r="OP8" s="272"/>
      <c r="OQ8" s="272"/>
      <c r="OR8" s="272"/>
      <c r="OS8" s="272"/>
      <c r="OT8" s="272"/>
      <c r="OU8" s="272"/>
      <c r="OV8" s="272"/>
      <c r="OW8" s="272"/>
      <c r="OX8" s="272"/>
      <c r="OY8" s="272"/>
      <c r="OZ8" s="272"/>
      <c r="PA8" s="272"/>
      <c r="PB8" s="272"/>
      <c r="PC8" s="272"/>
      <c r="PD8" s="272"/>
      <c r="PE8" s="272"/>
      <c r="PF8" s="272"/>
      <c r="PG8" s="272"/>
      <c r="PH8" s="272"/>
      <c r="PI8" s="272"/>
      <c r="PJ8" s="272"/>
      <c r="PK8" s="272"/>
      <c r="PL8" s="272"/>
      <c r="PM8" s="272"/>
      <c r="PN8" s="272"/>
      <c r="PO8" s="272"/>
      <c r="PP8" s="272"/>
      <c r="PQ8" s="272"/>
      <c r="PR8" s="272"/>
      <c r="PS8" s="272"/>
      <c r="PT8" s="272"/>
      <c r="PU8" s="272"/>
      <c r="PV8" s="272"/>
      <c r="PW8" s="272"/>
      <c r="PX8" s="272"/>
      <c r="PY8" s="272"/>
      <c r="PZ8" s="272"/>
      <c r="QA8" s="272"/>
      <c r="QB8" s="272"/>
      <c r="QC8" s="272"/>
      <c r="QD8" s="272"/>
      <c r="QE8" s="272"/>
      <c r="QF8" s="272"/>
      <c r="QG8" s="272"/>
      <c r="QH8" s="272"/>
      <c r="QI8" s="272"/>
      <c r="QJ8" s="272"/>
      <c r="QK8" s="272"/>
      <c r="QL8" s="272"/>
      <c r="QM8" s="272"/>
      <c r="QN8" s="272"/>
      <c r="QO8" s="272"/>
      <c r="QP8" s="272"/>
      <c r="QQ8" s="272"/>
      <c r="QR8" s="272"/>
      <c r="QS8" s="272"/>
      <c r="QT8" s="272"/>
      <c r="QU8" s="272"/>
      <c r="QV8" s="272"/>
      <c r="QW8" s="272"/>
      <c r="QX8" s="272"/>
      <c r="QY8" s="272"/>
      <c r="QZ8" s="272"/>
      <c r="RA8" s="272"/>
      <c r="RB8" s="272"/>
      <c r="RC8" s="272"/>
      <c r="RD8" s="272"/>
      <c r="RE8" s="272"/>
      <c r="RF8" s="272"/>
      <c r="RG8" s="272"/>
      <c r="RH8" s="272"/>
      <c r="RI8" s="272"/>
      <c r="RJ8" s="272"/>
      <c r="RK8" s="272"/>
      <c r="RL8" s="272"/>
      <c r="RM8" s="272"/>
      <c r="RN8" s="272"/>
      <c r="RO8" s="272"/>
      <c r="RP8" s="272"/>
      <c r="RQ8" s="272"/>
      <c r="RR8" s="272"/>
      <c r="RS8" s="272"/>
      <c r="RT8" s="272"/>
      <c r="RU8" s="272"/>
      <c r="RV8" s="272"/>
      <c r="RW8" s="272"/>
      <c r="RX8" s="272"/>
      <c r="RY8" s="272"/>
      <c r="RZ8" s="272"/>
      <c r="SA8" s="272"/>
      <c r="SB8" s="272"/>
      <c r="SC8" s="272"/>
      <c r="SD8" s="272"/>
      <c r="SE8" s="272"/>
      <c r="SF8" s="272"/>
      <c r="SG8" s="272"/>
      <c r="SH8" s="272"/>
      <c r="SI8" s="272"/>
      <c r="SJ8" s="272"/>
      <c r="SK8" s="272"/>
      <c r="SL8" s="272"/>
      <c r="SM8" s="272"/>
      <c r="SN8" s="272"/>
      <c r="SO8" s="272"/>
      <c r="SP8" s="272"/>
      <c r="SQ8" s="272"/>
      <c r="SR8" s="272"/>
      <c r="SS8" s="272"/>
      <c r="ST8" s="272"/>
      <c r="SU8" s="272"/>
      <c r="SV8" s="272"/>
      <c r="SW8" s="272"/>
      <c r="SX8" s="272"/>
      <c r="SY8" s="272"/>
      <c r="SZ8" s="272"/>
      <c r="TA8" s="272"/>
      <c r="TB8" s="272"/>
      <c r="TC8" s="272"/>
      <c r="TD8" s="272"/>
      <c r="TE8" s="272"/>
      <c r="TF8" s="272"/>
      <c r="TG8" s="272"/>
      <c r="TH8" s="272"/>
      <c r="TI8" s="272"/>
      <c r="TJ8" s="272"/>
      <c r="TK8" s="272"/>
      <c r="TL8" s="272"/>
      <c r="TM8" s="272"/>
      <c r="TN8" s="272"/>
      <c r="TO8" s="272"/>
      <c r="TP8" s="272"/>
      <c r="TQ8" s="272"/>
      <c r="TR8" s="272"/>
      <c r="TS8" s="272"/>
      <c r="TT8" s="272"/>
      <c r="TU8" s="272"/>
      <c r="TV8" s="272"/>
      <c r="TW8" s="272"/>
      <c r="TX8" s="272"/>
      <c r="TY8" s="272"/>
      <c r="TZ8" s="272"/>
      <c r="UA8" s="272"/>
      <c r="UB8" s="272"/>
      <c r="UC8" s="272"/>
      <c r="UD8" s="272"/>
      <c r="UE8" s="272"/>
      <c r="UF8" s="272"/>
      <c r="UG8" s="272"/>
      <c r="UH8" s="272"/>
      <c r="UI8" s="272"/>
      <c r="UJ8" s="272"/>
      <c r="UK8" s="272"/>
      <c r="UL8" s="272"/>
      <c r="UM8" s="272"/>
      <c r="UN8" s="272"/>
      <c r="UO8" s="272"/>
      <c r="UP8" s="272"/>
      <c r="UQ8" s="272"/>
      <c r="UR8" s="272"/>
      <c r="US8" s="272"/>
      <c r="UT8" s="272"/>
      <c r="UU8" s="272"/>
      <c r="UV8" s="272"/>
      <c r="UW8" s="272"/>
      <c r="UX8" s="272"/>
      <c r="UY8" s="272"/>
      <c r="UZ8" s="272"/>
      <c r="VA8" s="272"/>
      <c r="VB8" s="272"/>
      <c r="VC8" s="272"/>
      <c r="VD8" s="272"/>
      <c r="VE8" s="272"/>
      <c r="VF8" s="272"/>
      <c r="VG8" s="272"/>
      <c r="VH8" s="272"/>
      <c r="VI8" s="272"/>
      <c r="VJ8" s="272"/>
      <c r="VK8" s="272"/>
      <c r="VL8" s="272"/>
      <c r="VM8" s="272"/>
      <c r="VN8" s="272"/>
      <c r="VO8" s="272"/>
      <c r="VP8" s="272"/>
      <c r="VQ8" s="272"/>
      <c r="VR8" s="272"/>
      <c r="VS8" s="272"/>
      <c r="VT8" s="272"/>
      <c r="VU8" s="272"/>
      <c r="VV8" s="272"/>
      <c r="VW8" s="272"/>
      <c r="VX8" s="272"/>
      <c r="VY8" s="272"/>
      <c r="VZ8" s="272"/>
      <c r="WA8" s="272"/>
      <c r="WB8" s="272"/>
      <c r="WC8" s="272"/>
      <c r="WD8" s="272"/>
      <c r="WE8" s="272"/>
      <c r="WF8" s="272"/>
      <c r="WG8" s="272"/>
      <c r="WH8" s="272"/>
      <c r="WI8" s="272"/>
      <c r="WJ8" s="272"/>
      <c r="WK8" s="272"/>
      <c r="WL8" s="272"/>
      <c r="WM8" s="272"/>
      <c r="WN8" s="272"/>
      <c r="WO8" s="272"/>
      <c r="WP8" s="272"/>
      <c r="WQ8" s="272"/>
      <c r="WR8" s="272"/>
      <c r="WS8" s="272"/>
      <c r="WT8" s="272"/>
      <c r="WU8" s="272"/>
      <c r="WV8" s="272"/>
      <c r="WW8" s="272"/>
      <c r="WX8" s="272"/>
      <c r="WY8" s="272"/>
      <c r="WZ8" s="272"/>
      <c r="XA8" s="272"/>
      <c r="XB8" s="272"/>
      <c r="XC8" s="272"/>
      <c r="XD8" s="272"/>
      <c r="XE8" s="272"/>
      <c r="XF8" s="272"/>
      <c r="XG8" s="272"/>
      <c r="XH8" s="272"/>
      <c r="XI8" s="272"/>
      <c r="XJ8" s="272"/>
      <c r="XK8" s="272"/>
      <c r="XL8" s="272"/>
      <c r="XM8" s="272"/>
      <c r="XN8" s="272"/>
      <c r="XO8" s="272"/>
      <c r="XP8" s="272"/>
      <c r="XQ8" s="272"/>
      <c r="XR8" s="272"/>
      <c r="XS8" s="272"/>
      <c r="XT8" s="272"/>
      <c r="XU8" s="272"/>
      <c r="XV8" s="272"/>
      <c r="XW8" s="272"/>
      <c r="XX8" s="272"/>
      <c r="XY8" s="272"/>
      <c r="XZ8" s="272"/>
      <c r="YA8" s="272"/>
      <c r="YB8" s="272"/>
      <c r="YC8" s="272"/>
      <c r="YD8" s="272"/>
      <c r="YE8" s="272"/>
      <c r="YF8" s="272"/>
      <c r="YG8" s="272"/>
      <c r="YH8" s="272"/>
      <c r="YI8" s="272"/>
      <c r="YJ8" s="272"/>
      <c r="YK8" s="272"/>
      <c r="YL8" s="272"/>
      <c r="YM8" s="272"/>
      <c r="YN8" s="272"/>
      <c r="YO8" s="272"/>
      <c r="YP8" s="272"/>
      <c r="YQ8" s="272"/>
      <c r="YR8" s="272"/>
      <c r="YS8" s="272"/>
      <c r="YT8" s="272"/>
      <c r="YU8" s="272"/>
      <c r="YV8" s="272"/>
      <c r="YW8" s="272"/>
      <c r="YX8" s="272"/>
      <c r="YY8" s="272"/>
      <c r="YZ8" s="272"/>
      <c r="ZA8" s="272"/>
      <c r="ZB8" s="272"/>
      <c r="ZC8" s="272"/>
      <c r="ZD8" s="272"/>
      <c r="ZE8" s="272"/>
      <c r="ZF8" s="272"/>
      <c r="ZG8" s="272"/>
      <c r="ZH8" s="272"/>
      <c r="ZI8" s="272"/>
      <c r="ZJ8" s="272"/>
      <c r="ZK8" s="272"/>
      <c r="ZL8" s="272"/>
      <c r="ZM8" s="272"/>
      <c r="ZN8" s="272"/>
      <c r="ZO8" s="272"/>
      <c r="ZP8" s="272"/>
      <c r="ZQ8" s="272"/>
      <c r="ZR8" s="272"/>
      <c r="ZS8" s="272"/>
      <c r="ZT8" s="272"/>
      <c r="ZU8" s="272"/>
      <c r="ZV8" s="272"/>
      <c r="ZW8" s="272"/>
      <c r="ZX8" s="272"/>
      <c r="ZY8" s="272"/>
      <c r="ZZ8" s="272"/>
      <c r="AAA8" s="272"/>
      <c r="AAB8" s="272"/>
      <c r="AAC8" s="272"/>
      <c r="AAD8" s="272"/>
      <c r="AAE8" s="272"/>
      <c r="AAF8" s="272"/>
      <c r="AAG8" s="272"/>
      <c r="AAH8" s="272"/>
      <c r="AAI8" s="272"/>
      <c r="AAJ8" s="272"/>
      <c r="AAK8" s="272"/>
      <c r="AAL8" s="272"/>
      <c r="AAM8" s="272"/>
      <c r="AAN8" s="272"/>
      <c r="AAO8" s="272"/>
      <c r="AAP8" s="272"/>
      <c r="AAQ8" s="272"/>
      <c r="AAR8" s="272"/>
      <c r="AAS8" s="272"/>
      <c r="AAT8" s="272"/>
      <c r="AAU8" s="272"/>
      <c r="AAV8" s="272"/>
      <c r="AAW8" s="272"/>
      <c r="AAX8" s="272"/>
      <c r="AAY8" s="272"/>
      <c r="AAZ8" s="272"/>
      <c r="ABA8" s="272"/>
      <c r="ABB8" s="272"/>
      <c r="ABC8" s="272"/>
      <c r="ABD8" s="272"/>
      <c r="ABE8" s="272"/>
      <c r="ABF8" s="272"/>
      <c r="ABG8" s="272"/>
    </row>
    <row r="9" spans="1:735" s="86" customFormat="1" ht="38.25" customHeight="1">
      <c r="A9" s="629"/>
      <c r="B9" s="631"/>
      <c r="C9" s="633"/>
      <c r="D9" s="601"/>
      <c r="E9" s="619"/>
      <c r="F9" s="627"/>
      <c r="G9" s="635"/>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272"/>
      <c r="EO9" s="272"/>
      <c r="EP9" s="272"/>
      <c r="EQ9" s="272"/>
      <c r="ER9" s="272"/>
      <c r="ES9" s="272"/>
      <c r="ET9" s="272"/>
      <c r="EU9" s="272"/>
      <c r="EV9" s="272"/>
      <c r="EW9" s="272"/>
      <c r="EX9" s="272"/>
      <c r="EY9" s="272"/>
      <c r="EZ9" s="272"/>
      <c r="FA9" s="272"/>
      <c r="FB9" s="272"/>
      <c r="FC9" s="272"/>
      <c r="FD9" s="272"/>
      <c r="FE9" s="272"/>
      <c r="FF9" s="272"/>
      <c r="FG9" s="272"/>
      <c r="FH9" s="272"/>
      <c r="FI9" s="272"/>
      <c r="FJ9" s="272"/>
      <c r="FK9" s="272"/>
      <c r="FL9" s="272"/>
      <c r="FM9" s="272"/>
      <c r="FN9" s="272"/>
      <c r="FO9" s="272"/>
      <c r="FP9" s="272"/>
      <c r="FQ9" s="272"/>
      <c r="FR9" s="272"/>
      <c r="FS9" s="272"/>
      <c r="FT9" s="272"/>
      <c r="FU9" s="272"/>
      <c r="FV9" s="272"/>
      <c r="FW9" s="272"/>
      <c r="FX9" s="272"/>
      <c r="FY9" s="272"/>
      <c r="FZ9" s="272"/>
      <c r="GA9" s="272"/>
      <c r="GB9" s="272"/>
      <c r="GC9" s="272"/>
      <c r="GD9" s="272"/>
      <c r="GE9" s="272"/>
      <c r="GF9" s="272"/>
      <c r="GG9" s="272"/>
      <c r="GH9" s="272"/>
      <c r="GI9" s="272"/>
      <c r="GJ9" s="272"/>
      <c r="GK9" s="272"/>
      <c r="GL9" s="272"/>
      <c r="GM9" s="272"/>
      <c r="GN9" s="272"/>
      <c r="GO9" s="272"/>
      <c r="GP9" s="272"/>
      <c r="GQ9" s="272"/>
      <c r="GR9" s="272"/>
      <c r="GS9" s="272"/>
      <c r="GT9" s="272"/>
      <c r="GU9" s="272"/>
      <c r="GV9" s="272"/>
      <c r="GW9" s="272"/>
      <c r="GX9" s="272"/>
      <c r="GY9" s="272"/>
      <c r="GZ9" s="272"/>
      <c r="HA9" s="272"/>
      <c r="HB9" s="272"/>
      <c r="HC9" s="272"/>
      <c r="HD9" s="272"/>
      <c r="HE9" s="272"/>
      <c r="HF9" s="272"/>
      <c r="HG9" s="272"/>
      <c r="HH9" s="272"/>
      <c r="HI9" s="272"/>
      <c r="HJ9" s="272"/>
      <c r="HK9" s="272"/>
      <c r="HL9" s="272"/>
      <c r="HM9" s="272"/>
      <c r="HN9" s="272"/>
      <c r="HO9" s="272"/>
      <c r="HP9" s="272"/>
      <c r="HQ9" s="272"/>
      <c r="HR9" s="272"/>
      <c r="HS9" s="272"/>
      <c r="HT9" s="272"/>
      <c r="HU9" s="272"/>
      <c r="HV9" s="272"/>
      <c r="HW9" s="272"/>
      <c r="HX9" s="272"/>
      <c r="HY9" s="272"/>
      <c r="HZ9" s="272"/>
      <c r="IA9" s="272"/>
      <c r="IB9" s="272"/>
      <c r="IC9" s="272"/>
      <c r="ID9" s="272"/>
      <c r="IE9" s="272"/>
      <c r="IF9" s="272"/>
      <c r="IG9" s="272"/>
      <c r="IH9" s="272"/>
      <c r="II9" s="272"/>
      <c r="IJ9" s="272"/>
      <c r="IK9" s="272"/>
      <c r="IL9" s="272"/>
      <c r="IM9" s="272"/>
      <c r="IN9" s="272"/>
      <c r="IO9" s="272"/>
      <c r="IP9" s="272"/>
      <c r="IQ9" s="272"/>
      <c r="IR9" s="272"/>
      <c r="IS9" s="272"/>
      <c r="IT9" s="272"/>
      <c r="IU9" s="272"/>
      <c r="IV9" s="272"/>
      <c r="IW9" s="272"/>
      <c r="IX9" s="272"/>
      <c r="IY9" s="272"/>
      <c r="IZ9" s="272"/>
      <c r="JA9" s="272"/>
      <c r="JB9" s="272"/>
      <c r="JC9" s="272"/>
      <c r="JD9" s="272"/>
      <c r="JE9" s="272"/>
      <c r="JF9" s="272"/>
      <c r="JG9" s="272"/>
      <c r="JH9" s="272"/>
      <c r="JI9" s="272"/>
      <c r="JJ9" s="272"/>
      <c r="JK9" s="272"/>
      <c r="JL9" s="272"/>
      <c r="JM9" s="272"/>
      <c r="JN9" s="272"/>
      <c r="JO9" s="272"/>
      <c r="JP9" s="272"/>
      <c r="JQ9" s="272"/>
      <c r="JR9" s="272"/>
      <c r="JS9" s="272"/>
      <c r="JT9" s="272"/>
      <c r="JU9" s="272"/>
      <c r="JV9" s="272"/>
      <c r="JW9" s="272"/>
      <c r="JX9" s="272"/>
      <c r="JY9" s="272"/>
      <c r="JZ9" s="272"/>
      <c r="KA9" s="272"/>
      <c r="KB9" s="272"/>
      <c r="KC9" s="272"/>
      <c r="KD9" s="272"/>
      <c r="KE9" s="272"/>
      <c r="KF9" s="272"/>
      <c r="KG9" s="272"/>
      <c r="KH9" s="272"/>
      <c r="KI9" s="272"/>
      <c r="KJ9" s="272"/>
      <c r="KK9" s="272"/>
      <c r="KL9" s="272"/>
      <c r="KM9" s="272"/>
      <c r="KN9" s="272"/>
      <c r="KO9" s="272"/>
      <c r="KP9" s="272"/>
      <c r="KQ9" s="272"/>
      <c r="KR9" s="272"/>
      <c r="KS9" s="272"/>
      <c r="KT9" s="272"/>
      <c r="KU9" s="272"/>
      <c r="KV9" s="272"/>
      <c r="KW9" s="272"/>
      <c r="KX9" s="272"/>
      <c r="KY9" s="272"/>
      <c r="KZ9" s="272"/>
      <c r="LA9" s="272"/>
      <c r="LB9" s="272"/>
      <c r="LC9" s="272"/>
      <c r="LD9" s="272"/>
      <c r="LE9" s="272"/>
      <c r="LF9" s="272"/>
      <c r="LG9" s="272"/>
      <c r="LH9" s="272"/>
      <c r="LI9" s="272"/>
      <c r="LJ9" s="272"/>
      <c r="LK9" s="272"/>
      <c r="LL9" s="272"/>
      <c r="LM9" s="272"/>
      <c r="LN9" s="272"/>
      <c r="LO9" s="272"/>
      <c r="LP9" s="272"/>
      <c r="LQ9" s="272"/>
      <c r="LR9" s="272"/>
      <c r="LS9" s="272"/>
      <c r="LT9" s="272"/>
      <c r="LU9" s="272"/>
      <c r="LV9" s="272"/>
      <c r="LW9" s="272"/>
      <c r="LX9" s="272"/>
      <c r="LY9" s="272"/>
      <c r="LZ9" s="272"/>
      <c r="MA9" s="272"/>
      <c r="MB9" s="272"/>
      <c r="MC9" s="272"/>
      <c r="MD9" s="272"/>
      <c r="ME9" s="272"/>
      <c r="MF9" s="272"/>
      <c r="MG9" s="272"/>
      <c r="MH9" s="272"/>
      <c r="MI9" s="272"/>
      <c r="MJ9" s="272"/>
      <c r="MK9" s="272"/>
      <c r="ML9" s="272"/>
      <c r="MM9" s="272"/>
      <c r="MN9" s="272"/>
      <c r="MO9" s="272"/>
      <c r="MP9" s="272"/>
      <c r="MQ9" s="272"/>
      <c r="MR9" s="272"/>
      <c r="MS9" s="272"/>
      <c r="MT9" s="272"/>
      <c r="MU9" s="272"/>
      <c r="MV9" s="272"/>
      <c r="MW9" s="272"/>
      <c r="MX9" s="272"/>
      <c r="MY9" s="272"/>
      <c r="MZ9" s="272"/>
      <c r="NA9" s="272"/>
      <c r="NB9" s="272"/>
      <c r="NC9" s="272"/>
      <c r="ND9" s="272"/>
      <c r="NE9" s="272"/>
      <c r="NF9" s="272"/>
      <c r="NG9" s="272"/>
      <c r="NH9" s="272"/>
      <c r="NI9" s="272"/>
      <c r="NJ9" s="272"/>
      <c r="NK9" s="272"/>
      <c r="NL9" s="272"/>
      <c r="NM9" s="272"/>
      <c r="NN9" s="272"/>
      <c r="NO9" s="272"/>
      <c r="NP9" s="272"/>
      <c r="NQ9" s="272"/>
      <c r="NR9" s="272"/>
      <c r="NS9" s="272"/>
      <c r="NT9" s="272"/>
      <c r="NU9" s="272"/>
      <c r="NV9" s="272"/>
      <c r="NW9" s="272"/>
      <c r="NX9" s="272"/>
      <c r="NY9" s="272"/>
      <c r="NZ9" s="272"/>
      <c r="OA9" s="272"/>
      <c r="OB9" s="272"/>
      <c r="OC9" s="272"/>
      <c r="OD9" s="272"/>
      <c r="OE9" s="272"/>
      <c r="OF9" s="272"/>
      <c r="OG9" s="272"/>
      <c r="OH9" s="272"/>
      <c r="OI9" s="272"/>
      <c r="OJ9" s="272"/>
      <c r="OK9" s="272"/>
      <c r="OL9" s="272"/>
      <c r="OM9" s="272"/>
      <c r="ON9" s="272"/>
      <c r="OO9" s="272"/>
      <c r="OP9" s="272"/>
      <c r="OQ9" s="272"/>
      <c r="OR9" s="272"/>
      <c r="OS9" s="272"/>
      <c r="OT9" s="272"/>
      <c r="OU9" s="272"/>
      <c r="OV9" s="272"/>
      <c r="OW9" s="272"/>
      <c r="OX9" s="272"/>
      <c r="OY9" s="272"/>
      <c r="OZ9" s="272"/>
      <c r="PA9" s="272"/>
      <c r="PB9" s="272"/>
      <c r="PC9" s="272"/>
      <c r="PD9" s="272"/>
      <c r="PE9" s="272"/>
      <c r="PF9" s="272"/>
      <c r="PG9" s="272"/>
      <c r="PH9" s="272"/>
      <c r="PI9" s="272"/>
      <c r="PJ9" s="272"/>
      <c r="PK9" s="272"/>
      <c r="PL9" s="272"/>
      <c r="PM9" s="272"/>
      <c r="PN9" s="272"/>
      <c r="PO9" s="272"/>
      <c r="PP9" s="272"/>
      <c r="PQ9" s="272"/>
      <c r="PR9" s="272"/>
      <c r="PS9" s="272"/>
      <c r="PT9" s="272"/>
      <c r="PU9" s="272"/>
      <c r="PV9" s="272"/>
      <c r="PW9" s="272"/>
      <c r="PX9" s="272"/>
      <c r="PY9" s="272"/>
      <c r="PZ9" s="272"/>
      <c r="QA9" s="272"/>
      <c r="QB9" s="272"/>
      <c r="QC9" s="272"/>
      <c r="QD9" s="272"/>
      <c r="QE9" s="272"/>
      <c r="QF9" s="272"/>
      <c r="QG9" s="272"/>
      <c r="QH9" s="272"/>
      <c r="QI9" s="272"/>
      <c r="QJ9" s="272"/>
      <c r="QK9" s="272"/>
      <c r="QL9" s="272"/>
      <c r="QM9" s="272"/>
      <c r="QN9" s="272"/>
      <c r="QO9" s="272"/>
      <c r="QP9" s="272"/>
      <c r="QQ9" s="272"/>
      <c r="QR9" s="272"/>
      <c r="QS9" s="272"/>
      <c r="QT9" s="272"/>
      <c r="QU9" s="272"/>
      <c r="QV9" s="272"/>
      <c r="QW9" s="272"/>
      <c r="QX9" s="272"/>
      <c r="QY9" s="272"/>
      <c r="QZ9" s="272"/>
      <c r="RA9" s="272"/>
      <c r="RB9" s="272"/>
      <c r="RC9" s="272"/>
      <c r="RD9" s="272"/>
      <c r="RE9" s="272"/>
      <c r="RF9" s="272"/>
      <c r="RG9" s="272"/>
      <c r="RH9" s="272"/>
      <c r="RI9" s="272"/>
      <c r="RJ9" s="272"/>
      <c r="RK9" s="272"/>
      <c r="RL9" s="272"/>
      <c r="RM9" s="272"/>
      <c r="RN9" s="272"/>
      <c r="RO9" s="272"/>
      <c r="RP9" s="272"/>
      <c r="RQ9" s="272"/>
      <c r="RR9" s="272"/>
      <c r="RS9" s="272"/>
      <c r="RT9" s="272"/>
      <c r="RU9" s="272"/>
      <c r="RV9" s="272"/>
      <c r="RW9" s="272"/>
      <c r="RX9" s="272"/>
      <c r="RY9" s="272"/>
      <c r="RZ9" s="272"/>
      <c r="SA9" s="272"/>
      <c r="SB9" s="272"/>
      <c r="SC9" s="272"/>
      <c r="SD9" s="272"/>
      <c r="SE9" s="272"/>
      <c r="SF9" s="272"/>
      <c r="SG9" s="272"/>
      <c r="SH9" s="272"/>
      <c r="SI9" s="272"/>
      <c r="SJ9" s="272"/>
      <c r="SK9" s="272"/>
      <c r="SL9" s="272"/>
      <c r="SM9" s="272"/>
      <c r="SN9" s="272"/>
      <c r="SO9" s="272"/>
      <c r="SP9" s="272"/>
      <c r="SQ9" s="272"/>
      <c r="SR9" s="272"/>
      <c r="SS9" s="272"/>
      <c r="ST9" s="272"/>
      <c r="SU9" s="272"/>
      <c r="SV9" s="272"/>
      <c r="SW9" s="272"/>
      <c r="SX9" s="272"/>
      <c r="SY9" s="272"/>
      <c r="SZ9" s="272"/>
      <c r="TA9" s="272"/>
      <c r="TB9" s="272"/>
      <c r="TC9" s="272"/>
      <c r="TD9" s="272"/>
      <c r="TE9" s="272"/>
      <c r="TF9" s="272"/>
      <c r="TG9" s="272"/>
      <c r="TH9" s="272"/>
      <c r="TI9" s="272"/>
      <c r="TJ9" s="272"/>
      <c r="TK9" s="272"/>
      <c r="TL9" s="272"/>
      <c r="TM9" s="272"/>
      <c r="TN9" s="272"/>
      <c r="TO9" s="272"/>
      <c r="TP9" s="272"/>
      <c r="TQ9" s="272"/>
      <c r="TR9" s="272"/>
      <c r="TS9" s="272"/>
      <c r="TT9" s="272"/>
      <c r="TU9" s="272"/>
      <c r="TV9" s="272"/>
      <c r="TW9" s="272"/>
      <c r="TX9" s="272"/>
      <c r="TY9" s="272"/>
      <c r="TZ9" s="272"/>
      <c r="UA9" s="272"/>
      <c r="UB9" s="272"/>
      <c r="UC9" s="272"/>
      <c r="UD9" s="272"/>
      <c r="UE9" s="272"/>
      <c r="UF9" s="272"/>
      <c r="UG9" s="272"/>
      <c r="UH9" s="272"/>
      <c r="UI9" s="272"/>
      <c r="UJ9" s="272"/>
      <c r="UK9" s="272"/>
      <c r="UL9" s="272"/>
      <c r="UM9" s="272"/>
      <c r="UN9" s="272"/>
      <c r="UO9" s="272"/>
      <c r="UP9" s="272"/>
      <c r="UQ9" s="272"/>
      <c r="UR9" s="272"/>
      <c r="US9" s="272"/>
      <c r="UT9" s="272"/>
      <c r="UU9" s="272"/>
      <c r="UV9" s="272"/>
      <c r="UW9" s="272"/>
      <c r="UX9" s="272"/>
      <c r="UY9" s="272"/>
      <c r="UZ9" s="272"/>
      <c r="VA9" s="272"/>
      <c r="VB9" s="272"/>
      <c r="VC9" s="272"/>
      <c r="VD9" s="272"/>
      <c r="VE9" s="272"/>
      <c r="VF9" s="272"/>
      <c r="VG9" s="272"/>
      <c r="VH9" s="272"/>
      <c r="VI9" s="272"/>
      <c r="VJ9" s="272"/>
      <c r="VK9" s="272"/>
      <c r="VL9" s="272"/>
      <c r="VM9" s="272"/>
      <c r="VN9" s="272"/>
      <c r="VO9" s="272"/>
      <c r="VP9" s="272"/>
      <c r="VQ9" s="272"/>
      <c r="VR9" s="272"/>
      <c r="VS9" s="272"/>
      <c r="VT9" s="272"/>
      <c r="VU9" s="272"/>
      <c r="VV9" s="272"/>
      <c r="VW9" s="272"/>
      <c r="VX9" s="272"/>
      <c r="VY9" s="272"/>
      <c r="VZ9" s="272"/>
      <c r="WA9" s="272"/>
      <c r="WB9" s="272"/>
      <c r="WC9" s="272"/>
      <c r="WD9" s="272"/>
      <c r="WE9" s="272"/>
      <c r="WF9" s="272"/>
      <c r="WG9" s="272"/>
      <c r="WH9" s="272"/>
      <c r="WI9" s="272"/>
      <c r="WJ9" s="272"/>
      <c r="WK9" s="272"/>
      <c r="WL9" s="272"/>
      <c r="WM9" s="272"/>
      <c r="WN9" s="272"/>
      <c r="WO9" s="272"/>
      <c r="WP9" s="272"/>
      <c r="WQ9" s="272"/>
      <c r="WR9" s="272"/>
      <c r="WS9" s="272"/>
      <c r="WT9" s="272"/>
      <c r="WU9" s="272"/>
      <c r="WV9" s="272"/>
      <c r="WW9" s="272"/>
      <c r="WX9" s="272"/>
      <c r="WY9" s="272"/>
      <c r="WZ9" s="272"/>
      <c r="XA9" s="272"/>
      <c r="XB9" s="272"/>
      <c r="XC9" s="272"/>
      <c r="XD9" s="272"/>
      <c r="XE9" s="272"/>
      <c r="XF9" s="272"/>
      <c r="XG9" s="272"/>
      <c r="XH9" s="272"/>
      <c r="XI9" s="272"/>
      <c r="XJ9" s="272"/>
      <c r="XK9" s="272"/>
      <c r="XL9" s="272"/>
      <c r="XM9" s="272"/>
      <c r="XN9" s="272"/>
      <c r="XO9" s="272"/>
      <c r="XP9" s="272"/>
      <c r="XQ9" s="272"/>
      <c r="XR9" s="272"/>
      <c r="XS9" s="272"/>
      <c r="XT9" s="272"/>
      <c r="XU9" s="272"/>
      <c r="XV9" s="272"/>
      <c r="XW9" s="272"/>
      <c r="XX9" s="272"/>
      <c r="XY9" s="272"/>
      <c r="XZ9" s="272"/>
      <c r="YA9" s="272"/>
      <c r="YB9" s="272"/>
      <c r="YC9" s="272"/>
      <c r="YD9" s="272"/>
      <c r="YE9" s="272"/>
      <c r="YF9" s="272"/>
      <c r="YG9" s="272"/>
      <c r="YH9" s="272"/>
      <c r="YI9" s="272"/>
      <c r="YJ9" s="272"/>
      <c r="YK9" s="272"/>
      <c r="YL9" s="272"/>
      <c r="YM9" s="272"/>
      <c r="YN9" s="272"/>
      <c r="YO9" s="272"/>
      <c r="YP9" s="272"/>
      <c r="YQ9" s="272"/>
      <c r="YR9" s="272"/>
      <c r="YS9" s="272"/>
      <c r="YT9" s="272"/>
      <c r="YU9" s="272"/>
      <c r="YV9" s="272"/>
      <c r="YW9" s="272"/>
      <c r="YX9" s="272"/>
      <c r="YY9" s="272"/>
      <c r="YZ9" s="272"/>
      <c r="ZA9" s="272"/>
      <c r="ZB9" s="272"/>
      <c r="ZC9" s="272"/>
      <c r="ZD9" s="272"/>
      <c r="ZE9" s="272"/>
      <c r="ZF9" s="272"/>
      <c r="ZG9" s="272"/>
      <c r="ZH9" s="272"/>
      <c r="ZI9" s="272"/>
      <c r="ZJ9" s="272"/>
      <c r="ZK9" s="272"/>
      <c r="ZL9" s="272"/>
      <c r="ZM9" s="272"/>
      <c r="ZN9" s="272"/>
      <c r="ZO9" s="272"/>
      <c r="ZP9" s="272"/>
      <c r="ZQ9" s="272"/>
      <c r="ZR9" s="272"/>
      <c r="ZS9" s="272"/>
      <c r="ZT9" s="272"/>
      <c r="ZU9" s="272"/>
      <c r="ZV9" s="272"/>
      <c r="ZW9" s="272"/>
      <c r="ZX9" s="272"/>
      <c r="ZY9" s="272"/>
      <c r="ZZ9" s="272"/>
      <c r="AAA9" s="272"/>
      <c r="AAB9" s="272"/>
      <c r="AAC9" s="272"/>
      <c r="AAD9" s="272"/>
      <c r="AAE9" s="272"/>
      <c r="AAF9" s="272"/>
      <c r="AAG9" s="272"/>
      <c r="AAH9" s="272"/>
      <c r="AAI9" s="272"/>
      <c r="AAJ9" s="272"/>
      <c r="AAK9" s="272"/>
      <c r="AAL9" s="272"/>
      <c r="AAM9" s="272"/>
      <c r="AAN9" s="272"/>
      <c r="AAO9" s="272"/>
      <c r="AAP9" s="272"/>
      <c r="AAQ9" s="272"/>
      <c r="AAR9" s="272"/>
      <c r="AAS9" s="272"/>
      <c r="AAT9" s="272"/>
      <c r="AAU9" s="272"/>
      <c r="AAV9" s="272"/>
      <c r="AAW9" s="272"/>
      <c r="AAX9" s="272"/>
      <c r="AAY9" s="272"/>
      <c r="AAZ9" s="272"/>
      <c r="ABA9" s="272"/>
      <c r="ABB9" s="272"/>
      <c r="ABC9" s="272"/>
      <c r="ABD9" s="272"/>
      <c r="ABE9" s="272"/>
      <c r="ABF9" s="272"/>
      <c r="ABG9" s="272"/>
    </row>
    <row r="10" spans="1:735" s="19" customFormat="1" ht="15">
      <c r="A10" s="629"/>
      <c r="B10" s="631"/>
      <c r="C10" s="55" t="s">
        <v>53</v>
      </c>
      <c r="D10" s="55"/>
      <c r="E10" s="56"/>
      <c r="F10" s="263"/>
      <c r="G10" s="388"/>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c r="IW10" s="272"/>
      <c r="IX10" s="272"/>
      <c r="IY10" s="272"/>
      <c r="IZ10" s="272"/>
      <c r="JA10" s="272"/>
      <c r="JB10" s="272"/>
      <c r="JC10" s="272"/>
      <c r="JD10" s="272"/>
      <c r="JE10" s="272"/>
      <c r="JF10" s="272"/>
      <c r="JG10" s="272"/>
      <c r="JH10" s="272"/>
      <c r="JI10" s="272"/>
      <c r="JJ10" s="272"/>
      <c r="JK10" s="272"/>
      <c r="JL10" s="272"/>
      <c r="JM10" s="272"/>
      <c r="JN10" s="272"/>
      <c r="JO10" s="272"/>
      <c r="JP10" s="272"/>
      <c r="JQ10" s="272"/>
      <c r="JR10" s="272"/>
      <c r="JS10" s="272"/>
      <c r="JT10" s="272"/>
      <c r="JU10" s="272"/>
      <c r="JV10" s="272"/>
      <c r="JW10" s="272"/>
      <c r="JX10" s="272"/>
      <c r="JY10" s="272"/>
      <c r="JZ10" s="272"/>
      <c r="KA10" s="272"/>
      <c r="KB10" s="272"/>
      <c r="KC10" s="272"/>
      <c r="KD10" s="272"/>
      <c r="KE10" s="272"/>
      <c r="KF10" s="272"/>
      <c r="KG10" s="272"/>
      <c r="KH10" s="272"/>
      <c r="KI10" s="272"/>
      <c r="KJ10" s="272"/>
      <c r="KK10" s="272"/>
      <c r="KL10" s="272"/>
      <c r="KM10" s="272"/>
      <c r="KN10" s="272"/>
      <c r="KO10" s="272"/>
      <c r="KP10" s="272"/>
      <c r="KQ10" s="272"/>
      <c r="KR10" s="272"/>
      <c r="KS10" s="272"/>
      <c r="KT10" s="272"/>
      <c r="KU10" s="272"/>
      <c r="KV10" s="272"/>
      <c r="KW10" s="272"/>
      <c r="KX10" s="272"/>
      <c r="KY10" s="272"/>
      <c r="KZ10" s="272"/>
      <c r="LA10" s="272"/>
      <c r="LB10" s="272"/>
      <c r="LC10" s="272"/>
      <c r="LD10" s="272"/>
      <c r="LE10" s="272"/>
      <c r="LF10" s="272"/>
      <c r="LG10" s="272"/>
      <c r="LH10" s="272"/>
      <c r="LI10" s="272"/>
      <c r="LJ10" s="272"/>
      <c r="LK10" s="272"/>
      <c r="LL10" s="272"/>
      <c r="LM10" s="272"/>
      <c r="LN10" s="272"/>
      <c r="LO10" s="272"/>
      <c r="LP10" s="272"/>
      <c r="LQ10" s="272"/>
      <c r="LR10" s="272"/>
      <c r="LS10" s="272"/>
      <c r="LT10" s="272"/>
      <c r="LU10" s="272"/>
      <c r="LV10" s="272"/>
      <c r="LW10" s="272"/>
      <c r="LX10" s="272"/>
      <c r="LY10" s="272"/>
      <c r="LZ10" s="272"/>
      <c r="MA10" s="272"/>
      <c r="MB10" s="272"/>
      <c r="MC10" s="272"/>
      <c r="MD10" s="272"/>
      <c r="ME10" s="272"/>
      <c r="MF10" s="272"/>
      <c r="MG10" s="272"/>
      <c r="MH10" s="272"/>
      <c r="MI10" s="272"/>
      <c r="MJ10" s="272"/>
      <c r="MK10" s="272"/>
      <c r="ML10" s="272"/>
      <c r="MM10" s="272"/>
      <c r="MN10" s="272"/>
      <c r="MO10" s="272"/>
      <c r="MP10" s="272"/>
      <c r="MQ10" s="272"/>
      <c r="MR10" s="272"/>
      <c r="MS10" s="272"/>
      <c r="MT10" s="272"/>
      <c r="MU10" s="272"/>
      <c r="MV10" s="272"/>
      <c r="MW10" s="272"/>
      <c r="MX10" s="272"/>
      <c r="MY10" s="272"/>
      <c r="MZ10" s="272"/>
      <c r="NA10" s="272"/>
      <c r="NB10" s="272"/>
      <c r="NC10" s="272"/>
      <c r="ND10" s="272"/>
      <c r="NE10" s="272"/>
      <c r="NF10" s="272"/>
      <c r="NG10" s="272"/>
      <c r="NH10" s="272"/>
      <c r="NI10" s="272"/>
      <c r="NJ10" s="272"/>
      <c r="NK10" s="272"/>
      <c r="NL10" s="272"/>
      <c r="NM10" s="272"/>
      <c r="NN10" s="272"/>
      <c r="NO10" s="272"/>
      <c r="NP10" s="272"/>
      <c r="NQ10" s="272"/>
      <c r="NR10" s="272"/>
      <c r="NS10" s="272"/>
      <c r="NT10" s="272"/>
      <c r="NU10" s="272"/>
      <c r="NV10" s="272"/>
      <c r="NW10" s="272"/>
      <c r="NX10" s="272"/>
      <c r="NY10" s="272"/>
      <c r="NZ10" s="272"/>
      <c r="OA10" s="272"/>
      <c r="OB10" s="272"/>
      <c r="OC10" s="272"/>
      <c r="OD10" s="272"/>
      <c r="OE10" s="272"/>
      <c r="OF10" s="272"/>
      <c r="OG10" s="272"/>
      <c r="OH10" s="272"/>
      <c r="OI10" s="272"/>
      <c r="OJ10" s="272"/>
      <c r="OK10" s="272"/>
      <c r="OL10" s="272"/>
      <c r="OM10" s="272"/>
      <c r="ON10" s="272"/>
      <c r="OO10" s="272"/>
      <c r="OP10" s="272"/>
      <c r="OQ10" s="272"/>
      <c r="OR10" s="272"/>
      <c r="OS10" s="272"/>
      <c r="OT10" s="272"/>
      <c r="OU10" s="272"/>
      <c r="OV10" s="272"/>
      <c r="OW10" s="272"/>
      <c r="OX10" s="272"/>
      <c r="OY10" s="272"/>
      <c r="OZ10" s="272"/>
      <c r="PA10" s="272"/>
      <c r="PB10" s="272"/>
      <c r="PC10" s="272"/>
      <c r="PD10" s="272"/>
      <c r="PE10" s="272"/>
      <c r="PF10" s="272"/>
      <c r="PG10" s="272"/>
      <c r="PH10" s="272"/>
      <c r="PI10" s="272"/>
      <c r="PJ10" s="272"/>
      <c r="PK10" s="272"/>
      <c r="PL10" s="272"/>
      <c r="PM10" s="272"/>
      <c r="PN10" s="272"/>
      <c r="PO10" s="272"/>
      <c r="PP10" s="272"/>
      <c r="PQ10" s="272"/>
      <c r="PR10" s="272"/>
      <c r="PS10" s="272"/>
      <c r="PT10" s="272"/>
      <c r="PU10" s="272"/>
      <c r="PV10" s="272"/>
      <c r="PW10" s="272"/>
      <c r="PX10" s="272"/>
      <c r="PY10" s="272"/>
      <c r="PZ10" s="272"/>
      <c r="QA10" s="272"/>
      <c r="QB10" s="272"/>
      <c r="QC10" s="272"/>
      <c r="QD10" s="272"/>
      <c r="QE10" s="272"/>
      <c r="QF10" s="272"/>
      <c r="QG10" s="272"/>
      <c r="QH10" s="272"/>
      <c r="QI10" s="272"/>
      <c r="QJ10" s="272"/>
      <c r="QK10" s="272"/>
      <c r="QL10" s="272"/>
      <c r="QM10" s="272"/>
      <c r="QN10" s="272"/>
      <c r="QO10" s="272"/>
      <c r="QP10" s="272"/>
      <c r="QQ10" s="272"/>
      <c r="QR10" s="272"/>
      <c r="QS10" s="272"/>
      <c r="QT10" s="272"/>
      <c r="QU10" s="272"/>
      <c r="QV10" s="272"/>
      <c r="QW10" s="272"/>
      <c r="QX10" s="272"/>
      <c r="QY10" s="272"/>
      <c r="QZ10" s="272"/>
      <c r="RA10" s="272"/>
      <c r="RB10" s="272"/>
      <c r="RC10" s="272"/>
      <c r="RD10" s="272"/>
      <c r="RE10" s="272"/>
      <c r="RF10" s="272"/>
      <c r="RG10" s="272"/>
      <c r="RH10" s="272"/>
      <c r="RI10" s="272"/>
      <c r="RJ10" s="272"/>
      <c r="RK10" s="272"/>
      <c r="RL10" s="272"/>
      <c r="RM10" s="272"/>
      <c r="RN10" s="272"/>
      <c r="RO10" s="272"/>
      <c r="RP10" s="272"/>
      <c r="RQ10" s="272"/>
      <c r="RR10" s="272"/>
      <c r="RS10" s="272"/>
      <c r="RT10" s="272"/>
      <c r="RU10" s="272"/>
      <c r="RV10" s="272"/>
      <c r="RW10" s="272"/>
      <c r="RX10" s="272"/>
      <c r="RY10" s="272"/>
      <c r="RZ10" s="272"/>
      <c r="SA10" s="272"/>
      <c r="SB10" s="272"/>
      <c r="SC10" s="272"/>
      <c r="SD10" s="272"/>
      <c r="SE10" s="272"/>
      <c r="SF10" s="272"/>
      <c r="SG10" s="272"/>
      <c r="SH10" s="272"/>
      <c r="SI10" s="272"/>
      <c r="SJ10" s="272"/>
      <c r="SK10" s="272"/>
      <c r="SL10" s="272"/>
      <c r="SM10" s="272"/>
      <c r="SN10" s="272"/>
      <c r="SO10" s="272"/>
      <c r="SP10" s="272"/>
      <c r="SQ10" s="272"/>
      <c r="SR10" s="272"/>
      <c r="SS10" s="272"/>
      <c r="ST10" s="272"/>
      <c r="SU10" s="272"/>
      <c r="SV10" s="272"/>
      <c r="SW10" s="272"/>
      <c r="SX10" s="272"/>
      <c r="SY10" s="272"/>
      <c r="SZ10" s="272"/>
      <c r="TA10" s="272"/>
      <c r="TB10" s="272"/>
      <c r="TC10" s="272"/>
      <c r="TD10" s="272"/>
      <c r="TE10" s="272"/>
      <c r="TF10" s="272"/>
      <c r="TG10" s="272"/>
      <c r="TH10" s="272"/>
      <c r="TI10" s="272"/>
      <c r="TJ10" s="272"/>
      <c r="TK10" s="272"/>
      <c r="TL10" s="272"/>
      <c r="TM10" s="272"/>
      <c r="TN10" s="272"/>
      <c r="TO10" s="272"/>
      <c r="TP10" s="272"/>
      <c r="TQ10" s="272"/>
      <c r="TR10" s="272"/>
      <c r="TS10" s="272"/>
      <c r="TT10" s="272"/>
      <c r="TU10" s="272"/>
      <c r="TV10" s="272"/>
      <c r="TW10" s="272"/>
      <c r="TX10" s="272"/>
      <c r="TY10" s="272"/>
      <c r="TZ10" s="272"/>
      <c r="UA10" s="272"/>
      <c r="UB10" s="272"/>
      <c r="UC10" s="272"/>
      <c r="UD10" s="272"/>
      <c r="UE10" s="272"/>
      <c r="UF10" s="272"/>
      <c r="UG10" s="272"/>
      <c r="UH10" s="272"/>
      <c r="UI10" s="272"/>
      <c r="UJ10" s="272"/>
      <c r="UK10" s="272"/>
      <c r="UL10" s="272"/>
      <c r="UM10" s="272"/>
      <c r="UN10" s="272"/>
      <c r="UO10" s="272"/>
      <c r="UP10" s="272"/>
      <c r="UQ10" s="272"/>
      <c r="UR10" s="272"/>
      <c r="US10" s="272"/>
      <c r="UT10" s="272"/>
      <c r="UU10" s="272"/>
      <c r="UV10" s="272"/>
      <c r="UW10" s="272"/>
      <c r="UX10" s="272"/>
      <c r="UY10" s="272"/>
      <c r="UZ10" s="272"/>
      <c r="VA10" s="272"/>
      <c r="VB10" s="272"/>
      <c r="VC10" s="272"/>
      <c r="VD10" s="272"/>
      <c r="VE10" s="272"/>
      <c r="VF10" s="272"/>
      <c r="VG10" s="272"/>
      <c r="VH10" s="272"/>
      <c r="VI10" s="272"/>
      <c r="VJ10" s="272"/>
      <c r="VK10" s="272"/>
      <c r="VL10" s="272"/>
      <c r="VM10" s="272"/>
      <c r="VN10" s="272"/>
      <c r="VO10" s="272"/>
      <c r="VP10" s="272"/>
      <c r="VQ10" s="272"/>
      <c r="VR10" s="272"/>
      <c r="VS10" s="272"/>
      <c r="VT10" s="272"/>
      <c r="VU10" s="272"/>
      <c r="VV10" s="272"/>
      <c r="VW10" s="272"/>
      <c r="VX10" s="272"/>
      <c r="VY10" s="272"/>
      <c r="VZ10" s="272"/>
      <c r="WA10" s="272"/>
      <c r="WB10" s="272"/>
      <c r="WC10" s="272"/>
      <c r="WD10" s="272"/>
      <c r="WE10" s="272"/>
      <c r="WF10" s="272"/>
      <c r="WG10" s="272"/>
      <c r="WH10" s="272"/>
      <c r="WI10" s="272"/>
      <c r="WJ10" s="272"/>
      <c r="WK10" s="272"/>
      <c r="WL10" s="272"/>
      <c r="WM10" s="272"/>
      <c r="WN10" s="272"/>
      <c r="WO10" s="272"/>
      <c r="WP10" s="272"/>
      <c r="WQ10" s="272"/>
      <c r="WR10" s="272"/>
      <c r="WS10" s="272"/>
      <c r="WT10" s="272"/>
      <c r="WU10" s="272"/>
      <c r="WV10" s="272"/>
      <c r="WW10" s="272"/>
      <c r="WX10" s="272"/>
      <c r="WY10" s="272"/>
      <c r="WZ10" s="272"/>
      <c r="XA10" s="272"/>
      <c r="XB10" s="272"/>
      <c r="XC10" s="272"/>
      <c r="XD10" s="272"/>
      <c r="XE10" s="272"/>
      <c r="XF10" s="272"/>
      <c r="XG10" s="272"/>
      <c r="XH10" s="272"/>
      <c r="XI10" s="272"/>
      <c r="XJ10" s="272"/>
      <c r="XK10" s="272"/>
      <c r="XL10" s="272"/>
      <c r="XM10" s="272"/>
      <c r="XN10" s="272"/>
      <c r="XO10" s="272"/>
      <c r="XP10" s="272"/>
      <c r="XQ10" s="272"/>
      <c r="XR10" s="272"/>
      <c r="XS10" s="272"/>
      <c r="XT10" s="272"/>
      <c r="XU10" s="272"/>
      <c r="XV10" s="272"/>
      <c r="XW10" s="272"/>
      <c r="XX10" s="272"/>
      <c r="XY10" s="272"/>
      <c r="XZ10" s="272"/>
      <c r="YA10" s="272"/>
      <c r="YB10" s="272"/>
      <c r="YC10" s="272"/>
      <c r="YD10" s="272"/>
      <c r="YE10" s="272"/>
      <c r="YF10" s="272"/>
      <c r="YG10" s="272"/>
      <c r="YH10" s="272"/>
      <c r="YI10" s="272"/>
      <c r="YJ10" s="272"/>
      <c r="YK10" s="272"/>
      <c r="YL10" s="272"/>
      <c r="YM10" s="272"/>
      <c r="YN10" s="272"/>
      <c r="YO10" s="272"/>
      <c r="YP10" s="272"/>
      <c r="YQ10" s="272"/>
      <c r="YR10" s="272"/>
      <c r="YS10" s="272"/>
      <c r="YT10" s="272"/>
      <c r="YU10" s="272"/>
      <c r="YV10" s="272"/>
      <c r="YW10" s="272"/>
      <c r="YX10" s="272"/>
      <c r="YY10" s="272"/>
      <c r="YZ10" s="272"/>
      <c r="ZA10" s="272"/>
      <c r="ZB10" s="272"/>
      <c r="ZC10" s="272"/>
      <c r="ZD10" s="272"/>
      <c r="ZE10" s="272"/>
      <c r="ZF10" s="272"/>
      <c r="ZG10" s="272"/>
      <c r="ZH10" s="272"/>
      <c r="ZI10" s="272"/>
      <c r="ZJ10" s="272"/>
      <c r="ZK10" s="272"/>
      <c r="ZL10" s="272"/>
      <c r="ZM10" s="272"/>
      <c r="ZN10" s="272"/>
      <c r="ZO10" s="272"/>
      <c r="ZP10" s="272"/>
      <c r="ZQ10" s="272"/>
      <c r="ZR10" s="272"/>
      <c r="ZS10" s="272"/>
      <c r="ZT10" s="272"/>
      <c r="ZU10" s="272"/>
      <c r="ZV10" s="272"/>
      <c r="ZW10" s="272"/>
      <c r="ZX10" s="272"/>
      <c r="ZY10" s="272"/>
      <c r="ZZ10" s="272"/>
      <c r="AAA10" s="272"/>
      <c r="AAB10" s="272"/>
      <c r="AAC10" s="272"/>
      <c r="AAD10" s="272"/>
      <c r="AAE10" s="272"/>
      <c r="AAF10" s="272"/>
      <c r="AAG10" s="272"/>
      <c r="AAH10" s="272"/>
      <c r="AAI10" s="272"/>
      <c r="AAJ10" s="272"/>
      <c r="AAK10" s="272"/>
      <c r="AAL10" s="272"/>
      <c r="AAM10" s="272"/>
      <c r="AAN10" s="272"/>
      <c r="AAO10" s="272"/>
      <c r="AAP10" s="272"/>
      <c r="AAQ10" s="272"/>
      <c r="AAR10" s="272"/>
      <c r="AAS10" s="272"/>
      <c r="AAT10" s="272"/>
      <c r="AAU10" s="272"/>
      <c r="AAV10" s="272"/>
      <c r="AAW10" s="272"/>
      <c r="AAX10" s="272"/>
      <c r="AAY10" s="272"/>
      <c r="AAZ10" s="272"/>
      <c r="ABA10" s="272"/>
      <c r="ABB10" s="272"/>
      <c r="ABC10" s="272"/>
      <c r="ABD10" s="272"/>
      <c r="ABE10" s="272"/>
      <c r="ABF10" s="272"/>
      <c r="ABG10" s="272"/>
    </row>
    <row r="11" spans="1:735" s="62" customFormat="1" ht="13.5" thickBot="1">
      <c r="A11" s="630"/>
      <c r="B11" s="632"/>
      <c r="C11" s="58" t="s">
        <v>54</v>
      </c>
      <c r="D11" s="58"/>
      <c r="E11" s="59"/>
      <c r="F11" s="264"/>
      <c r="G11" s="389"/>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c r="IW11" s="272"/>
      <c r="IX11" s="272"/>
      <c r="IY11" s="272"/>
      <c r="IZ11" s="272"/>
      <c r="JA11" s="272"/>
      <c r="JB11" s="272"/>
      <c r="JC11" s="272"/>
      <c r="JD11" s="272"/>
      <c r="JE11" s="272"/>
      <c r="JF11" s="272"/>
      <c r="JG11" s="272"/>
      <c r="JH11" s="272"/>
      <c r="JI11" s="272"/>
      <c r="JJ11" s="272"/>
      <c r="JK11" s="272"/>
      <c r="JL11" s="272"/>
      <c r="JM11" s="272"/>
      <c r="JN11" s="272"/>
      <c r="JO11" s="272"/>
      <c r="JP11" s="272"/>
      <c r="JQ11" s="272"/>
      <c r="JR11" s="272"/>
      <c r="JS11" s="272"/>
      <c r="JT11" s="272"/>
      <c r="JU11" s="272"/>
      <c r="JV11" s="272"/>
      <c r="JW11" s="272"/>
      <c r="JX11" s="272"/>
      <c r="JY11" s="272"/>
      <c r="JZ11" s="272"/>
      <c r="KA11" s="272"/>
      <c r="KB11" s="272"/>
      <c r="KC11" s="272"/>
      <c r="KD11" s="272"/>
      <c r="KE11" s="272"/>
      <c r="KF11" s="272"/>
      <c r="KG11" s="272"/>
      <c r="KH11" s="272"/>
      <c r="KI11" s="272"/>
      <c r="KJ11" s="272"/>
      <c r="KK11" s="272"/>
      <c r="KL11" s="272"/>
      <c r="KM11" s="272"/>
      <c r="KN11" s="272"/>
      <c r="KO11" s="272"/>
      <c r="KP11" s="272"/>
      <c r="KQ11" s="272"/>
      <c r="KR11" s="272"/>
      <c r="KS11" s="272"/>
      <c r="KT11" s="272"/>
      <c r="KU11" s="272"/>
      <c r="KV11" s="272"/>
      <c r="KW11" s="272"/>
      <c r="KX11" s="272"/>
      <c r="KY11" s="272"/>
      <c r="KZ11" s="272"/>
      <c r="LA11" s="272"/>
      <c r="LB11" s="272"/>
      <c r="LC11" s="272"/>
      <c r="LD11" s="272"/>
      <c r="LE11" s="272"/>
      <c r="LF11" s="272"/>
      <c r="LG11" s="272"/>
      <c r="LH11" s="272"/>
      <c r="LI11" s="272"/>
      <c r="LJ11" s="272"/>
      <c r="LK11" s="272"/>
      <c r="LL11" s="272"/>
      <c r="LM11" s="272"/>
      <c r="LN11" s="272"/>
      <c r="LO11" s="272"/>
      <c r="LP11" s="272"/>
      <c r="LQ11" s="272"/>
      <c r="LR11" s="272"/>
      <c r="LS11" s="272"/>
      <c r="LT11" s="272"/>
      <c r="LU11" s="272"/>
      <c r="LV11" s="272"/>
      <c r="LW11" s="272"/>
      <c r="LX11" s="272"/>
      <c r="LY11" s="272"/>
      <c r="LZ11" s="272"/>
      <c r="MA11" s="272"/>
      <c r="MB11" s="272"/>
      <c r="MC11" s="272"/>
      <c r="MD11" s="272"/>
      <c r="ME11" s="272"/>
      <c r="MF11" s="272"/>
      <c r="MG11" s="272"/>
      <c r="MH11" s="272"/>
      <c r="MI11" s="272"/>
      <c r="MJ11" s="272"/>
      <c r="MK11" s="272"/>
      <c r="ML11" s="272"/>
      <c r="MM11" s="272"/>
      <c r="MN11" s="272"/>
      <c r="MO11" s="272"/>
      <c r="MP11" s="272"/>
      <c r="MQ11" s="272"/>
      <c r="MR11" s="272"/>
      <c r="MS11" s="272"/>
      <c r="MT11" s="272"/>
      <c r="MU11" s="272"/>
      <c r="MV11" s="272"/>
      <c r="MW11" s="272"/>
      <c r="MX11" s="272"/>
      <c r="MY11" s="272"/>
      <c r="MZ11" s="272"/>
      <c r="NA11" s="272"/>
      <c r="NB11" s="272"/>
      <c r="NC11" s="272"/>
      <c r="ND11" s="272"/>
      <c r="NE11" s="272"/>
      <c r="NF11" s="272"/>
      <c r="NG11" s="272"/>
      <c r="NH11" s="272"/>
      <c r="NI11" s="272"/>
      <c r="NJ11" s="272"/>
      <c r="NK11" s="272"/>
      <c r="NL11" s="272"/>
      <c r="NM11" s="272"/>
      <c r="NN11" s="272"/>
      <c r="NO11" s="272"/>
      <c r="NP11" s="272"/>
      <c r="NQ11" s="272"/>
      <c r="NR11" s="272"/>
      <c r="NS11" s="272"/>
      <c r="NT11" s="272"/>
      <c r="NU11" s="272"/>
      <c r="NV11" s="272"/>
      <c r="NW11" s="272"/>
      <c r="NX11" s="272"/>
      <c r="NY11" s="272"/>
      <c r="NZ11" s="272"/>
      <c r="OA11" s="272"/>
      <c r="OB11" s="272"/>
      <c r="OC11" s="272"/>
      <c r="OD11" s="272"/>
      <c r="OE11" s="272"/>
      <c r="OF11" s="272"/>
      <c r="OG11" s="272"/>
      <c r="OH11" s="272"/>
      <c r="OI11" s="272"/>
      <c r="OJ11" s="272"/>
      <c r="OK11" s="272"/>
      <c r="OL11" s="272"/>
      <c r="OM11" s="272"/>
      <c r="ON11" s="272"/>
      <c r="OO11" s="272"/>
      <c r="OP11" s="272"/>
      <c r="OQ11" s="272"/>
      <c r="OR11" s="272"/>
      <c r="OS11" s="272"/>
      <c r="OT11" s="272"/>
      <c r="OU11" s="272"/>
      <c r="OV11" s="272"/>
      <c r="OW11" s="272"/>
      <c r="OX11" s="272"/>
      <c r="OY11" s="272"/>
      <c r="OZ11" s="272"/>
      <c r="PA11" s="272"/>
      <c r="PB11" s="272"/>
      <c r="PC11" s="272"/>
      <c r="PD11" s="272"/>
      <c r="PE11" s="272"/>
      <c r="PF11" s="272"/>
      <c r="PG11" s="272"/>
      <c r="PH11" s="272"/>
      <c r="PI11" s="272"/>
      <c r="PJ11" s="272"/>
      <c r="PK11" s="272"/>
      <c r="PL11" s="272"/>
      <c r="PM11" s="272"/>
      <c r="PN11" s="272"/>
      <c r="PO11" s="272"/>
      <c r="PP11" s="272"/>
      <c r="PQ11" s="272"/>
      <c r="PR11" s="272"/>
      <c r="PS11" s="272"/>
      <c r="PT11" s="272"/>
      <c r="PU11" s="272"/>
      <c r="PV11" s="272"/>
      <c r="PW11" s="272"/>
      <c r="PX11" s="272"/>
      <c r="PY11" s="272"/>
      <c r="PZ11" s="272"/>
      <c r="QA11" s="272"/>
      <c r="QB11" s="272"/>
      <c r="QC11" s="272"/>
      <c r="QD11" s="272"/>
      <c r="QE11" s="272"/>
      <c r="QF11" s="272"/>
      <c r="QG11" s="272"/>
      <c r="QH11" s="272"/>
      <c r="QI11" s="272"/>
      <c r="QJ11" s="272"/>
      <c r="QK11" s="272"/>
      <c r="QL11" s="272"/>
      <c r="QM11" s="272"/>
      <c r="QN11" s="272"/>
      <c r="QO11" s="272"/>
      <c r="QP11" s="272"/>
      <c r="QQ11" s="272"/>
      <c r="QR11" s="272"/>
      <c r="QS11" s="272"/>
      <c r="QT11" s="272"/>
      <c r="QU11" s="272"/>
      <c r="QV11" s="272"/>
      <c r="QW11" s="272"/>
      <c r="QX11" s="272"/>
      <c r="QY11" s="272"/>
      <c r="QZ11" s="272"/>
      <c r="RA11" s="272"/>
      <c r="RB11" s="272"/>
      <c r="RC11" s="272"/>
      <c r="RD11" s="272"/>
      <c r="RE11" s="272"/>
      <c r="RF11" s="272"/>
      <c r="RG11" s="272"/>
      <c r="RH11" s="272"/>
      <c r="RI11" s="272"/>
      <c r="RJ11" s="272"/>
      <c r="RK11" s="272"/>
      <c r="RL11" s="272"/>
      <c r="RM11" s="272"/>
      <c r="RN11" s="272"/>
      <c r="RO11" s="272"/>
      <c r="RP11" s="272"/>
      <c r="RQ11" s="272"/>
      <c r="RR11" s="272"/>
      <c r="RS11" s="272"/>
      <c r="RT11" s="272"/>
      <c r="RU11" s="272"/>
      <c r="RV11" s="272"/>
      <c r="RW11" s="272"/>
      <c r="RX11" s="272"/>
      <c r="RY11" s="272"/>
      <c r="RZ11" s="272"/>
      <c r="SA11" s="272"/>
      <c r="SB11" s="272"/>
      <c r="SC11" s="272"/>
      <c r="SD11" s="272"/>
      <c r="SE11" s="272"/>
      <c r="SF11" s="272"/>
      <c r="SG11" s="272"/>
      <c r="SH11" s="272"/>
      <c r="SI11" s="272"/>
      <c r="SJ11" s="272"/>
      <c r="SK11" s="272"/>
      <c r="SL11" s="272"/>
      <c r="SM11" s="272"/>
      <c r="SN11" s="272"/>
      <c r="SO11" s="272"/>
      <c r="SP11" s="272"/>
      <c r="SQ11" s="272"/>
      <c r="SR11" s="272"/>
      <c r="SS11" s="272"/>
      <c r="ST11" s="272"/>
      <c r="SU11" s="272"/>
      <c r="SV11" s="272"/>
      <c r="SW11" s="272"/>
      <c r="SX11" s="272"/>
      <c r="SY11" s="272"/>
      <c r="SZ11" s="272"/>
      <c r="TA11" s="272"/>
      <c r="TB11" s="272"/>
      <c r="TC11" s="272"/>
      <c r="TD11" s="272"/>
      <c r="TE11" s="272"/>
      <c r="TF11" s="272"/>
      <c r="TG11" s="272"/>
      <c r="TH11" s="272"/>
      <c r="TI11" s="272"/>
      <c r="TJ11" s="272"/>
      <c r="TK11" s="272"/>
      <c r="TL11" s="272"/>
      <c r="TM11" s="272"/>
      <c r="TN11" s="272"/>
      <c r="TO11" s="272"/>
      <c r="TP11" s="272"/>
      <c r="TQ11" s="272"/>
      <c r="TR11" s="272"/>
      <c r="TS11" s="272"/>
      <c r="TT11" s="272"/>
      <c r="TU11" s="272"/>
      <c r="TV11" s="272"/>
      <c r="TW11" s="272"/>
      <c r="TX11" s="272"/>
      <c r="TY11" s="272"/>
      <c r="TZ11" s="272"/>
      <c r="UA11" s="272"/>
      <c r="UB11" s="272"/>
      <c r="UC11" s="272"/>
      <c r="UD11" s="272"/>
      <c r="UE11" s="272"/>
      <c r="UF11" s="272"/>
      <c r="UG11" s="272"/>
      <c r="UH11" s="272"/>
      <c r="UI11" s="272"/>
      <c r="UJ11" s="272"/>
      <c r="UK11" s="272"/>
      <c r="UL11" s="272"/>
      <c r="UM11" s="272"/>
      <c r="UN11" s="272"/>
      <c r="UO11" s="272"/>
      <c r="UP11" s="272"/>
      <c r="UQ11" s="272"/>
      <c r="UR11" s="272"/>
      <c r="US11" s="272"/>
      <c r="UT11" s="272"/>
      <c r="UU11" s="272"/>
      <c r="UV11" s="272"/>
      <c r="UW11" s="272"/>
      <c r="UX11" s="272"/>
      <c r="UY11" s="272"/>
      <c r="UZ11" s="272"/>
      <c r="VA11" s="272"/>
      <c r="VB11" s="272"/>
      <c r="VC11" s="272"/>
      <c r="VD11" s="272"/>
      <c r="VE11" s="272"/>
      <c r="VF11" s="272"/>
      <c r="VG11" s="272"/>
      <c r="VH11" s="272"/>
      <c r="VI11" s="272"/>
      <c r="VJ11" s="272"/>
      <c r="VK11" s="272"/>
      <c r="VL11" s="272"/>
      <c r="VM11" s="272"/>
      <c r="VN11" s="272"/>
      <c r="VO11" s="272"/>
      <c r="VP11" s="272"/>
      <c r="VQ11" s="272"/>
      <c r="VR11" s="272"/>
      <c r="VS11" s="272"/>
      <c r="VT11" s="272"/>
      <c r="VU11" s="272"/>
      <c r="VV11" s="272"/>
      <c r="VW11" s="272"/>
      <c r="VX11" s="272"/>
      <c r="VY11" s="272"/>
      <c r="VZ11" s="272"/>
      <c r="WA11" s="272"/>
      <c r="WB11" s="272"/>
      <c r="WC11" s="272"/>
      <c r="WD11" s="272"/>
      <c r="WE11" s="272"/>
      <c r="WF11" s="272"/>
      <c r="WG11" s="272"/>
      <c r="WH11" s="272"/>
      <c r="WI11" s="272"/>
      <c r="WJ11" s="272"/>
      <c r="WK11" s="272"/>
      <c r="WL11" s="272"/>
      <c r="WM11" s="272"/>
      <c r="WN11" s="272"/>
      <c r="WO11" s="272"/>
      <c r="WP11" s="272"/>
      <c r="WQ11" s="272"/>
      <c r="WR11" s="272"/>
      <c r="WS11" s="272"/>
      <c r="WT11" s="272"/>
      <c r="WU11" s="272"/>
      <c r="WV11" s="272"/>
      <c r="WW11" s="272"/>
      <c r="WX11" s="272"/>
      <c r="WY11" s="272"/>
      <c r="WZ11" s="272"/>
      <c r="XA11" s="272"/>
      <c r="XB11" s="272"/>
      <c r="XC11" s="272"/>
      <c r="XD11" s="272"/>
      <c r="XE11" s="272"/>
      <c r="XF11" s="272"/>
      <c r="XG11" s="272"/>
      <c r="XH11" s="272"/>
      <c r="XI11" s="272"/>
      <c r="XJ11" s="272"/>
      <c r="XK11" s="272"/>
      <c r="XL11" s="272"/>
      <c r="XM11" s="272"/>
      <c r="XN11" s="272"/>
      <c r="XO11" s="272"/>
      <c r="XP11" s="272"/>
      <c r="XQ11" s="272"/>
      <c r="XR11" s="272"/>
      <c r="XS11" s="272"/>
      <c r="XT11" s="272"/>
      <c r="XU11" s="272"/>
      <c r="XV11" s="272"/>
      <c r="XW11" s="272"/>
      <c r="XX11" s="272"/>
      <c r="XY11" s="272"/>
      <c r="XZ11" s="272"/>
      <c r="YA11" s="272"/>
      <c r="YB11" s="272"/>
      <c r="YC11" s="272"/>
      <c r="YD11" s="272"/>
      <c r="YE11" s="272"/>
      <c r="YF11" s="272"/>
      <c r="YG11" s="272"/>
      <c r="YH11" s="272"/>
      <c r="YI11" s="272"/>
      <c r="YJ11" s="272"/>
      <c r="YK11" s="272"/>
      <c r="YL11" s="272"/>
      <c r="YM11" s="272"/>
      <c r="YN11" s="272"/>
      <c r="YO11" s="272"/>
      <c r="YP11" s="272"/>
      <c r="YQ11" s="272"/>
      <c r="YR11" s="272"/>
      <c r="YS11" s="272"/>
      <c r="YT11" s="272"/>
      <c r="YU11" s="272"/>
      <c r="YV11" s="272"/>
      <c r="YW11" s="272"/>
      <c r="YX11" s="272"/>
      <c r="YY11" s="272"/>
      <c r="YZ11" s="272"/>
      <c r="ZA11" s="272"/>
      <c r="ZB11" s="272"/>
      <c r="ZC11" s="272"/>
      <c r="ZD11" s="272"/>
      <c r="ZE11" s="272"/>
      <c r="ZF11" s="272"/>
      <c r="ZG11" s="272"/>
      <c r="ZH11" s="272"/>
      <c r="ZI11" s="272"/>
      <c r="ZJ11" s="272"/>
      <c r="ZK11" s="272"/>
      <c r="ZL11" s="272"/>
      <c r="ZM11" s="272"/>
      <c r="ZN11" s="272"/>
      <c r="ZO11" s="272"/>
      <c r="ZP11" s="272"/>
      <c r="ZQ11" s="272"/>
      <c r="ZR11" s="272"/>
      <c r="ZS11" s="272"/>
      <c r="ZT11" s="272"/>
      <c r="ZU11" s="272"/>
      <c r="ZV11" s="272"/>
      <c r="ZW11" s="272"/>
      <c r="ZX11" s="272"/>
      <c r="ZY11" s="272"/>
      <c r="ZZ11" s="272"/>
      <c r="AAA11" s="272"/>
      <c r="AAB11" s="272"/>
      <c r="AAC11" s="272"/>
      <c r="AAD11" s="272"/>
      <c r="AAE11" s="272"/>
      <c r="AAF11" s="272"/>
      <c r="AAG11" s="272"/>
      <c r="AAH11" s="272"/>
      <c r="AAI11" s="272"/>
      <c r="AAJ11" s="272"/>
      <c r="AAK11" s="272"/>
      <c r="AAL11" s="272"/>
      <c r="AAM11" s="272"/>
      <c r="AAN11" s="272"/>
      <c r="AAO11" s="272"/>
      <c r="AAP11" s="272"/>
      <c r="AAQ11" s="272"/>
      <c r="AAR11" s="272"/>
      <c r="AAS11" s="272"/>
      <c r="AAT11" s="272"/>
      <c r="AAU11" s="272"/>
      <c r="AAV11" s="272"/>
      <c r="AAW11" s="272"/>
      <c r="AAX11" s="272"/>
      <c r="AAY11" s="272"/>
      <c r="AAZ11" s="272"/>
      <c r="ABA11" s="272"/>
      <c r="ABB11" s="272"/>
      <c r="ABC11" s="272"/>
      <c r="ABD11" s="272"/>
      <c r="ABE11" s="272"/>
      <c r="ABF11" s="272"/>
      <c r="ABG11" s="272"/>
    </row>
    <row r="12" spans="1:735" s="61" customFormat="1" ht="69" customHeight="1">
      <c r="A12" s="43" t="s">
        <v>216</v>
      </c>
      <c r="B12" s="38" t="s">
        <v>20</v>
      </c>
      <c r="C12" s="26" t="s">
        <v>52</v>
      </c>
      <c r="D12" s="501"/>
      <c r="E12" s="502"/>
      <c r="F12" s="503"/>
      <c r="G12" s="504"/>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c r="IW12" s="272"/>
      <c r="IX12" s="272"/>
      <c r="IY12" s="272"/>
      <c r="IZ12" s="272"/>
      <c r="JA12" s="272"/>
      <c r="JB12" s="272"/>
      <c r="JC12" s="272"/>
      <c r="JD12" s="272"/>
      <c r="JE12" s="272"/>
      <c r="JF12" s="272"/>
      <c r="JG12" s="272"/>
      <c r="JH12" s="272"/>
      <c r="JI12" s="272"/>
      <c r="JJ12" s="272"/>
      <c r="JK12" s="272"/>
      <c r="JL12" s="272"/>
      <c r="JM12" s="272"/>
      <c r="JN12" s="272"/>
      <c r="JO12" s="272"/>
      <c r="JP12" s="272"/>
      <c r="JQ12" s="272"/>
      <c r="JR12" s="272"/>
      <c r="JS12" s="272"/>
      <c r="JT12" s="272"/>
      <c r="JU12" s="272"/>
      <c r="JV12" s="272"/>
      <c r="JW12" s="272"/>
      <c r="JX12" s="272"/>
      <c r="JY12" s="272"/>
      <c r="JZ12" s="272"/>
      <c r="KA12" s="272"/>
      <c r="KB12" s="272"/>
      <c r="KC12" s="272"/>
      <c r="KD12" s="272"/>
      <c r="KE12" s="272"/>
      <c r="KF12" s="272"/>
      <c r="KG12" s="272"/>
      <c r="KH12" s="272"/>
      <c r="KI12" s="272"/>
      <c r="KJ12" s="272"/>
      <c r="KK12" s="272"/>
      <c r="KL12" s="272"/>
      <c r="KM12" s="272"/>
      <c r="KN12" s="272"/>
      <c r="KO12" s="272"/>
      <c r="KP12" s="272"/>
      <c r="KQ12" s="272"/>
      <c r="KR12" s="272"/>
      <c r="KS12" s="272"/>
      <c r="KT12" s="272"/>
      <c r="KU12" s="272"/>
      <c r="KV12" s="272"/>
      <c r="KW12" s="272"/>
      <c r="KX12" s="272"/>
      <c r="KY12" s="272"/>
      <c r="KZ12" s="272"/>
      <c r="LA12" s="272"/>
      <c r="LB12" s="272"/>
      <c r="LC12" s="272"/>
      <c r="LD12" s="272"/>
      <c r="LE12" s="272"/>
      <c r="LF12" s="272"/>
      <c r="LG12" s="272"/>
      <c r="LH12" s="272"/>
      <c r="LI12" s="272"/>
      <c r="LJ12" s="272"/>
      <c r="LK12" s="272"/>
      <c r="LL12" s="272"/>
      <c r="LM12" s="272"/>
      <c r="LN12" s="272"/>
      <c r="LO12" s="272"/>
      <c r="LP12" s="272"/>
      <c r="LQ12" s="272"/>
      <c r="LR12" s="272"/>
      <c r="LS12" s="272"/>
      <c r="LT12" s="272"/>
      <c r="LU12" s="272"/>
      <c r="LV12" s="272"/>
      <c r="LW12" s="272"/>
      <c r="LX12" s="272"/>
      <c r="LY12" s="272"/>
      <c r="LZ12" s="272"/>
      <c r="MA12" s="272"/>
      <c r="MB12" s="272"/>
      <c r="MC12" s="272"/>
      <c r="MD12" s="272"/>
      <c r="ME12" s="272"/>
      <c r="MF12" s="272"/>
      <c r="MG12" s="272"/>
      <c r="MH12" s="272"/>
      <c r="MI12" s="272"/>
      <c r="MJ12" s="272"/>
      <c r="MK12" s="272"/>
      <c r="ML12" s="272"/>
      <c r="MM12" s="272"/>
      <c r="MN12" s="272"/>
      <c r="MO12" s="272"/>
      <c r="MP12" s="272"/>
      <c r="MQ12" s="272"/>
      <c r="MR12" s="272"/>
      <c r="MS12" s="272"/>
      <c r="MT12" s="272"/>
      <c r="MU12" s="272"/>
      <c r="MV12" s="272"/>
      <c r="MW12" s="272"/>
      <c r="MX12" s="272"/>
      <c r="MY12" s="272"/>
      <c r="MZ12" s="272"/>
      <c r="NA12" s="272"/>
      <c r="NB12" s="272"/>
      <c r="NC12" s="272"/>
      <c r="ND12" s="272"/>
      <c r="NE12" s="272"/>
      <c r="NF12" s="272"/>
      <c r="NG12" s="272"/>
      <c r="NH12" s="272"/>
      <c r="NI12" s="272"/>
      <c r="NJ12" s="272"/>
      <c r="NK12" s="272"/>
      <c r="NL12" s="272"/>
      <c r="NM12" s="272"/>
      <c r="NN12" s="272"/>
      <c r="NO12" s="272"/>
      <c r="NP12" s="272"/>
      <c r="NQ12" s="272"/>
      <c r="NR12" s="272"/>
      <c r="NS12" s="272"/>
      <c r="NT12" s="272"/>
      <c r="NU12" s="272"/>
      <c r="NV12" s="272"/>
      <c r="NW12" s="272"/>
      <c r="NX12" s="272"/>
      <c r="NY12" s="272"/>
      <c r="NZ12" s="272"/>
      <c r="OA12" s="272"/>
      <c r="OB12" s="272"/>
      <c r="OC12" s="272"/>
      <c r="OD12" s="272"/>
      <c r="OE12" s="272"/>
      <c r="OF12" s="272"/>
      <c r="OG12" s="272"/>
      <c r="OH12" s="272"/>
      <c r="OI12" s="272"/>
      <c r="OJ12" s="272"/>
      <c r="OK12" s="272"/>
      <c r="OL12" s="272"/>
      <c r="OM12" s="272"/>
      <c r="ON12" s="272"/>
      <c r="OO12" s="272"/>
      <c r="OP12" s="272"/>
      <c r="OQ12" s="272"/>
      <c r="OR12" s="272"/>
      <c r="OS12" s="272"/>
      <c r="OT12" s="272"/>
      <c r="OU12" s="272"/>
      <c r="OV12" s="272"/>
      <c r="OW12" s="272"/>
      <c r="OX12" s="272"/>
      <c r="OY12" s="272"/>
      <c r="OZ12" s="272"/>
      <c r="PA12" s="272"/>
      <c r="PB12" s="272"/>
      <c r="PC12" s="272"/>
      <c r="PD12" s="272"/>
      <c r="PE12" s="272"/>
      <c r="PF12" s="272"/>
      <c r="PG12" s="272"/>
      <c r="PH12" s="272"/>
      <c r="PI12" s="272"/>
      <c r="PJ12" s="272"/>
      <c r="PK12" s="272"/>
      <c r="PL12" s="272"/>
      <c r="PM12" s="272"/>
      <c r="PN12" s="272"/>
      <c r="PO12" s="272"/>
      <c r="PP12" s="272"/>
      <c r="PQ12" s="272"/>
      <c r="PR12" s="272"/>
      <c r="PS12" s="272"/>
      <c r="PT12" s="272"/>
      <c r="PU12" s="272"/>
      <c r="PV12" s="272"/>
      <c r="PW12" s="272"/>
      <c r="PX12" s="272"/>
      <c r="PY12" s="272"/>
      <c r="PZ12" s="272"/>
      <c r="QA12" s="272"/>
      <c r="QB12" s="272"/>
      <c r="QC12" s="272"/>
      <c r="QD12" s="272"/>
      <c r="QE12" s="272"/>
      <c r="QF12" s="272"/>
      <c r="QG12" s="272"/>
      <c r="QH12" s="272"/>
      <c r="QI12" s="272"/>
      <c r="QJ12" s="272"/>
      <c r="QK12" s="272"/>
      <c r="QL12" s="272"/>
      <c r="QM12" s="272"/>
      <c r="QN12" s="272"/>
      <c r="QO12" s="272"/>
      <c r="QP12" s="272"/>
      <c r="QQ12" s="272"/>
      <c r="QR12" s="272"/>
      <c r="QS12" s="272"/>
      <c r="QT12" s="272"/>
      <c r="QU12" s="272"/>
      <c r="QV12" s="272"/>
      <c r="QW12" s="272"/>
      <c r="QX12" s="272"/>
      <c r="QY12" s="272"/>
      <c r="QZ12" s="272"/>
      <c r="RA12" s="272"/>
      <c r="RB12" s="272"/>
      <c r="RC12" s="272"/>
      <c r="RD12" s="272"/>
      <c r="RE12" s="272"/>
      <c r="RF12" s="272"/>
      <c r="RG12" s="272"/>
      <c r="RH12" s="272"/>
      <c r="RI12" s="272"/>
      <c r="RJ12" s="272"/>
      <c r="RK12" s="272"/>
      <c r="RL12" s="272"/>
      <c r="RM12" s="272"/>
      <c r="RN12" s="272"/>
      <c r="RO12" s="272"/>
      <c r="RP12" s="272"/>
      <c r="RQ12" s="272"/>
      <c r="RR12" s="272"/>
      <c r="RS12" s="272"/>
      <c r="RT12" s="272"/>
      <c r="RU12" s="272"/>
      <c r="RV12" s="272"/>
      <c r="RW12" s="272"/>
      <c r="RX12" s="272"/>
      <c r="RY12" s="272"/>
      <c r="RZ12" s="272"/>
      <c r="SA12" s="272"/>
      <c r="SB12" s="272"/>
      <c r="SC12" s="272"/>
      <c r="SD12" s="272"/>
      <c r="SE12" s="272"/>
      <c r="SF12" s="272"/>
      <c r="SG12" s="272"/>
      <c r="SH12" s="272"/>
      <c r="SI12" s="272"/>
      <c r="SJ12" s="272"/>
      <c r="SK12" s="272"/>
      <c r="SL12" s="272"/>
      <c r="SM12" s="272"/>
      <c r="SN12" s="272"/>
      <c r="SO12" s="272"/>
      <c r="SP12" s="272"/>
      <c r="SQ12" s="272"/>
      <c r="SR12" s="272"/>
      <c r="SS12" s="272"/>
      <c r="ST12" s="272"/>
      <c r="SU12" s="272"/>
      <c r="SV12" s="272"/>
      <c r="SW12" s="272"/>
      <c r="SX12" s="272"/>
      <c r="SY12" s="272"/>
      <c r="SZ12" s="272"/>
      <c r="TA12" s="272"/>
      <c r="TB12" s="272"/>
      <c r="TC12" s="272"/>
      <c r="TD12" s="272"/>
      <c r="TE12" s="272"/>
      <c r="TF12" s="272"/>
      <c r="TG12" s="272"/>
      <c r="TH12" s="272"/>
      <c r="TI12" s="272"/>
      <c r="TJ12" s="272"/>
      <c r="TK12" s="272"/>
      <c r="TL12" s="272"/>
      <c r="TM12" s="272"/>
      <c r="TN12" s="272"/>
      <c r="TO12" s="272"/>
      <c r="TP12" s="272"/>
      <c r="TQ12" s="272"/>
      <c r="TR12" s="272"/>
      <c r="TS12" s="272"/>
      <c r="TT12" s="272"/>
      <c r="TU12" s="272"/>
      <c r="TV12" s="272"/>
      <c r="TW12" s="272"/>
      <c r="TX12" s="272"/>
      <c r="TY12" s="272"/>
      <c r="TZ12" s="272"/>
      <c r="UA12" s="272"/>
      <c r="UB12" s="272"/>
      <c r="UC12" s="272"/>
      <c r="UD12" s="272"/>
      <c r="UE12" s="272"/>
      <c r="UF12" s="272"/>
      <c r="UG12" s="272"/>
      <c r="UH12" s="272"/>
      <c r="UI12" s="272"/>
      <c r="UJ12" s="272"/>
      <c r="UK12" s="272"/>
      <c r="UL12" s="272"/>
      <c r="UM12" s="272"/>
      <c r="UN12" s="272"/>
      <c r="UO12" s="272"/>
      <c r="UP12" s="272"/>
      <c r="UQ12" s="272"/>
      <c r="UR12" s="272"/>
      <c r="US12" s="272"/>
      <c r="UT12" s="272"/>
      <c r="UU12" s="272"/>
      <c r="UV12" s="272"/>
      <c r="UW12" s="272"/>
      <c r="UX12" s="272"/>
      <c r="UY12" s="272"/>
      <c r="UZ12" s="272"/>
      <c r="VA12" s="272"/>
      <c r="VB12" s="272"/>
      <c r="VC12" s="272"/>
      <c r="VD12" s="272"/>
      <c r="VE12" s="272"/>
      <c r="VF12" s="272"/>
      <c r="VG12" s="272"/>
      <c r="VH12" s="272"/>
      <c r="VI12" s="272"/>
      <c r="VJ12" s="272"/>
      <c r="VK12" s="272"/>
      <c r="VL12" s="272"/>
      <c r="VM12" s="272"/>
      <c r="VN12" s="272"/>
      <c r="VO12" s="272"/>
      <c r="VP12" s="272"/>
      <c r="VQ12" s="272"/>
      <c r="VR12" s="272"/>
      <c r="VS12" s="272"/>
      <c r="VT12" s="272"/>
      <c r="VU12" s="272"/>
      <c r="VV12" s="272"/>
      <c r="VW12" s="272"/>
      <c r="VX12" s="272"/>
      <c r="VY12" s="272"/>
      <c r="VZ12" s="272"/>
      <c r="WA12" s="272"/>
      <c r="WB12" s="272"/>
      <c r="WC12" s="272"/>
      <c r="WD12" s="272"/>
      <c r="WE12" s="272"/>
      <c r="WF12" s="272"/>
      <c r="WG12" s="272"/>
      <c r="WH12" s="272"/>
      <c r="WI12" s="272"/>
      <c r="WJ12" s="272"/>
      <c r="WK12" s="272"/>
      <c r="WL12" s="272"/>
      <c r="WM12" s="272"/>
      <c r="WN12" s="272"/>
      <c r="WO12" s="272"/>
      <c r="WP12" s="272"/>
      <c r="WQ12" s="272"/>
      <c r="WR12" s="272"/>
      <c r="WS12" s="272"/>
      <c r="WT12" s="272"/>
      <c r="WU12" s="272"/>
      <c r="WV12" s="272"/>
      <c r="WW12" s="272"/>
      <c r="WX12" s="272"/>
      <c r="WY12" s="272"/>
      <c r="WZ12" s="272"/>
      <c r="XA12" s="272"/>
      <c r="XB12" s="272"/>
      <c r="XC12" s="272"/>
      <c r="XD12" s="272"/>
      <c r="XE12" s="272"/>
      <c r="XF12" s="272"/>
      <c r="XG12" s="272"/>
      <c r="XH12" s="272"/>
      <c r="XI12" s="272"/>
      <c r="XJ12" s="272"/>
      <c r="XK12" s="272"/>
      <c r="XL12" s="272"/>
      <c r="XM12" s="272"/>
      <c r="XN12" s="272"/>
      <c r="XO12" s="272"/>
      <c r="XP12" s="272"/>
      <c r="XQ12" s="272"/>
      <c r="XR12" s="272"/>
      <c r="XS12" s="272"/>
      <c r="XT12" s="272"/>
      <c r="XU12" s="272"/>
      <c r="XV12" s="272"/>
      <c r="XW12" s="272"/>
      <c r="XX12" s="272"/>
      <c r="XY12" s="272"/>
      <c r="XZ12" s="272"/>
      <c r="YA12" s="272"/>
      <c r="YB12" s="272"/>
      <c r="YC12" s="272"/>
      <c r="YD12" s="272"/>
      <c r="YE12" s="272"/>
      <c r="YF12" s="272"/>
      <c r="YG12" s="272"/>
      <c r="YH12" s="272"/>
      <c r="YI12" s="272"/>
      <c r="YJ12" s="272"/>
      <c r="YK12" s="272"/>
      <c r="YL12" s="272"/>
      <c r="YM12" s="272"/>
      <c r="YN12" s="272"/>
      <c r="YO12" s="272"/>
      <c r="YP12" s="272"/>
      <c r="YQ12" s="272"/>
      <c r="YR12" s="272"/>
      <c r="YS12" s="272"/>
      <c r="YT12" s="272"/>
      <c r="YU12" s="272"/>
      <c r="YV12" s="272"/>
      <c r="YW12" s="272"/>
      <c r="YX12" s="272"/>
      <c r="YY12" s="272"/>
      <c r="YZ12" s="272"/>
      <c r="ZA12" s="272"/>
      <c r="ZB12" s="272"/>
      <c r="ZC12" s="272"/>
      <c r="ZD12" s="272"/>
      <c r="ZE12" s="272"/>
      <c r="ZF12" s="272"/>
      <c r="ZG12" s="272"/>
      <c r="ZH12" s="272"/>
      <c r="ZI12" s="272"/>
      <c r="ZJ12" s="272"/>
      <c r="ZK12" s="272"/>
      <c r="ZL12" s="272"/>
      <c r="ZM12" s="272"/>
      <c r="ZN12" s="272"/>
      <c r="ZO12" s="272"/>
      <c r="ZP12" s="272"/>
      <c r="ZQ12" s="272"/>
      <c r="ZR12" s="272"/>
      <c r="ZS12" s="272"/>
      <c r="ZT12" s="272"/>
      <c r="ZU12" s="272"/>
      <c r="ZV12" s="272"/>
      <c r="ZW12" s="272"/>
      <c r="ZX12" s="272"/>
      <c r="ZY12" s="272"/>
      <c r="ZZ12" s="272"/>
      <c r="AAA12" s="272"/>
      <c r="AAB12" s="272"/>
      <c r="AAC12" s="272"/>
      <c r="AAD12" s="272"/>
      <c r="AAE12" s="272"/>
      <c r="AAF12" s="272"/>
      <c r="AAG12" s="272"/>
      <c r="AAH12" s="272"/>
      <c r="AAI12" s="272"/>
      <c r="AAJ12" s="272"/>
      <c r="AAK12" s="272"/>
      <c r="AAL12" s="272"/>
      <c r="AAM12" s="272"/>
      <c r="AAN12" s="272"/>
      <c r="AAO12" s="272"/>
      <c r="AAP12" s="272"/>
      <c r="AAQ12" s="272"/>
      <c r="AAR12" s="272"/>
      <c r="AAS12" s="272"/>
      <c r="AAT12" s="272"/>
      <c r="AAU12" s="272"/>
      <c r="AAV12" s="272"/>
      <c r="AAW12" s="272"/>
      <c r="AAX12" s="272"/>
      <c r="AAY12" s="272"/>
      <c r="AAZ12" s="272"/>
      <c r="ABA12" s="272"/>
      <c r="ABB12" s="272"/>
      <c r="ABC12" s="272"/>
      <c r="ABD12" s="272"/>
      <c r="ABE12" s="272"/>
      <c r="ABF12" s="272"/>
      <c r="ABG12" s="272"/>
    </row>
    <row r="13" spans="1:735" s="19" customFormat="1" ht="15">
      <c r="A13" s="44"/>
      <c r="B13" s="44"/>
      <c r="C13" s="55" t="s">
        <v>53</v>
      </c>
      <c r="D13" s="55"/>
      <c r="E13" s="57"/>
      <c r="F13" s="263"/>
      <c r="G13" s="388"/>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c r="IW13" s="272"/>
      <c r="IX13" s="272"/>
      <c r="IY13" s="272"/>
      <c r="IZ13" s="272"/>
      <c r="JA13" s="272"/>
      <c r="JB13" s="272"/>
      <c r="JC13" s="272"/>
      <c r="JD13" s="272"/>
      <c r="JE13" s="272"/>
      <c r="JF13" s="272"/>
      <c r="JG13" s="272"/>
      <c r="JH13" s="272"/>
      <c r="JI13" s="272"/>
      <c r="JJ13" s="272"/>
      <c r="JK13" s="272"/>
      <c r="JL13" s="272"/>
      <c r="JM13" s="272"/>
      <c r="JN13" s="272"/>
      <c r="JO13" s="272"/>
      <c r="JP13" s="272"/>
      <c r="JQ13" s="272"/>
      <c r="JR13" s="272"/>
      <c r="JS13" s="272"/>
      <c r="JT13" s="272"/>
      <c r="JU13" s="272"/>
      <c r="JV13" s="272"/>
      <c r="JW13" s="272"/>
      <c r="JX13" s="272"/>
      <c r="JY13" s="272"/>
      <c r="JZ13" s="272"/>
      <c r="KA13" s="272"/>
      <c r="KB13" s="272"/>
      <c r="KC13" s="272"/>
      <c r="KD13" s="272"/>
      <c r="KE13" s="272"/>
      <c r="KF13" s="272"/>
      <c r="KG13" s="272"/>
      <c r="KH13" s="272"/>
      <c r="KI13" s="272"/>
      <c r="KJ13" s="272"/>
      <c r="KK13" s="272"/>
      <c r="KL13" s="272"/>
      <c r="KM13" s="272"/>
      <c r="KN13" s="272"/>
      <c r="KO13" s="272"/>
      <c r="KP13" s="272"/>
      <c r="KQ13" s="272"/>
      <c r="KR13" s="272"/>
      <c r="KS13" s="272"/>
      <c r="KT13" s="272"/>
      <c r="KU13" s="272"/>
      <c r="KV13" s="272"/>
      <c r="KW13" s="272"/>
      <c r="KX13" s="272"/>
      <c r="KY13" s="272"/>
      <c r="KZ13" s="272"/>
      <c r="LA13" s="272"/>
      <c r="LB13" s="272"/>
      <c r="LC13" s="272"/>
      <c r="LD13" s="272"/>
      <c r="LE13" s="272"/>
      <c r="LF13" s="272"/>
      <c r="LG13" s="272"/>
      <c r="LH13" s="272"/>
      <c r="LI13" s="272"/>
      <c r="LJ13" s="272"/>
      <c r="LK13" s="272"/>
      <c r="LL13" s="272"/>
      <c r="LM13" s="272"/>
      <c r="LN13" s="272"/>
      <c r="LO13" s="272"/>
      <c r="LP13" s="272"/>
      <c r="LQ13" s="272"/>
      <c r="LR13" s="272"/>
      <c r="LS13" s="272"/>
      <c r="LT13" s="272"/>
      <c r="LU13" s="272"/>
      <c r="LV13" s="272"/>
      <c r="LW13" s="272"/>
      <c r="LX13" s="272"/>
      <c r="LY13" s="272"/>
      <c r="LZ13" s="272"/>
      <c r="MA13" s="272"/>
      <c r="MB13" s="272"/>
      <c r="MC13" s="272"/>
      <c r="MD13" s="272"/>
      <c r="ME13" s="272"/>
      <c r="MF13" s="272"/>
      <c r="MG13" s="272"/>
      <c r="MH13" s="272"/>
      <c r="MI13" s="272"/>
      <c r="MJ13" s="272"/>
      <c r="MK13" s="272"/>
      <c r="ML13" s="272"/>
      <c r="MM13" s="272"/>
      <c r="MN13" s="272"/>
      <c r="MO13" s="272"/>
      <c r="MP13" s="272"/>
      <c r="MQ13" s="272"/>
      <c r="MR13" s="272"/>
      <c r="MS13" s="272"/>
      <c r="MT13" s="272"/>
      <c r="MU13" s="272"/>
      <c r="MV13" s="272"/>
      <c r="MW13" s="272"/>
      <c r="MX13" s="272"/>
      <c r="MY13" s="272"/>
      <c r="MZ13" s="272"/>
      <c r="NA13" s="272"/>
      <c r="NB13" s="272"/>
      <c r="NC13" s="272"/>
      <c r="ND13" s="272"/>
      <c r="NE13" s="272"/>
      <c r="NF13" s="272"/>
      <c r="NG13" s="272"/>
      <c r="NH13" s="272"/>
      <c r="NI13" s="272"/>
      <c r="NJ13" s="272"/>
      <c r="NK13" s="272"/>
      <c r="NL13" s="272"/>
      <c r="NM13" s="272"/>
      <c r="NN13" s="272"/>
      <c r="NO13" s="272"/>
      <c r="NP13" s="272"/>
      <c r="NQ13" s="272"/>
      <c r="NR13" s="272"/>
      <c r="NS13" s="272"/>
      <c r="NT13" s="272"/>
      <c r="NU13" s="272"/>
      <c r="NV13" s="272"/>
      <c r="NW13" s="272"/>
      <c r="NX13" s="272"/>
      <c r="NY13" s="272"/>
      <c r="NZ13" s="272"/>
      <c r="OA13" s="272"/>
      <c r="OB13" s="272"/>
      <c r="OC13" s="272"/>
      <c r="OD13" s="272"/>
      <c r="OE13" s="272"/>
      <c r="OF13" s="272"/>
      <c r="OG13" s="272"/>
      <c r="OH13" s="272"/>
      <c r="OI13" s="272"/>
      <c r="OJ13" s="272"/>
      <c r="OK13" s="272"/>
      <c r="OL13" s="272"/>
      <c r="OM13" s="272"/>
      <c r="ON13" s="272"/>
      <c r="OO13" s="272"/>
      <c r="OP13" s="272"/>
      <c r="OQ13" s="272"/>
      <c r="OR13" s="272"/>
      <c r="OS13" s="272"/>
      <c r="OT13" s="272"/>
      <c r="OU13" s="272"/>
      <c r="OV13" s="272"/>
      <c r="OW13" s="272"/>
      <c r="OX13" s="272"/>
      <c r="OY13" s="272"/>
      <c r="OZ13" s="272"/>
      <c r="PA13" s="272"/>
      <c r="PB13" s="272"/>
      <c r="PC13" s="272"/>
      <c r="PD13" s="272"/>
      <c r="PE13" s="272"/>
      <c r="PF13" s="272"/>
      <c r="PG13" s="272"/>
      <c r="PH13" s="272"/>
      <c r="PI13" s="272"/>
      <c r="PJ13" s="272"/>
      <c r="PK13" s="272"/>
      <c r="PL13" s="272"/>
      <c r="PM13" s="272"/>
      <c r="PN13" s="272"/>
      <c r="PO13" s="272"/>
      <c r="PP13" s="272"/>
      <c r="PQ13" s="272"/>
      <c r="PR13" s="272"/>
      <c r="PS13" s="272"/>
      <c r="PT13" s="272"/>
      <c r="PU13" s="272"/>
      <c r="PV13" s="272"/>
      <c r="PW13" s="272"/>
      <c r="PX13" s="272"/>
      <c r="PY13" s="272"/>
      <c r="PZ13" s="272"/>
      <c r="QA13" s="272"/>
      <c r="QB13" s="272"/>
      <c r="QC13" s="272"/>
      <c r="QD13" s="272"/>
      <c r="QE13" s="272"/>
      <c r="QF13" s="272"/>
      <c r="QG13" s="272"/>
      <c r="QH13" s="272"/>
      <c r="QI13" s="272"/>
      <c r="QJ13" s="272"/>
      <c r="QK13" s="272"/>
      <c r="QL13" s="272"/>
      <c r="QM13" s="272"/>
      <c r="QN13" s="272"/>
      <c r="QO13" s="272"/>
      <c r="QP13" s="272"/>
      <c r="QQ13" s="272"/>
      <c r="QR13" s="272"/>
      <c r="QS13" s="272"/>
      <c r="QT13" s="272"/>
      <c r="QU13" s="272"/>
      <c r="QV13" s="272"/>
      <c r="QW13" s="272"/>
      <c r="QX13" s="272"/>
      <c r="QY13" s="272"/>
      <c r="QZ13" s="272"/>
      <c r="RA13" s="272"/>
      <c r="RB13" s="272"/>
      <c r="RC13" s="272"/>
      <c r="RD13" s="272"/>
      <c r="RE13" s="272"/>
      <c r="RF13" s="272"/>
      <c r="RG13" s="272"/>
      <c r="RH13" s="272"/>
      <c r="RI13" s="272"/>
      <c r="RJ13" s="272"/>
      <c r="RK13" s="272"/>
      <c r="RL13" s="272"/>
      <c r="RM13" s="272"/>
      <c r="RN13" s="272"/>
      <c r="RO13" s="272"/>
      <c r="RP13" s="272"/>
      <c r="RQ13" s="272"/>
      <c r="RR13" s="272"/>
      <c r="RS13" s="272"/>
      <c r="RT13" s="272"/>
      <c r="RU13" s="272"/>
      <c r="RV13" s="272"/>
      <c r="RW13" s="272"/>
      <c r="RX13" s="272"/>
      <c r="RY13" s="272"/>
      <c r="RZ13" s="272"/>
      <c r="SA13" s="272"/>
      <c r="SB13" s="272"/>
      <c r="SC13" s="272"/>
      <c r="SD13" s="272"/>
      <c r="SE13" s="272"/>
      <c r="SF13" s="272"/>
      <c r="SG13" s="272"/>
      <c r="SH13" s="272"/>
      <c r="SI13" s="272"/>
      <c r="SJ13" s="272"/>
      <c r="SK13" s="272"/>
      <c r="SL13" s="272"/>
      <c r="SM13" s="272"/>
      <c r="SN13" s="272"/>
      <c r="SO13" s="272"/>
      <c r="SP13" s="272"/>
      <c r="SQ13" s="272"/>
      <c r="SR13" s="272"/>
      <c r="SS13" s="272"/>
      <c r="ST13" s="272"/>
      <c r="SU13" s="272"/>
      <c r="SV13" s="272"/>
      <c r="SW13" s="272"/>
      <c r="SX13" s="272"/>
      <c r="SY13" s="272"/>
      <c r="SZ13" s="272"/>
      <c r="TA13" s="272"/>
      <c r="TB13" s="272"/>
      <c r="TC13" s="272"/>
      <c r="TD13" s="272"/>
      <c r="TE13" s="272"/>
      <c r="TF13" s="272"/>
      <c r="TG13" s="272"/>
      <c r="TH13" s="272"/>
      <c r="TI13" s="272"/>
      <c r="TJ13" s="272"/>
      <c r="TK13" s="272"/>
      <c r="TL13" s="272"/>
      <c r="TM13" s="272"/>
      <c r="TN13" s="272"/>
      <c r="TO13" s="272"/>
      <c r="TP13" s="272"/>
      <c r="TQ13" s="272"/>
      <c r="TR13" s="272"/>
      <c r="TS13" s="272"/>
      <c r="TT13" s="272"/>
      <c r="TU13" s="272"/>
      <c r="TV13" s="272"/>
      <c r="TW13" s="272"/>
      <c r="TX13" s="272"/>
      <c r="TY13" s="272"/>
      <c r="TZ13" s="272"/>
      <c r="UA13" s="272"/>
      <c r="UB13" s="272"/>
      <c r="UC13" s="272"/>
      <c r="UD13" s="272"/>
      <c r="UE13" s="272"/>
      <c r="UF13" s="272"/>
      <c r="UG13" s="272"/>
      <c r="UH13" s="272"/>
      <c r="UI13" s="272"/>
      <c r="UJ13" s="272"/>
      <c r="UK13" s="272"/>
      <c r="UL13" s="272"/>
      <c r="UM13" s="272"/>
      <c r="UN13" s="272"/>
      <c r="UO13" s="272"/>
      <c r="UP13" s="272"/>
      <c r="UQ13" s="272"/>
      <c r="UR13" s="272"/>
      <c r="US13" s="272"/>
      <c r="UT13" s="272"/>
      <c r="UU13" s="272"/>
      <c r="UV13" s="272"/>
      <c r="UW13" s="272"/>
      <c r="UX13" s="272"/>
      <c r="UY13" s="272"/>
      <c r="UZ13" s="272"/>
      <c r="VA13" s="272"/>
      <c r="VB13" s="272"/>
      <c r="VC13" s="272"/>
      <c r="VD13" s="272"/>
      <c r="VE13" s="272"/>
      <c r="VF13" s="272"/>
      <c r="VG13" s="272"/>
      <c r="VH13" s="272"/>
      <c r="VI13" s="272"/>
      <c r="VJ13" s="272"/>
      <c r="VK13" s="272"/>
      <c r="VL13" s="272"/>
      <c r="VM13" s="272"/>
      <c r="VN13" s="272"/>
      <c r="VO13" s="272"/>
      <c r="VP13" s="272"/>
      <c r="VQ13" s="272"/>
      <c r="VR13" s="272"/>
      <c r="VS13" s="272"/>
      <c r="VT13" s="272"/>
      <c r="VU13" s="272"/>
      <c r="VV13" s="272"/>
      <c r="VW13" s="272"/>
      <c r="VX13" s="272"/>
      <c r="VY13" s="272"/>
      <c r="VZ13" s="272"/>
      <c r="WA13" s="272"/>
      <c r="WB13" s="272"/>
      <c r="WC13" s="272"/>
      <c r="WD13" s="272"/>
      <c r="WE13" s="272"/>
      <c r="WF13" s="272"/>
      <c r="WG13" s="272"/>
      <c r="WH13" s="272"/>
      <c r="WI13" s="272"/>
      <c r="WJ13" s="272"/>
      <c r="WK13" s="272"/>
      <c r="WL13" s="272"/>
      <c r="WM13" s="272"/>
      <c r="WN13" s="272"/>
      <c r="WO13" s="272"/>
      <c r="WP13" s="272"/>
      <c r="WQ13" s="272"/>
      <c r="WR13" s="272"/>
      <c r="WS13" s="272"/>
      <c r="WT13" s="272"/>
      <c r="WU13" s="272"/>
      <c r="WV13" s="272"/>
      <c r="WW13" s="272"/>
      <c r="WX13" s="272"/>
      <c r="WY13" s="272"/>
      <c r="WZ13" s="272"/>
      <c r="XA13" s="272"/>
      <c r="XB13" s="272"/>
      <c r="XC13" s="272"/>
      <c r="XD13" s="272"/>
      <c r="XE13" s="272"/>
      <c r="XF13" s="272"/>
      <c r="XG13" s="272"/>
      <c r="XH13" s="272"/>
      <c r="XI13" s="272"/>
      <c r="XJ13" s="272"/>
      <c r="XK13" s="272"/>
      <c r="XL13" s="272"/>
      <c r="XM13" s="272"/>
      <c r="XN13" s="272"/>
      <c r="XO13" s="272"/>
      <c r="XP13" s="272"/>
      <c r="XQ13" s="272"/>
      <c r="XR13" s="272"/>
      <c r="XS13" s="272"/>
      <c r="XT13" s="272"/>
      <c r="XU13" s="272"/>
      <c r="XV13" s="272"/>
      <c r="XW13" s="272"/>
      <c r="XX13" s="272"/>
      <c r="XY13" s="272"/>
      <c r="XZ13" s="272"/>
      <c r="YA13" s="272"/>
      <c r="YB13" s="272"/>
      <c r="YC13" s="272"/>
      <c r="YD13" s="272"/>
      <c r="YE13" s="272"/>
      <c r="YF13" s="272"/>
      <c r="YG13" s="272"/>
      <c r="YH13" s="272"/>
      <c r="YI13" s="272"/>
      <c r="YJ13" s="272"/>
      <c r="YK13" s="272"/>
      <c r="YL13" s="272"/>
      <c r="YM13" s="272"/>
      <c r="YN13" s="272"/>
      <c r="YO13" s="272"/>
      <c r="YP13" s="272"/>
      <c r="YQ13" s="272"/>
      <c r="YR13" s="272"/>
      <c r="YS13" s="272"/>
      <c r="YT13" s="272"/>
      <c r="YU13" s="272"/>
      <c r="YV13" s="272"/>
      <c r="YW13" s="272"/>
      <c r="YX13" s="272"/>
      <c r="YY13" s="272"/>
      <c r="YZ13" s="272"/>
      <c r="ZA13" s="272"/>
      <c r="ZB13" s="272"/>
      <c r="ZC13" s="272"/>
      <c r="ZD13" s="272"/>
      <c r="ZE13" s="272"/>
      <c r="ZF13" s="272"/>
      <c r="ZG13" s="272"/>
      <c r="ZH13" s="272"/>
      <c r="ZI13" s="272"/>
      <c r="ZJ13" s="272"/>
      <c r="ZK13" s="272"/>
      <c r="ZL13" s="272"/>
      <c r="ZM13" s="272"/>
      <c r="ZN13" s="272"/>
      <c r="ZO13" s="272"/>
      <c r="ZP13" s="272"/>
      <c r="ZQ13" s="272"/>
      <c r="ZR13" s="272"/>
      <c r="ZS13" s="272"/>
      <c r="ZT13" s="272"/>
      <c r="ZU13" s="272"/>
      <c r="ZV13" s="272"/>
      <c r="ZW13" s="272"/>
      <c r="ZX13" s="272"/>
      <c r="ZY13" s="272"/>
      <c r="ZZ13" s="272"/>
      <c r="AAA13" s="272"/>
      <c r="AAB13" s="272"/>
      <c r="AAC13" s="272"/>
      <c r="AAD13" s="272"/>
      <c r="AAE13" s="272"/>
      <c r="AAF13" s="272"/>
      <c r="AAG13" s="272"/>
      <c r="AAH13" s="272"/>
      <c r="AAI13" s="272"/>
      <c r="AAJ13" s="272"/>
      <c r="AAK13" s="272"/>
      <c r="AAL13" s="272"/>
      <c r="AAM13" s="272"/>
      <c r="AAN13" s="272"/>
      <c r="AAO13" s="272"/>
      <c r="AAP13" s="272"/>
      <c r="AAQ13" s="272"/>
      <c r="AAR13" s="272"/>
      <c r="AAS13" s="272"/>
      <c r="AAT13" s="272"/>
      <c r="AAU13" s="272"/>
      <c r="AAV13" s="272"/>
      <c r="AAW13" s="272"/>
      <c r="AAX13" s="272"/>
      <c r="AAY13" s="272"/>
      <c r="AAZ13" s="272"/>
      <c r="ABA13" s="272"/>
      <c r="ABB13" s="272"/>
      <c r="ABC13" s="272"/>
      <c r="ABD13" s="272"/>
      <c r="ABE13" s="272"/>
      <c r="ABF13" s="272"/>
      <c r="ABG13" s="272"/>
    </row>
    <row r="14" spans="1:735" s="19" customFormat="1" ht="114.75" customHeight="1">
      <c r="A14" s="44"/>
      <c r="B14" s="72"/>
      <c r="C14" s="24" t="s">
        <v>54</v>
      </c>
      <c r="D14" s="505"/>
      <c r="E14" s="505"/>
      <c r="F14" s="506"/>
      <c r="G14" s="507"/>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c r="IW14" s="272"/>
      <c r="IX14" s="272"/>
      <c r="IY14" s="272"/>
      <c r="IZ14" s="272"/>
      <c r="JA14" s="272"/>
      <c r="JB14" s="272"/>
      <c r="JC14" s="272"/>
      <c r="JD14" s="272"/>
      <c r="JE14" s="272"/>
      <c r="JF14" s="272"/>
      <c r="JG14" s="272"/>
      <c r="JH14" s="272"/>
      <c r="JI14" s="272"/>
      <c r="JJ14" s="272"/>
      <c r="JK14" s="272"/>
      <c r="JL14" s="272"/>
      <c r="JM14" s="272"/>
      <c r="JN14" s="272"/>
      <c r="JO14" s="272"/>
      <c r="JP14" s="272"/>
      <c r="JQ14" s="272"/>
      <c r="JR14" s="272"/>
      <c r="JS14" s="272"/>
      <c r="JT14" s="272"/>
      <c r="JU14" s="272"/>
      <c r="JV14" s="272"/>
      <c r="JW14" s="272"/>
      <c r="JX14" s="272"/>
      <c r="JY14" s="272"/>
      <c r="JZ14" s="272"/>
      <c r="KA14" s="272"/>
      <c r="KB14" s="272"/>
      <c r="KC14" s="272"/>
      <c r="KD14" s="272"/>
      <c r="KE14" s="272"/>
      <c r="KF14" s="272"/>
      <c r="KG14" s="272"/>
      <c r="KH14" s="272"/>
      <c r="KI14" s="272"/>
      <c r="KJ14" s="272"/>
      <c r="KK14" s="272"/>
      <c r="KL14" s="272"/>
      <c r="KM14" s="272"/>
      <c r="KN14" s="272"/>
      <c r="KO14" s="272"/>
      <c r="KP14" s="272"/>
      <c r="KQ14" s="272"/>
      <c r="KR14" s="272"/>
      <c r="KS14" s="272"/>
      <c r="KT14" s="272"/>
      <c r="KU14" s="272"/>
      <c r="KV14" s="272"/>
      <c r="KW14" s="272"/>
      <c r="KX14" s="272"/>
      <c r="KY14" s="272"/>
      <c r="KZ14" s="272"/>
      <c r="LA14" s="272"/>
      <c r="LB14" s="272"/>
      <c r="LC14" s="272"/>
      <c r="LD14" s="272"/>
      <c r="LE14" s="272"/>
      <c r="LF14" s="272"/>
      <c r="LG14" s="272"/>
      <c r="LH14" s="272"/>
      <c r="LI14" s="272"/>
      <c r="LJ14" s="272"/>
      <c r="LK14" s="272"/>
      <c r="LL14" s="272"/>
      <c r="LM14" s="272"/>
      <c r="LN14" s="272"/>
      <c r="LO14" s="272"/>
      <c r="LP14" s="272"/>
      <c r="LQ14" s="272"/>
      <c r="LR14" s="272"/>
      <c r="LS14" s="272"/>
      <c r="LT14" s="272"/>
      <c r="LU14" s="272"/>
      <c r="LV14" s="272"/>
      <c r="LW14" s="272"/>
      <c r="LX14" s="272"/>
      <c r="LY14" s="272"/>
      <c r="LZ14" s="272"/>
      <c r="MA14" s="272"/>
      <c r="MB14" s="272"/>
      <c r="MC14" s="272"/>
      <c r="MD14" s="272"/>
      <c r="ME14" s="272"/>
      <c r="MF14" s="272"/>
      <c r="MG14" s="272"/>
      <c r="MH14" s="272"/>
      <c r="MI14" s="272"/>
      <c r="MJ14" s="272"/>
      <c r="MK14" s="272"/>
      <c r="ML14" s="272"/>
      <c r="MM14" s="272"/>
      <c r="MN14" s="272"/>
      <c r="MO14" s="272"/>
      <c r="MP14" s="272"/>
      <c r="MQ14" s="272"/>
      <c r="MR14" s="272"/>
      <c r="MS14" s="272"/>
      <c r="MT14" s="272"/>
      <c r="MU14" s="272"/>
      <c r="MV14" s="272"/>
      <c r="MW14" s="272"/>
      <c r="MX14" s="272"/>
      <c r="MY14" s="272"/>
      <c r="MZ14" s="272"/>
      <c r="NA14" s="272"/>
      <c r="NB14" s="272"/>
      <c r="NC14" s="272"/>
      <c r="ND14" s="272"/>
      <c r="NE14" s="272"/>
      <c r="NF14" s="272"/>
      <c r="NG14" s="272"/>
      <c r="NH14" s="272"/>
      <c r="NI14" s="272"/>
      <c r="NJ14" s="272"/>
      <c r="NK14" s="272"/>
      <c r="NL14" s="272"/>
      <c r="NM14" s="272"/>
      <c r="NN14" s="272"/>
      <c r="NO14" s="272"/>
      <c r="NP14" s="272"/>
      <c r="NQ14" s="272"/>
      <c r="NR14" s="272"/>
      <c r="NS14" s="272"/>
      <c r="NT14" s="272"/>
      <c r="NU14" s="272"/>
      <c r="NV14" s="272"/>
      <c r="NW14" s="272"/>
      <c r="NX14" s="272"/>
      <c r="NY14" s="272"/>
      <c r="NZ14" s="272"/>
      <c r="OA14" s="272"/>
      <c r="OB14" s="272"/>
      <c r="OC14" s="272"/>
      <c r="OD14" s="272"/>
      <c r="OE14" s="272"/>
      <c r="OF14" s="272"/>
      <c r="OG14" s="272"/>
      <c r="OH14" s="272"/>
      <c r="OI14" s="272"/>
      <c r="OJ14" s="272"/>
      <c r="OK14" s="272"/>
      <c r="OL14" s="272"/>
      <c r="OM14" s="272"/>
      <c r="ON14" s="272"/>
      <c r="OO14" s="272"/>
      <c r="OP14" s="272"/>
      <c r="OQ14" s="272"/>
      <c r="OR14" s="272"/>
      <c r="OS14" s="272"/>
      <c r="OT14" s="272"/>
      <c r="OU14" s="272"/>
      <c r="OV14" s="272"/>
      <c r="OW14" s="272"/>
      <c r="OX14" s="272"/>
      <c r="OY14" s="272"/>
      <c r="OZ14" s="272"/>
      <c r="PA14" s="272"/>
      <c r="PB14" s="272"/>
      <c r="PC14" s="272"/>
      <c r="PD14" s="272"/>
      <c r="PE14" s="272"/>
      <c r="PF14" s="272"/>
      <c r="PG14" s="272"/>
      <c r="PH14" s="272"/>
      <c r="PI14" s="272"/>
      <c r="PJ14" s="272"/>
      <c r="PK14" s="272"/>
      <c r="PL14" s="272"/>
      <c r="PM14" s="272"/>
      <c r="PN14" s="272"/>
      <c r="PO14" s="272"/>
      <c r="PP14" s="272"/>
      <c r="PQ14" s="272"/>
      <c r="PR14" s="272"/>
      <c r="PS14" s="272"/>
      <c r="PT14" s="272"/>
      <c r="PU14" s="272"/>
      <c r="PV14" s="272"/>
      <c r="PW14" s="272"/>
      <c r="PX14" s="272"/>
      <c r="PY14" s="272"/>
      <c r="PZ14" s="272"/>
      <c r="QA14" s="272"/>
      <c r="QB14" s="272"/>
      <c r="QC14" s="272"/>
      <c r="QD14" s="272"/>
      <c r="QE14" s="272"/>
      <c r="QF14" s="272"/>
      <c r="QG14" s="272"/>
      <c r="QH14" s="272"/>
      <c r="QI14" s="272"/>
      <c r="QJ14" s="272"/>
      <c r="QK14" s="272"/>
      <c r="QL14" s="272"/>
      <c r="QM14" s="272"/>
      <c r="QN14" s="272"/>
      <c r="QO14" s="272"/>
      <c r="QP14" s="272"/>
      <c r="QQ14" s="272"/>
      <c r="QR14" s="272"/>
      <c r="QS14" s="272"/>
      <c r="QT14" s="272"/>
      <c r="QU14" s="272"/>
      <c r="QV14" s="272"/>
      <c r="QW14" s="272"/>
      <c r="QX14" s="272"/>
      <c r="QY14" s="272"/>
      <c r="QZ14" s="272"/>
      <c r="RA14" s="272"/>
      <c r="RB14" s="272"/>
      <c r="RC14" s="272"/>
      <c r="RD14" s="272"/>
      <c r="RE14" s="272"/>
      <c r="RF14" s="272"/>
      <c r="RG14" s="272"/>
      <c r="RH14" s="272"/>
      <c r="RI14" s="272"/>
      <c r="RJ14" s="272"/>
      <c r="RK14" s="272"/>
      <c r="RL14" s="272"/>
      <c r="RM14" s="272"/>
      <c r="RN14" s="272"/>
      <c r="RO14" s="272"/>
      <c r="RP14" s="272"/>
      <c r="RQ14" s="272"/>
      <c r="RR14" s="272"/>
      <c r="RS14" s="272"/>
      <c r="RT14" s="272"/>
      <c r="RU14" s="272"/>
      <c r="RV14" s="272"/>
      <c r="RW14" s="272"/>
      <c r="RX14" s="272"/>
      <c r="RY14" s="272"/>
      <c r="RZ14" s="272"/>
      <c r="SA14" s="272"/>
      <c r="SB14" s="272"/>
      <c r="SC14" s="272"/>
      <c r="SD14" s="272"/>
      <c r="SE14" s="272"/>
      <c r="SF14" s="272"/>
      <c r="SG14" s="272"/>
      <c r="SH14" s="272"/>
      <c r="SI14" s="272"/>
      <c r="SJ14" s="272"/>
      <c r="SK14" s="272"/>
      <c r="SL14" s="272"/>
      <c r="SM14" s="272"/>
      <c r="SN14" s="272"/>
      <c r="SO14" s="272"/>
      <c r="SP14" s="272"/>
      <c r="SQ14" s="272"/>
      <c r="SR14" s="272"/>
      <c r="SS14" s="272"/>
      <c r="ST14" s="272"/>
      <c r="SU14" s="272"/>
      <c r="SV14" s="272"/>
      <c r="SW14" s="272"/>
      <c r="SX14" s="272"/>
      <c r="SY14" s="272"/>
      <c r="SZ14" s="272"/>
      <c r="TA14" s="272"/>
      <c r="TB14" s="272"/>
      <c r="TC14" s="272"/>
      <c r="TD14" s="272"/>
      <c r="TE14" s="272"/>
      <c r="TF14" s="272"/>
      <c r="TG14" s="272"/>
      <c r="TH14" s="272"/>
      <c r="TI14" s="272"/>
      <c r="TJ14" s="272"/>
      <c r="TK14" s="272"/>
      <c r="TL14" s="272"/>
      <c r="TM14" s="272"/>
      <c r="TN14" s="272"/>
      <c r="TO14" s="272"/>
      <c r="TP14" s="272"/>
      <c r="TQ14" s="272"/>
      <c r="TR14" s="272"/>
      <c r="TS14" s="272"/>
      <c r="TT14" s="272"/>
      <c r="TU14" s="272"/>
      <c r="TV14" s="272"/>
      <c r="TW14" s="272"/>
      <c r="TX14" s="272"/>
      <c r="TY14" s="272"/>
      <c r="TZ14" s="272"/>
      <c r="UA14" s="272"/>
      <c r="UB14" s="272"/>
      <c r="UC14" s="272"/>
      <c r="UD14" s="272"/>
      <c r="UE14" s="272"/>
      <c r="UF14" s="272"/>
      <c r="UG14" s="272"/>
      <c r="UH14" s="272"/>
      <c r="UI14" s="272"/>
      <c r="UJ14" s="272"/>
      <c r="UK14" s="272"/>
      <c r="UL14" s="272"/>
      <c r="UM14" s="272"/>
      <c r="UN14" s="272"/>
      <c r="UO14" s="272"/>
      <c r="UP14" s="272"/>
      <c r="UQ14" s="272"/>
      <c r="UR14" s="272"/>
      <c r="US14" s="272"/>
      <c r="UT14" s="272"/>
      <c r="UU14" s="272"/>
      <c r="UV14" s="272"/>
      <c r="UW14" s="272"/>
      <c r="UX14" s="272"/>
      <c r="UY14" s="272"/>
      <c r="UZ14" s="272"/>
      <c r="VA14" s="272"/>
      <c r="VB14" s="272"/>
      <c r="VC14" s="272"/>
      <c r="VD14" s="272"/>
      <c r="VE14" s="272"/>
      <c r="VF14" s="272"/>
      <c r="VG14" s="272"/>
      <c r="VH14" s="272"/>
      <c r="VI14" s="272"/>
      <c r="VJ14" s="272"/>
      <c r="VK14" s="272"/>
      <c r="VL14" s="272"/>
      <c r="VM14" s="272"/>
      <c r="VN14" s="272"/>
      <c r="VO14" s="272"/>
      <c r="VP14" s="272"/>
      <c r="VQ14" s="272"/>
      <c r="VR14" s="272"/>
      <c r="VS14" s="272"/>
      <c r="VT14" s="272"/>
      <c r="VU14" s="272"/>
      <c r="VV14" s="272"/>
      <c r="VW14" s="272"/>
      <c r="VX14" s="272"/>
      <c r="VY14" s="272"/>
      <c r="VZ14" s="272"/>
      <c r="WA14" s="272"/>
      <c r="WB14" s="272"/>
      <c r="WC14" s="272"/>
      <c r="WD14" s="272"/>
      <c r="WE14" s="272"/>
      <c r="WF14" s="272"/>
      <c r="WG14" s="272"/>
      <c r="WH14" s="272"/>
      <c r="WI14" s="272"/>
      <c r="WJ14" s="272"/>
      <c r="WK14" s="272"/>
      <c r="WL14" s="272"/>
      <c r="WM14" s="272"/>
      <c r="WN14" s="272"/>
      <c r="WO14" s="272"/>
      <c r="WP14" s="272"/>
      <c r="WQ14" s="272"/>
      <c r="WR14" s="272"/>
      <c r="WS14" s="272"/>
      <c r="WT14" s="272"/>
      <c r="WU14" s="272"/>
      <c r="WV14" s="272"/>
      <c r="WW14" s="272"/>
      <c r="WX14" s="272"/>
      <c r="WY14" s="272"/>
      <c r="WZ14" s="272"/>
      <c r="XA14" s="272"/>
      <c r="XB14" s="272"/>
      <c r="XC14" s="272"/>
      <c r="XD14" s="272"/>
      <c r="XE14" s="272"/>
      <c r="XF14" s="272"/>
      <c r="XG14" s="272"/>
      <c r="XH14" s="272"/>
      <c r="XI14" s="272"/>
      <c r="XJ14" s="272"/>
      <c r="XK14" s="272"/>
      <c r="XL14" s="272"/>
      <c r="XM14" s="272"/>
      <c r="XN14" s="272"/>
      <c r="XO14" s="272"/>
      <c r="XP14" s="272"/>
      <c r="XQ14" s="272"/>
      <c r="XR14" s="272"/>
      <c r="XS14" s="272"/>
      <c r="XT14" s="272"/>
      <c r="XU14" s="272"/>
      <c r="XV14" s="272"/>
      <c r="XW14" s="272"/>
      <c r="XX14" s="272"/>
      <c r="XY14" s="272"/>
      <c r="XZ14" s="272"/>
      <c r="YA14" s="272"/>
      <c r="YB14" s="272"/>
      <c r="YC14" s="272"/>
      <c r="YD14" s="272"/>
      <c r="YE14" s="272"/>
      <c r="YF14" s="272"/>
      <c r="YG14" s="272"/>
      <c r="YH14" s="272"/>
      <c r="YI14" s="272"/>
      <c r="YJ14" s="272"/>
      <c r="YK14" s="272"/>
      <c r="YL14" s="272"/>
      <c r="YM14" s="272"/>
      <c r="YN14" s="272"/>
      <c r="YO14" s="272"/>
      <c r="YP14" s="272"/>
      <c r="YQ14" s="272"/>
      <c r="YR14" s="272"/>
      <c r="YS14" s="272"/>
      <c r="YT14" s="272"/>
      <c r="YU14" s="272"/>
      <c r="YV14" s="272"/>
      <c r="YW14" s="272"/>
      <c r="YX14" s="272"/>
      <c r="YY14" s="272"/>
      <c r="YZ14" s="272"/>
      <c r="ZA14" s="272"/>
      <c r="ZB14" s="272"/>
      <c r="ZC14" s="272"/>
      <c r="ZD14" s="272"/>
      <c r="ZE14" s="272"/>
      <c r="ZF14" s="272"/>
      <c r="ZG14" s="272"/>
      <c r="ZH14" s="272"/>
      <c r="ZI14" s="272"/>
      <c r="ZJ14" s="272"/>
      <c r="ZK14" s="272"/>
      <c r="ZL14" s="272"/>
      <c r="ZM14" s="272"/>
      <c r="ZN14" s="272"/>
      <c r="ZO14" s="272"/>
      <c r="ZP14" s="272"/>
      <c r="ZQ14" s="272"/>
      <c r="ZR14" s="272"/>
      <c r="ZS14" s="272"/>
      <c r="ZT14" s="272"/>
      <c r="ZU14" s="272"/>
      <c r="ZV14" s="272"/>
      <c r="ZW14" s="272"/>
      <c r="ZX14" s="272"/>
      <c r="ZY14" s="272"/>
      <c r="ZZ14" s="272"/>
      <c r="AAA14" s="272"/>
      <c r="AAB14" s="272"/>
      <c r="AAC14" s="272"/>
      <c r="AAD14" s="272"/>
      <c r="AAE14" s="272"/>
      <c r="AAF14" s="272"/>
      <c r="AAG14" s="272"/>
      <c r="AAH14" s="272"/>
      <c r="AAI14" s="272"/>
      <c r="AAJ14" s="272"/>
      <c r="AAK14" s="272"/>
      <c r="AAL14" s="272"/>
      <c r="AAM14" s="272"/>
      <c r="AAN14" s="272"/>
      <c r="AAO14" s="272"/>
      <c r="AAP14" s="272"/>
      <c r="AAQ14" s="272"/>
      <c r="AAR14" s="272"/>
      <c r="AAS14" s="272"/>
      <c r="AAT14" s="272"/>
      <c r="AAU14" s="272"/>
      <c r="AAV14" s="272"/>
      <c r="AAW14" s="272"/>
      <c r="AAX14" s="272"/>
      <c r="AAY14" s="272"/>
      <c r="AAZ14" s="272"/>
      <c r="ABA14" s="272"/>
      <c r="ABB14" s="272"/>
      <c r="ABC14" s="272"/>
      <c r="ABD14" s="272"/>
      <c r="ABE14" s="272"/>
      <c r="ABF14" s="272"/>
      <c r="ABG14" s="272"/>
    </row>
    <row r="15" spans="1:735" s="19" customFormat="1" ht="60" customHeight="1">
      <c r="A15" s="44"/>
      <c r="B15" s="45" t="s">
        <v>21</v>
      </c>
      <c r="C15" s="24" t="s">
        <v>52</v>
      </c>
      <c r="D15" s="508"/>
      <c r="E15" s="509"/>
      <c r="F15" s="506"/>
      <c r="G15" s="507"/>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c r="IW15" s="272"/>
      <c r="IX15" s="272"/>
      <c r="IY15" s="272"/>
      <c r="IZ15" s="272"/>
      <c r="JA15" s="272"/>
      <c r="JB15" s="272"/>
      <c r="JC15" s="272"/>
      <c r="JD15" s="272"/>
      <c r="JE15" s="272"/>
      <c r="JF15" s="272"/>
      <c r="JG15" s="272"/>
      <c r="JH15" s="272"/>
      <c r="JI15" s="272"/>
      <c r="JJ15" s="272"/>
      <c r="JK15" s="272"/>
      <c r="JL15" s="272"/>
      <c r="JM15" s="272"/>
      <c r="JN15" s="272"/>
      <c r="JO15" s="272"/>
      <c r="JP15" s="272"/>
      <c r="JQ15" s="272"/>
      <c r="JR15" s="272"/>
      <c r="JS15" s="272"/>
      <c r="JT15" s="272"/>
      <c r="JU15" s="272"/>
      <c r="JV15" s="272"/>
      <c r="JW15" s="272"/>
      <c r="JX15" s="272"/>
      <c r="JY15" s="272"/>
      <c r="JZ15" s="272"/>
      <c r="KA15" s="272"/>
      <c r="KB15" s="272"/>
      <c r="KC15" s="272"/>
      <c r="KD15" s="272"/>
      <c r="KE15" s="272"/>
      <c r="KF15" s="272"/>
      <c r="KG15" s="272"/>
      <c r="KH15" s="272"/>
      <c r="KI15" s="272"/>
      <c r="KJ15" s="272"/>
      <c r="KK15" s="272"/>
      <c r="KL15" s="272"/>
      <c r="KM15" s="272"/>
      <c r="KN15" s="272"/>
      <c r="KO15" s="272"/>
      <c r="KP15" s="272"/>
      <c r="KQ15" s="272"/>
      <c r="KR15" s="272"/>
      <c r="KS15" s="272"/>
      <c r="KT15" s="272"/>
      <c r="KU15" s="272"/>
      <c r="KV15" s="272"/>
      <c r="KW15" s="272"/>
      <c r="KX15" s="272"/>
      <c r="KY15" s="272"/>
      <c r="KZ15" s="272"/>
      <c r="LA15" s="272"/>
      <c r="LB15" s="272"/>
      <c r="LC15" s="272"/>
      <c r="LD15" s="272"/>
      <c r="LE15" s="272"/>
      <c r="LF15" s="272"/>
      <c r="LG15" s="272"/>
      <c r="LH15" s="272"/>
      <c r="LI15" s="272"/>
      <c r="LJ15" s="272"/>
      <c r="LK15" s="272"/>
      <c r="LL15" s="272"/>
      <c r="LM15" s="272"/>
      <c r="LN15" s="272"/>
      <c r="LO15" s="272"/>
      <c r="LP15" s="272"/>
      <c r="LQ15" s="272"/>
      <c r="LR15" s="272"/>
      <c r="LS15" s="272"/>
      <c r="LT15" s="272"/>
      <c r="LU15" s="272"/>
      <c r="LV15" s="272"/>
      <c r="LW15" s="272"/>
      <c r="LX15" s="272"/>
      <c r="LY15" s="272"/>
      <c r="LZ15" s="272"/>
      <c r="MA15" s="272"/>
      <c r="MB15" s="272"/>
      <c r="MC15" s="272"/>
      <c r="MD15" s="272"/>
      <c r="ME15" s="272"/>
      <c r="MF15" s="272"/>
      <c r="MG15" s="272"/>
      <c r="MH15" s="272"/>
      <c r="MI15" s="272"/>
      <c r="MJ15" s="272"/>
      <c r="MK15" s="272"/>
      <c r="ML15" s="272"/>
      <c r="MM15" s="272"/>
      <c r="MN15" s="272"/>
      <c r="MO15" s="272"/>
      <c r="MP15" s="272"/>
      <c r="MQ15" s="272"/>
      <c r="MR15" s="272"/>
      <c r="MS15" s="272"/>
      <c r="MT15" s="272"/>
      <c r="MU15" s="272"/>
      <c r="MV15" s="272"/>
      <c r="MW15" s="272"/>
      <c r="MX15" s="272"/>
      <c r="MY15" s="272"/>
      <c r="MZ15" s="272"/>
      <c r="NA15" s="272"/>
      <c r="NB15" s="272"/>
      <c r="NC15" s="272"/>
      <c r="ND15" s="272"/>
      <c r="NE15" s="272"/>
      <c r="NF15" s="272"/>
      <c r="NG15" s="272"/>
      <c r="NH15" s="272"/>
      <c r="NI15" s="272"/>
      <c r="NJ15" s="272"/>
      <c r="NK15" s="272"/>
      <c r="NL15" s="272"/>
      <c r="NM15" s="272"/>
      <c r="NN15" s="272"/>
      <c r="NO15" s="272"/>
      <c r="NP15" s="272"/>
      <c r="NQ15" s="272"/>
      <c r="NR15" s="272"/>
      <c r="NS15" s="272"/>
      <c r="NT15" s="272"/>
      <c r="NU15" s="272"/>
      <c r="NV15" s="272"/>
      <c r="NW15" s="272"/>
      <c r="NX15" s="272"/>
      <c r="NY15" s="272"/>
      <c r="NZ15" s="272"/>
      <c r="OA15" s="272"/>
      <c r="OB15" s="272"/>
      <c r="OC15" s="272"/>
      <c r="OD15" s="272"/>
      <c r="OE15" s="272"/>
      <c r="OF15" s="272"/>
      <c r="OG15" s="272"/>
      <c r="OH15" s="272"/>
      <c r="OI15" s="272"/>
      <c r="OJ15" s="272"/>
      <c r="OK15" s="272"/>
      <c r="OL15" s="272"/>
      <c r="OM15" s="272"/>
      <c r="ON15" s="272"/>
      <c r="OO15" s="272"/>
      <c r="OP15" s="272"/>
      <c r="OQ15" s="272"/>
      <c r="OR15" s="272"/>
      <c r="OS15" s="272"/>
      <c r="OT15" s="272"/>
      <c r="OU15" s="272"/>
      <c r="OV15" s="272"/>
      <c r="OW15" s="272"/>
      <c r="OX15" s="272"/>
      <c r="OY15" s="272"/>
      <c r="OZ15" s="272"/>
      <c r="PA15" s="272"/>
      <c r="PB15" s="272"/>
      <c r="PC15" s="272"/>
      <c r="PD15" s="272"/>
      <c r="PE15" s="272"/>
      <c r="PF15" s="272"/>
      <c r="PG15" s="272"/>
      <c r="PH15" s="272"/>
      <c r="PI15" s="272"/>
      <c r="PJ15" s="272"/>
      <c r="PK15" s="272"/>
      <c r="PL15" s="272"/>
      <c r="PM15" s="272"/>
      <c r="PN15" s="272"/>
      <c r="PO15" s="272"/>
      <c r="PP15" s="272"/>
      <c r="PQ15" s="272"/>
      <c r="PR15" s="272"/>
      <c r="PS15" s="272"/>
      <c r="PT15" s="272"/>
      <c r="PU15" s="272"/>
      <c r="PV15" s="272"/>
      <c r="PW15" s="272"/>
      <c r="PX15" s="272"/>
      <c r="PY15" s="272"/>
      <c r="PZ15" s="272"/>
      <c r="QA15" s="272"/>
      <c r="QB15" s="272"/>
      <c r="QC15" s="272"/>
      <c r="QD15" s="272"/>
      <c r="QE15" s="272"/>
      <c r="QF15" s="272"/>
      <c r="QG15" s="272"/>
      <c r="QH15" s="272"/>
      <c r="QI15" s="272"/>
      <c r="QJ15" s="272"/>
      <c r="QK15" s="272"/>
      <c r="QL15" s="272"/>
      <c r="QM15" s="272"/>
      <c r="QN15" s="272"/>
      <c r="QO15" s="272"/>
      <c r="QP15" s="272"/>
      <c r="QQ15" s="272"/>
      <c r="QR15" s="272"/>
      <c r="QS15" s="272"/>
      <c r="QT15" s="272"/>
      <c r="QU15" s="272"/>
      <c r="QV15" s="272"/>
      <c r="QW15" s="272"/>
      <c r="QX15" s="272"/>
      <c r="QY15" s="272"/>
      <c r="QZ15" s="272"/>
      <c r="RA15" s="272"/>
      <c r="RB15" s="272"/>
      <c r="RC15" s="272"/>
      <c r="RD15" s="272"/>
      <c r="RE15" s="272"/>
      <c r="RF15" s="272"/>
      <c r="RG15" s="272"/>
      <c r="RH15" s="272"/>
      <c r="RI15" s="272"/>
      <c r="RJ15" s="272"/>
      <c r="RK15" s="272"/>
      <c r="RL15" s="272"/>
      <c r="RM15" s="272"/>
      <c r="RN15" s="272"/>
      <c r="RO15" s="272"/>
      <c r="RP15" s="272"/>
      <c r="RQ15" s="272"/>
      <c r="RR15" s="272"/>
      <c r="RS15" s="272"/>
      <c r="RT15" s="272"/>
      <c r="RU15" s="272"/>
      <c r="RV15" s="272"/>
      <c r="RW15" s="272"/>
      <c r="RX15" s="272"/>
      <c r="RY15" s="272"/>
      <c r="RZ15" s="272"/>
      <c r="SA15" s="272"/>
      <c r="SB15" s="272"/>
      <c r="SC15" s="272"/>
      <c r="SD15" s="272"/>
      <c r="SE15" s="272"/>
      <c r="SF15" s="272"/>
      <c r="SG15" s="272"/>
      <c r="SH15" s="272"/>
      <c r="SI15" s="272"/>
      <c r="SJ15" s="272"/>
      <c r="SK15" s="272"/>
      <c r="SL15" s="272"/>
      <c r="SM15" s="272"/>
      <c r="SN15" s="272"/>
      <c r="SO15" s="272"/>
      <c r="SP15" s="272"/>
      <c r="SQ15" s="272"/>
      <c r="SR15" s="272"/>
      <c r="SS15" s="272"/>
      <c r="ST15" s="272"/>
      <c r="SU15" s="272"/>
      <c r="SV15" s="272"/>
      <c r="SW15" s="272"/>
      <c r="SX15" s="272"/>
      <c r="SY15" s="272"/>
      <c r="SZ15" s="272"/>
      <c r="TA15" s="272"/>
      <c r="TB15" s="272"/>
      <c r="TC15" s="272"/>
      <c r="TD15" s="272"/>
      <c r="TE15" s="272"/>
      <c r="TF15" s="272"/>
      <c r="TG15" s="272"/>
      <c r="TH15" s="272"/>
      <c r="TI15" s="272"/>
      <c r="TJ15" s="272"/>
      <c r="TK15" s="272"/>
      <c r="TL15" s="272"/>
      <c r="TM15" s="272"/>
      <c r="TN15" s="272"/>
      <c r="TO15" s="272"/>
      <c r="TP15" s="272"/>
      <c r="TQ15" s="272"/>
      <c r="TR15" s="272"/>
      <c r="TS15" s="272"/>
      <c r="TT15" s="272"/>
      <c r="TU15" s="272"/>
      <c r="TV15" s="272"/>
      <c r="TW15" s="272"/>
      <c r="TX15" s="272"/>
      <c r="TY15" s="272"/>
      <c r="TZ15" s="272"/>
      <c r="UA15" s="272"/>
      <c r="UB15" s="272"/>
      <c r="UC15" s="272"/>
      <c r="UD15" s="272"/>
      <c r="UE15" s="272"/>
      <c r="UF15" s="272"/>
      <c r="UG15" s="272"/>
      <c r="UH15" s="272"/>
      <c r="UI15" s="272"/>
      <c r="UJ15" s="272"/>
      <c r="UK15" s="272"/>
      <c r="UL15" s="272"/>
      <c r="UM15" s="272"/>
      <c r="UN15" s="272"/>
      <c r="UO15" s="272"/>
      <c r="UP15" s="272"/>
      <c r="UQ15" s="272"/>
      <c r="UR15" s="272"/>
      <c r="US15" s="272"/>
      <c r="UT15" s="272"/>
      <c r="UU15" s="272"/>
      <c r="UV15" s="272"/>
      <c r="UW15" s="272"/>
      <c r="UX15" s="272"/>
      <c r="UY15" s="272"/>
      <c r="UZ15" s="272"/>
      <c r="VA15" s="272"/>
      <c r="VB15" s="272"/>
      <c r="VC15" s="272"/>
      <c r="VD15" s="272"/>
      <c r="VE15" s="272"/>
      <c r="VF15" s="272"/>
      <c r="VG15" s="272"/>
      <c r="VH15" s="272"/>
      <c r="VI15" s="272"/>
      <c r="VJ15" s="272"/>
      <c r="VK15" s="272"/>
      <c r="VL15" s="272"/>
      <c r="VM15" s="272"/>
      <c r="VN15" s="272"/>
      <c r="VO15" s="272"/>
      <c r="VP15" s="272"/>
      <c r="VQ15" s="272"/>
      <c r="VR15" s="272"/>
      <c r="VS15" s="272"/>
      <c r="VT15" s="272"/>
      <c r="VU15" s="272"/>
      <c r="VV15" s="272"/>
      <c r="VW15" s="272"/>
      <c r="VX15" s="272"/>
      <c r="VY15" s="272"/>
      <c r="VZ15" s="272"/>
      <c r="WA15" s="272"/>
      <c r="WB15" s="272"/>
      <c r="WC15" s="272"/>
      <c r="WD15" s="272"/>
      <c r="WE15" s="272"/>
      <c r="WF15" s="272"/>
      <c r="WG15" s="272"/>
      <c r="WH15" s="272"/>
      <c r="WI15" s="272"/>
      <c r="WJ15" s="272"/>
      <c r="WK15" s="272"/>
      <c r="WL15" s="272"/>
      <c r="WM15" s="272"/>
      <c r="WN15" s="272"/>
      <c r="WO15" s="272"/>
      <c r="WP15" s="272"/>
      <c r="WQ15" s="272"/>
      <c r="WR15" s="272"/>
      <c r="WS15" s="272"/>
      <c r="WT15" s="272"/>
      <c r="WU15" s="272"/>
      <c r="WV15" s="272"/>
      <c r="WW15" s="272"/>
      <c r="WX15" s="272"/>
      <c r="WY15" s="272"/>
      <c r="WZ15" s="272"/>
      <c r="XA15" s="272"/>
      <c r="XB15" s="272"/>
      <c r="XC15" s="272"/>
      <c r="XD15" s="272"/>
      <c r="XE15" s="272"/>
      <c r="XF15" s="272"/>
      <c r="XG15" s="272"/>
      <c r="XH15" s="272"/>
      <c r="XI15" s="272"/>
      <c r="XJ15" s="272"/>
      <c r="XK15" s="272"/>
      <c r="XL15" s="272"/>
      <c r="XM15" s="272"/>
      <c r="XN15" s="272"/>
      <c r="XO15" s="272"/>
      <c r="XP15" s="272"/>
      <c r="XQ15" s="272"/>
      <c r="XR15" s="272"/>
      <c r="XS15" s="272"/>
      <c r="XT15" s="272"/>
      <c r="XU15" s="272"/>
      <c r="XV15" s="272"/>
      <c r="XW15" s="272"/>
      <c r="XX15" s="272"/>
      <c r="XY15" s="272"/>
      <c r="XZ15" s="272"/>
      <c r="YA15" s="272"/>
      <c r="YB15" s="272"/>
      <c r="YC15" s="272"/>
      <c r="YD15" s="272"/>
      <c r="YE15" s="272"/>
      <c r="YF15" s="272"/>
      <c r="YG15" s="272"/>
      <c r="YH15" s="272"/>
      <c r="YI15" s="272"/>
      <c r="YJ15" s="272"/>
      <c r="YK15" s="272"/>
      <c r="YL15" s="272"/>
      <c r="YM15" s="272"/>
      <c r="YN15" s="272"/>
      <c r="YO15" s="272"/>
      <c r="YP15" s="272"/>
      <c r="YQ15" s="272"/>
      <c r="YR15" s="272"/>
      <c r="YS15" s="272"/>
      <c r="YT15" s="272"/>
      <c r="YU15" s="272"/>
      <c r="YV15" s="272"/>
      <c r="YW15" s="272"/>
      <c r="YX15" s="272"/>
      <c r="YY15" s="272"/>
      <c r="YZ15" s="272"/>
      <c r="ZA15" s="272"/>
      <c r="ZB15" s="272"/>
      <c r="ZC15" s="272"/>
      <c r="ZD15" s="272"/>
      <c r="ZE15" s="272"/>
      <c r="ZF15" s="272"/>
      <c r="ZG15" s="272"/>
      <c r="ZH15" s="272"/>
      <c r="ZI15" s="272"/>
      <c r="ZJ15" s="272"/>
      <c r="ZK15" s="272"/>
      <c r="ZL15" s="272"/>
      <c r="ZM15" s="272"/>
      <c r="ZN15" s="272"/>
      <c r="ZO15" s="272"/>
      <c r="ZP15" s="272"/>
      <c r="ZQ15" s="272"/>
      <c r="ZR15" s="272"/>
      <c r="ZS15" s="272"/>
      <c r="ZT15" s="272"/>
      <c r="ZU15" s="272"/>
      <c r="ZV15" s="272"/>
      <c r="ZW15" s="272"/>
      <c r="ZX15" s="272"/>
      <c r="ZY15" s="272"/>
      <c r="ZZ15" s="272"/>
      <c r="AAA15" s="272"/>
      <c r="AAB15" s="272"/>
      <c r="AAC15" s="272"/>
      <c r="AAD15" s="272"/>
      <c r="AAE15" s="272"/>
      <c r="AAF15" s="272"/>
      <c r="AAG15" s="272"/>
      <c r="AAH15" s="272"/>
      <c r="AAI15" s="272"/>
      <c r="AAJ15" s="272"/>
      <c r="AAK15" s="272"/>
      <c r="AAL15" s="272"/>
      <c r="AAM15" s="272"/>
      <c r="AAN15" s="272"/>
      <c r="AAO15" s="272"/>
      <c r="AAP15" s="272"/>
      <c r="AAQ15" s="272"/>
      <c r="AAR15" s="272"/>
      <c r="AAS15" s="272"/>
      <c r="AAT15" s="272"/>
      <c r="AAU15" s="272"/>
      <c r="AAV15" s="272"/>
      <c r="AAW15" s="272"/>
      <c r="AAX15" s="272"/>
      <c r="AAY15" s="272"/>
      <c r="AAZ15" s="272"/>
      <c r="ABA15" s="272"/>
      <c r="ABB15" s="272"/>
      <c r="ABC15" s="272"/>
      <c r="ABD15" s="272"/>
      <c r="ABE15" s="272"/>
      <c r="ABF15" s="272"/>
      <c r="ABG15" s="272"/>
    </row>
    <row r="16" spans="1:735" s="19" customFormat="1" ht="15">
      <c r="A16" s="44"/>
      <c r="B16" s="44"/>
      <c r="C16" s="24" t="s">
        <v>53</v>
      </c>
      <c r="D16" s="508"/>
      <c r="E16" s="508"/>
      <c r="F16" s="506"/>
      <c r="G16" s="507"/>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c r="IO16" s="272"/>
      <c r="IP16" s="272"/>
      <c r="IQ16" s="272"/>
      <c r="IR16" s="272"/>
      <c r="IS16" s="272"/>
      <c r="IT16" s="272"/>
      <c r="IU16" s="272"/>
      <c r="IV16" s="272"/>
      <c r="IW16" s="272"/>
      <c r="IX16" s="272"/>
      <c r="IY16" s="272"/>
      <c r="IZ16" s="272"/>
      <c r="JA16" s="272"/>
      <c r="JB16" s="272"/>
      <c r="JC16" s="272"/>
      <c r="JD16" s="272"/>
      <c r="JE16" s="272"/>
      <c r="JF16" s="272"/>
      <c r="JG16" s="272"/>
      <c r="JH16" s="272"/>
      <c r="JI16" s="272"/>
      <c r="JJ16" s="272"/>
      <c r="JK16" s="272"/>
      <c r="JL16" s="272"/>
      <c r="JM16" s="272"/>
      <c r="JN16" s="272"/>
      <c r="JO16" s="272"/>
      <c r="JP16" s="272"/>
      <c r="JQ16" s="272"/>
      <c r="JR16" s="272"/>
      <c r="JS16" s="272"/>
      <c r="JT16" s="272"/>
      <c r="JU16" s="272"/>
      <c r="JV16" s="272"/>
      <c r="JW16" s="272"/>
      <c r="JX16" s="272"/>
      <c r="JY16" s="272"/>
      <c r="JZ16" s="272"/>
      <c r="KA16" s="272"/>
      <c r="KB16" s="272"/>
      <c r="KC16" s="272"/>
      <c r="KD16" s="272"/>
      <c r="KE16" s="272"/>
      <c r="KF16" s="272"/>
      <c r="KG16" s="272"/>
      <c r="KH16" s="272"/>
      <c r="KI16" s="272"/>
      <c r="KJ16" s="272"/>
      <c r="KK16" s="272"/>
      <c r="KL16" s="272"/>
      <c r="KM16" s="272"/>
      <c r="KN16" s="272"/>
      <c r="KO16" s="272"/>
      <c r="KP16" s="272"/>
      <c r="KQ16" s="272"/>
      <c r="KR16" s="272"/>
      <c r="KS16" s="272"/>
      <c r="KT16" s="272"/>
      <c r="KU16" s="272"/>
      <c r="KV16" s="272"/>
      <c r="KW16" s="272"/>
      <c r="KX16" s="272"/>
      <c r="KY16" s="272"/>
      <c r="KZ16" s="272"/>
      <c r="LA16" s="272"/>
      <c r="LB16" s="272"/>
      <c r="LC16" s="272"/>
      <c r="LD16" s="272"/>
      <c r="LE16" s="272"/>
      <c r="LF16" s="272"/>
      <c r="LG16" s="272"/>
      <c r="LH16" s="272"/>
      <c r="LI16" s="272"/>
      <c r="LJ16" s="272"/>
      <c r="LK16" s="272"/>
      <c r="LL16" s="272"/>
      <c r="LM16" s="272"/>
      <c r="LN16" s="272"/>
      <c r="LO16" s="272"/>
      <c r="LP16" s="272"/>
      <c r="LQ16" s="272"/>
      <c r="LR16" s="272"/>
      <c r="LS16" s="272"/>
      <c r="LT16" s="272"/>
      <c r="LU16" s="272"/>
      <c r="LV16" s="272"/>
      <c r="LW16" s="272"/>
      <c r="LX16" s="272"/>
      <c r="LY16" s="272"/>
      <c r="LZ16" s="272"/>
      <c r="MA16" s="272"/>
      <c r="MB16" s="272"/>
      <c r="MC16" s="272"/>
      <c r="MD16" s="272"/>
      <c r="ME16" s="272"/>
      <c r="MF16" s="272"/>
      <c r="MG16" s="272"/>
      <c r="MH16" s="272"/>
      <c r="MI16" s="272"/>
      <c r="MJ16" s="272"/>
      <c r="MK16" s="272"/>
      <c r="ML16" s="272"/>
      <c r="MM16" s="272"/>
      <c r="MN16" s="272"/>
      <c r="MO16" s="272"/>
      <c r="MP16" s="272"/>
      <c r="MQ16" s="272"/>
      <c r="MR16" s="272"/>
      <c r="MS16" s="272"/>
      <c r="MT16" s="272"/>
      <c r="MU16" s="272"/>
      <c r="MV16" s="272"/>
      <c r="MW16" s="272"/>
      <c r="MX16" s="272"/>
      <c r="MY16" s="272"/>
      <c r="MZ16" s="272"/>
      <c r="NA16" s="272"/>
      <c r="NB16" s="272"/>
      <c r="NC16" s="272"/>
      <c r="ND16" s="272"/>
      <c r="NE16" s="272"/>
      <c r="NF16" s="272"/>
      <c r="NG16" s="272"/>
      <c r="NH16" s="272"/>
      <c r="NI16" s="272"/>
      <c r="NJ16" s="272"/>
      <c r="NK16" s="272"/>
      <c r="NL16" s="272"/>
      <c r="NM16" s="272"/>
      <c r="NN16" s="272"/>
      <c r="NO16" s="272"/>
      <c r="NP16" s="272"/>
      <c r="NQ16" s="272"/>
      <c r="NR16" s="272"/>
      <c r="NS16" s="272"/>
      <c r="NT16" s="272"/>
      <c r="NU16" s="272"/>
      <c r="NV16" s="272"/>
      <c r="NW16" s="272"/>
      <c r="NX16" s="272"/>
      <c r="NY16" s="272"/>
      <c r="NZ16" s="272"/>
      <c r="OA16" s="272"/>
      <c r="OB16" s="272"/>
      <c r="OC16" s="272"/>
      <c r="OD16" s="272"/>
      <c r="OE16" s="272"/>
      <c r="OF16" s="272"/>
      <c r="OG16" s="272"/>
      <c r="OH16" s="272"/>
      <c r="OI16" s="272"/>
      <c r="OJ16" s="272"/>
      <c r="OK16" s="272"/>
      <c r="OL16" s="272"/>
      <c r="OM16" s="272"/>
      <c r="ON16" s="272"/>
      <c r="OO16" s="272"/>
      <c r="OP16" s="272"/>
      <c r="OQ16" s="272"/>
      <c r="OR16" s="272"/>
      <c r="OS16" s="272"/>
      <c r="OT16" s="272"/>
      <c r="OU16" s="272"/>
      <c r="OV16" s="272"/>
      <c r="OW16" s="272"/>
      <c r="OX16" s="272"/>
      <c r="OY16" s="272"/>
      <c r="OZ16" s="272"/>
      <c r="PA16" s="272"/>
      <c r="PB16" s="272"/>
      <c r="PC16" s="272"/>
      <c r="PD16" s="272"/>
      <c r="PE16" s="272"/>
      <c r="PF16" s="272"/>
      <c r="PG16" s="272"/>
      <c r="PH16" s="272"/>
      <c r="PI16" s="272"/>
      <c r="PJ16" s="272"/>
      <c r="PK16" s="272"/>
      <c r="PL16" s="272"/>
      <c r="PM16" s="272"/>
      <c r="PN16" s="272"/>
      <c r="PO16" s="272"/>
      <c r="PP16" s="272"/>
      <c r="PQ16" s="272"/>
      <c r="PR16" s="272"/>
      <c r="PS16" s="272"/>
      <c r="PT16" s="272"/>
      <c r="PU16" s="272"/>
      <c r="PV16" s="272"/>
      <c r="PW16" s="272"/>
      <c r="PX16" s="272"/>
      <c r="PY16" s="272"/>
      <c r="PZ16" s="272"/>
      <c r="QA16" s="272"/>
      <c r="QB16" s="272"/>
      <c r="QC16" s="272"/>
      <c r="QD16" s="272"/>
      <c r="QE16" s="272"/>
      <c r="QF16" s="272"/>
      <c r="QG16" s="272"/>
      <c r="QH16" s="272"/>
      <c r="QI16" s="272"/>
      <c r="QJ16" s="272"/>
      <c r="QK16" s="272"/>
      <c r="QL16" s="272"/>
      <c r="QM16" s="272"/>
      <c r="QN16" s="272"/>
      <c r="QO16" s="272"/>
      <c r="QP16" s="272"/>
      <c r="QQ16" s="272"/>
      <c r="QR16" s="272"/>
      <c r="QS16" s="272"/>
      <c r="QT16" s="272"/>
      <c r="QU16" s="272"/>
      <c r="QV16" s="272"/>
      <c r="QW16" s="272"/>
      <c r="QX16" s="272"/>
      <c r="QY16" s="272"/>
      <c r="QZ16" s="272"/>
      <c r="RA16" s="272"/>
      <c r="RB16" s="272"/>
      <c r="RC16" s="272"/>
      <c r="RD16" s="272"/>
      <c r="RE16" s="272"/>
      <c r="RF16" s="272"/>
      <c r="RG16" s="272"/>
      <c r="RH16" s="272"/>
      <c r="RI16" s="272"/>
      <c r="RJ16" s="272"/>
      <c r="RK16" s="272"/>
      <c r="RL16" s="272"/>
      <c r="RM16" s="272"/>
      <c r="RN16" s="272"/>
      <c r="RO16" s="272"/>
      <c r="RP16" s="272"/>
      <c r="RQ16" s="272"/>
      <c r="RR16" s="272"/>
      <c r="RS16" s="272"/>
      <c r="RT16" s="272"/>
      <c r="RU16" s="272"/>
      <c r="RV16" s="272"/>
      <c r="RW16" s="272"/>
      <c r="RX16" s="272"/>
      <c r="RY16" s="272"/>
      <c r="RZ16" s="272"/>
      <c r="SA16" s="272"/>
      <c r="SB16" s="272"/>
      <c r="SC16" s="272"/>
      <c r="SD16" s="272"/>
      <c r="SE16" s="272"/>
      <c r="SF16" s="272"/>
      <c r="SG16" s="272"/>
      <c r="SH16" s="272"/>
      <c r="SI16" s="272"/>
      <c r="SJ16" s="272"/>
      <c r="SK16" s="272"/>
      <c r="SL16" s="272"/>
      <c r="SM16" s="272"/>
      <c r="SN16" s="272"/>
      <c r="SO16" s="272"/>
      <c r="SP16" s="272"/>
      <c r="SQ16" s="272"/>
      <c r="SR16" s="272"/>
      <c r="SS16" s="272"/>
      <c r="ST16" s="272"/>
      <c r="SU16" s="272"/>
      <c r="SV16" s="272"/>
      <c r="SW16" s="272"/>
      <c r="SX16" s="272"/>
      <c r="SY16" s="272"/>
      <c r="SZ16" s="272"/>
      <c r="TA16" s="272"/>
      <c r="TB16" s="272"/>
      <c r="TC16" s="272"/>
      <c r="TD16" s="272"/>
      <c r="TE16" s="272"/>
      <c r="TF16" s="272"/>
      <c r="TG16" s="272"/>
      <c r="TH16" s="272"/>
      <c r="TI16" s="272"/>
      <c r="TJ16" s="272"/>
      <c r="TK16" s="272"/>
      <c r="TL16" s="272"/>
      <c r="TM16" s="272"/>
      <c r="TN16" s="272"/>
      <c r="TO16" s="272"/>
      <c r="TP16" s="272"/>
      <c r="TQ16" s="272"/>
      <c r="TR16" s="272"/>
      <c r="TS16" s="272"/>
      <c r="TT16" s="272"/>
      <c r="TU16" s="272"/>
      <c r="TV16" s="272"/>
      <c r="TW16" s="272"/>
      <c r="TX16" s="272"/>
      <c r="TY16" s="272"/>
      <c r="TZ16" s="272"/>
      <c r="UA16" s="272"/>
      <c r="UB16" s="272"/>
      <c r="UC16" s="272"/>
      <c r="UD16" s="272"/>
      <c r="UE16" s="272"/>
      <c r="UF16" s="272"/>
      <c r="UG16" s="272"/>
      <c r="UH16" s="272"/>
      <c r="UI16" s="272"/>
      <c r="UJ16" s="272"/>
      <c r="UK16" s="272"/>
      <c r="UL16" s="272"/>
      <c r="UM16" s="272"/>
      <c r="UN16" s="272"/>
      <c r="UO16" s="272"/>
      <c r="UP16" s="272"/>
      <c r="UQ16" s="272"/>
      <c r="UR16" s="272"/>
      <c r="US16" s="272"/>
      <c r="UT16" s="272"/>
      <c r="UU16" s="272"/>
      <c r="UV16" s="272"/>
      <c r="UW16" s="272"/>
      <c r="UX16" s="272"/>
      <c r="UY16" s="272"/>
      <c r="UZ16" s="272"/>
      <c r="VA16" s="272"/>
      <c r="VB16" s="272"/>
      <c r="VC16" s="272"/>
      <c r="VD16" s="272"/>
      <c r="VE16" s="272"/>
      <c r="VF16" s="272"/>
      <c r="VG16" s="272"/>
      <c r="VH16" s="272"/>
      <c r="VI16" s="272"/>
      <c r="VJ16" s="272"/>
      <c r="VK16" s="272"/>
      <c r="VL16" s="272"/>
      <c r="VM16" s="272"/>
      <c r="VN16" s="272"/>
      <c r="VO16" s="272"/>
      <c r="VP16" s="272"/>
      <c r="VQ16" s="272"/>
      <c r="VR16" s="272"/>
      <c r="VS16" s="272"/>
      <c r="VT16" s="272"/>
      <c r="VU16" s="272"/>
      <c r="VV16" s="272"/>
      <c r="VW16" s="272"/>
      <c r="VX16" s="272"/>
      <c r="VY16" s="272"/>
      <c r="VZ16" s="272"/>
      <c r="WA16" s="272"/>
      <c r="WB16" s="272"/>
      <c r="WC16" s="272"/>
      <c r="WD16" s="272"/>
      <c r="WE16" s="272"/>
      <c r="WF16" s="272"/>
      <c r="WG16" s="272"/>
      <c r="WH16" s="272"/>
      <c r="WI16" s="272"/>
      <c r="WJ16" s="272"/>
      <c r="WK16" s="272"/>
      <c r="WL16" s="272"/>
      <c r="WM16" s="272"/>
      <c r="WN16" s="272"/>
      <c r="WO16" s="272"/>
      <c r="WP16" s="272"/>
      <c r="WQ16" s="272"/>
      <c r="WR16" s="272"/>
      <c r="WS16" s="272"/>
      <c r="WT16" s="272"/>
      <c r="WU16" s="272"/>
      <c r="WV16" s="272"/>
      <c r="WW16" s="272"/>
      <c r="WX16" s="272"/>
      <c r="WY16" s="272"/>
      <c r="WZ16" s="272"/>
      <c r="XA16" s="272"/>
      <c r="XB16" s="272"/>
      <c r="XC16" s="272"/>
      <c r="XD16" s="272"/>
      <c r="XE16" s="272"/>
      <c r="XF16" s="272"/>
      <c r="XG16" s="272"/>
      <c r="XH16" s="272"/>
      <c r="XI16" s="272"/>
      <c r="XJ16" s="272"/>
      <c r="XK16" s="272"/>
      <c r="XL16" s="272"/>
      <c r="XM16" s="272"/>
      <c r="XN16" s="272"/>
      <c r="XO16" s="272"/>
      <c r="XP16" s="272"/>
      <c r="XQ16" s="272"/>
      <c r="XR16" s="272"/>
      <c r="XS16" s="272"/>
      <c r="XT16" s="272"/>
      <c r="XU16" s="272"/>
      <c r="XV16" s="272"/>
      <c r="XW16" s="272"/>
      <c r="XX16" s="272"/>
      <c r="XY16" s="272"/>
      <c r="XZ16" s="272"/>
      <c r="YA16" s="272"/>
      <c r="YB16" s="272"/>
      <c r="YC16" s="272"/>
      <c r="YD16" s="272"/>
      <c r="YE16" s="272"/>
      <c r="YF16" s="272"/>
      <c r="YG16" s="272"/>
      <c r="YH16" s="272"/>
      <c r="YI16" s="272"/>
      <c r="YJ16" s="272"/>
      <c r="YK16" s="272"/>
      <c r="YL16" s="272"/>
      <c r="YM16" s="272"/>
      <c r="YN16" s="272"/>
      <c r="YO16" s="272"/>
      <c r="YP16" s="272"/>
      <c r="YQ16" s="272"/>
      <c r="YR16" s="272"/>
      <c r="YS16" s="272"/>
      <c r="YT16" s="272"/>
      <c r="YU16" s="272"/>
      <c r="YV16" s="272"/>
      <c r="YW16" s="272"/>
      <c r="YX16" s="272"/>
      <c r="YY16" s="272"/>
      <c r="YZ16" s="272"/>
      <c r="ZA16" s="272"/>
      <c r="ZB16" s="272"/>
      <c r="ZC16" s="272"/>
      <c r="ZD16" s="272"/>
      <c r="ZE16" s="272"/>
      <c r="ZF16" s="272"/>
      <c r="ZG16" s="272"/>
      <c r="ZH16" s="272"/>
      <c r="ZI16" s="272"/>
      <c r="ZJ16" s="272"/>
      <c r="ZK16" s="272"/>
      <c r="ZL16" s="272"/>
      <c r="ZM16" s="272"/>
      <c r="ZN16" s="272"/>
      <c r="ZO16" s="272"/>
      <c r="ZP16" s="272"/>
      <c r="ZQ16" s="272"/>
      <c r="ZR16" s="272"/>
      <c r="ZS16" s="272"/>
      <c r="ZT16" s="272"/>
      <c r="ZU16" s="272"/>
      <c r="ZV16" s="272"/>
      <c r="ZW16" s="272"/>
      <c r="ZX16" s="272"/>
      <c r="ZY16" s="272"/>
      <c r="ZZ16" s="272"/>
      <c r="AAA16" s="272"/>
      <c r="AAB16" s="272"/>
      <c r="AAC16" s="272"/>
      <c r="AAD16" s="272"/>
      <c r="AAE16" s="272"/>
      <c r="AAF16" s="272"/>
      <c r="AAG16" s="272"/>
      <c r="AAH16" s="272"/>
      <c r="AAI16" s="272"/>
      <c r="AAJ16" s="272"/>
      <c r="AAK16" s="272"/>
      <c r="AAL16" s="272"/>
      <c r="AAM16" s="272"/>
      <c r="AAN16" s="272"/>
      <c r="AAO16" s="272"/>
      <c r="AAP16" s="272"/>
      <c r="AAQ16" s="272"/>
      <c r="AAR16" s="272"/>
      <c r="AAS16" s="272"/>
      <c r="AAT16" s="272"/>
      <c r="AAU16" s="272"/>
      <c r="AAV16" s="272"/>
      <c r="AAW16" s="272"/>
      <c r="AAX16" s="272"/>
      <c r="AAY16" s="272"/>
      <c r="AAZ16" s="272"/>
      <c r="ABA16" s="272"/>
      <c r="ABB16" s="272"/>
      <c r="ABC16" s="272"/>
      <c r="ABD16" s="272"/>
      <c r="ABE16" s="272"/>
      <c r="ABF16" s="272"/>
      <c r="ABG16" s="272"/>
    </row>
    <row r="17" spans="1:735" s="19" customFormat="1" ht="27.75" customHeight="1">
      <c r="A17" s="44"/>
      <c r="B17" s="72"/>
      <c r="C17" s="24" t="s">
        <v>54</v>
      </c>
      <c r="D17" s="505"/>
      <c r="E17" s="505"/>
      <c r="F17" s="506"/>
      <c r="G17" s="507"/>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c r="IW17" s="272"/>
      <c r="IX17" s="272"/>
      <c r="IY17" s="272"/>
      <c r="IZ17" s="272"/>
      <c r="JA17" s="272"/>
      <c r="JB17" s="272"/>
      <c r="JC17" s="272"/>
      <c r="JD17" s="272"/>
      <c r="JE17" s="272"/>
      <c r="JF17" s="272"/>
      <c r="JG17" s="272"/>
      <c r="JH17" s="272"/>
      <c r="JI17" s="272"/>
      <c r="JJ17" s="272"/>
      <c r="JK17" s="272"/>
      <c r="JL17" s="272"/>
      <c r="JM17" s="272"/>
      <c r="JN17" s="272"/>
      <c r="JO17" s="272"/>
      <c r="JP17" s="272"/>
      <c r="JQ17" s="272"/>
      <c r="JR17" s="272"/>
      <c r="JS17" s="272"/>
      <c r="JT17" s="272"/>
      <c r="JU17" s="272"/>
      <c r="JV17" s="272"/>
      <c r="JW17" s="272"/>
      <c r="JX17" s="272"/>
      <c r="JY17" s="272"/>
      <c r="JZ17" s="272"/>
      <c r="KA17" s="272"/>
      <c r="KB17" s="272"/>
      <c r="KC17" s="272"/>
      <c r="KD17" s="272"/>
      <c r="KE17" s="272"/>
      <c r="KF17" s="272"/>
      <c r="KG17" s="272"/>
      <c r="KH17" s="272"/>
      <c r="KI17" s="272"/>
      <c r="KJ17" s="272"/>
      <c r="KK17" s="272"/>
      <c r="KL17" s="272"/>
      <c r="KM17" s="272"/>
      <c r="KN17" s="272"/>
      <c r="KO17" s="272"/>
      <c r="KP17" s="272"/>
      <c r="KQ17" s="272"/>
      <c r="KR17" s="272"/>
      <c r="KS17" s="272"/>
      <c r="KT17" s="272"/>
      <c r="KU17" s="272"/>
      <c r="KV17" s="272"/>
      <c r="KW17" s="272"/>
      <c r="KX17" s="272"/>
      <c r="KY17" s="272"/>
      <c r="KZ17" s="272"/>
      <c r="LA17" s="272"/>
      <c r="LB17" s="272"/>
      <c r="LC17" s="272"/>
      <c r="LD17" s="272"/>
      <c r="LE17" s="272"/>
      <c r="LF17" s="272"/>
      <c r="LG17" s="272"/>
      <c r="LH17" s="272"/>
      <c r="LI17" s="272"/>
      <c r="LJ17" s="272"/>
      <c r="LK17" s="272"/>
      <c r="LL17" s="272"/>
      <c r="LM17" s="272"/>
      <c r="LN17" s="272"/>
      <c r="LO17" s="272"/>
      <c r="LP17" s="272"/>
      <c r="LQ17" s="272"/>
      <c r="LR17" s="272"/>
      <c r="LS17" s="272"/>
      <c r="LT17" s="272"/>
      <c r="LU17" s="272"/>
      <c r="LV17" s="272"/>
      <c r="LW17" s="272"/>
      <c r="LX17" s="272"/>
      <c r="LY17" s="272"/>
      <c r="LZ17" s="272"/>
      <c r="MA17" s="272"/>
      <c r="MB17" s="272"/>
      <c r="MC17" s="272"/>
      <c r="MD17" s="272"/>
      <c r="ME17" s="272"/>
      <c r="MF17" s="272"/>
      <c r="MG17" s="272"/>
      <c r="MH17" s="272"/>
      <c r="MI17" s="272"/>
      <c r="MJ17" s="272"/>
      <c r="MK17" s="272"/>
      <c r="ML17" s="272"/>
      <c r="MM17" s="272"/>
      <c r="MN17" s="272"/>
      <c r="MO17" s="272"/>
      <c r="MP17" s="272"/>
      <c r="MQ17" s="272"/>
      <c r="MR17" s="272"/>
      <c r="MS17" s="272"/>
      <c r="MT17" s="272"/>
      <c r="MU17" s="272"/>
      <c r="MV17" s="272"/>
      <c r="MW17" s="272"/>
      <c r="MX17" s="272"/>
      <c r="MY17" s="272"/>
      <c r="MZ17" s="272"/>
      <c r="NA17" s="272"/>
      <c r="NB17" s="272"/>
      <c r="NC17" s="272"/>
      <c r="ND17" s="272"/>
      <c r="NE17" s="272"/>
      <c r="NF17" s="272"/>
      <c r="NG17" s="272"/>
      <c r="NH17" s="272"/>
      <c r="NI17" s="272"/>
      <c r="NJ17" s="272"/>
      <c r="NK17" s="272"/>
      <c r="NL17" s="272"/>
      <c r="NM17" s="272"/>
      <c r="NN17" s="272"/>
      <c r="NO17" s="272"/>
      <c r="NP17" s="272"/>
      <c r="NQ17" s="272"/>
      <c r="NR17" s="272"/>
      <c r="NS17" s="272"/>
      <c r="NT17" s="272"/>
      <c r="NU17" s="272"/>
      <c r="NV17" s="272"/>
      <c r="NW17" s="272"/>
      <c r="NX17" s="272"/>
      <c r="NY17" s="272"/>
      <c r="NZ17" s="272"/>
      <c r="OA17" s="272"/>
      <c r="OB17" s="272"/>
      <c r="OC17" s="272"/>
      <c r="OD17" s="272"/>
      <c r="OE17" s="272"/>
      <c r="OF17" s="272"/>
      <c r="OG17" s="272"/>
      <c r="OH17" s="272"/>
      <c r="OI17" s="272"/>
      <c r="OJ17" s="272"/>
      <c r="OK17" s="272"/>
      <c r="OL17" s="272"/>
      <c r="OM17" s="272"/>
      <c r="ON17" s="272"/>
      <c r="OO17" s="272"/>
      <c r="OP17" s="272"/>
      <c r="OQ17" s="272"/>
      <c r="OR17" s="272"/>
      <c r="OS17" s="272"/>
      <c r="OT17" s="272"/>
      <c r="OU17" s="272"/>
      <c r="OV17" s="272"/>
      <c r="OW17" s="272"/>
      <c r="OX17" s="272"/>
      <c r="OY17" s="272"/>
      <c r="OZ17" s="272"/>
      <c r="PA17" s="272"/>
      <c r="PB17" s="272"/>
      <c r="PC17" s="272"/>
      <c r="PD17" s="272"/>
      <c r="PE17" s="272"/>
      <c r="PF17" s="272"/>
      <c r="PG17" s="272"/>
      <c r="PH17" s="272"/>
      <c r="PI17" s="272"/>
      <c r="PJ17" s="272"/>
      <c r="PK17" s="272"/>
      <c r="PL17" s="272"/>
      <c r="PM17" s="272"/>
      <c r="PN17" s="272"/>
      <c r="PO17" s="272"/>
      <c r="PP17" s="272"/>
      <c r="PQ17" s="272"/>
      <c r="PR17" s="272"/>
      <c r="PS17" s="272"/>
      <c r="PT17" s="272"/>
      <c r="PU17" s="272"/>
      <c r="PV17" s="272"/>
      <c r="PW17" s="272"/>
      <c r="PX17" s="272"/>
      <c r="PY17" s="272"/>
      <c r="PZ17" s="272"/>
      <c r="QA17" s="272"/>
      <c r="QB17" s="272"/>
      <c r="QC17" s="272"/>
      <c r="QD17" s="272"/>
      <c r="QE17" s="272"/>
      <c r="QF17" s="272"/>
      <c r="QG17" s="272"/>
      <c r="QH17" s="272"/>
      <c r="QI17" s="272"/>
      <c r="QJ17" s="272"/>
      <c r="QK17" s="272"/>
      <c r="QL17" s="272"/>
      <c r="QM17" s="272"/>
      <c r="QN17" s="272"/>
      <c r="QO17" s="272"/>
      <c r="QP17" s="272"/>
      <c r="QQ17" s="272"/>
      <c r="QR17" s="272"/>
      <c r="QS17" s="272"/>
      <c r="QT17" s="272"/>
      <c r="QU17" s="272"/>
      <c r="QV17" s="272"/>
      <c r="QW17" s="272"/>
      <c r="QX17" s="272"/>
      <c r="QY17" s="272"/>
      <c r="QZ17" s="272"/>
      <c r="RA17" s="272"/>
      <c r="RB17" s="272"/>
      <c r="RC17" s="272"/>
      <c r="RD17" s="272"/>
      <c r="RE17" s="272"/>
      <c r="RF17" s="272"/>
      <c r="RG17" s="272"/>
      <c r="RH17" s="272"/>
      <c r="RI17" s="272"/>
      <c r="RJ17" s="272"/>
      <c r="RK17" s="272"/>
      <c r="RL17" s="272"/>
      <c r="RM17" s="272"/>
      <c r="RN17" s="272"/>
      <c r="RO17" s="272"/>
      <c r="RP17" s="272"/>
      <c r="RQ17" s="272"/>
      <c r="RR17" s="272"/>
      <c r="RS17" s="272"/>
      <c r="RT17" s="272"/>
      <c r="RU17" s="272"/>
      <c r="RV17" s="272"/>
      <c r="RW17" s="272"/>
      <c r="RX17" s="272"/>
      <c r="RY17" s="272"/>
      <c r="RZ17" s="272"/>
      <c r="SA17" s="272"/>
      <c r="SB17" s="272"/>
      <c r="SC17" s="272"/>
      <c r="SD17" s="272"/>
      <c r="SE17" s="272"/>
      <c r="SF17" s="272"/>
      <c r="SG17" s="272"/>
      <c r="SH17" s="272"/>
      <c r="SI17" s="272"/>
      <c r="SJ17" s="272"/>
      <c r="SK17" s="272"/>
      <c r="SL17" s="272"/>
      <c r="SM17" s="272"/>
      <c r="SN17" s="272"/>
      <c r="SO17" s="272"/>
      <c r="SP17" s="272"/>
      <c r="SQ17" s="272"/>
      <c r="SR17" s="272"/>
      <c r="SS17" s="272"/>
      <c r="ST17" s="272"/>
      <c r="SU17" s="272"/>
      <c r="SV17" s="272"/>
      <c r="SW17" s="272"/>
      <c r="SX17" s="272"/>
      <c r="SY17" s="272"/>
      <c r="SZ17" s="272"/>
      <c r="TA17" s="272"/>
      <c r="TB17" s="272"/>
      <c r="TC17" s="272"/>
      <c r="TD17" s="272"/>
      <c r="TE17" s="272"/>
      <c r="TF17" s="272"/>
      <c r="TG17" s="272"/>
      <c r="TH17" s="272"/>
      <c r="TI17" s="272"/>
      <c r="TJ17" s="272"/>
      <c r="TK17" s="272"/>
      <c r="TL17" s="272"/>
      <c r="TM17" s="272"/>
      <c r="TN17" s="272"/>
      <c r="TO17" s="272"/>
      <c r="TP17" s="272"/>
      <c r="TQ17" s="272"/>
      <c r="TR17" s="272"/>
      <c r="TS17" s="272"/>
      <c r="TT17" s="272"/>
      <c r="TU17" s="272"/>
      <c r="TV17" s="272"/>
      <c r="TW17" s="272"/>
      <c r="TX17" s="272"/>
      <c r="TY17" s="272"/>
      <c r="TZ17" s="272"/>
      <c r="UA17" s="272"/>
      <c r="UB17" s="272"/>
      <c r="UC17" s="272"/>
      <c r="UD17" s="272"/>
      <c r="UE17" s="272"/>
      <c r="UF17" s="272"/>
      <c r="UG17" s="272"/>
      <c r="UH17" s="272"/>
      <c r="UI17" s="272"/>
      <c r="UJ17" s="272"/>
      <c r="UK17" s="272"/>
      <c r="UL17" s="272"/>
      <c r="UM17" s="272"/>
      <c r="UN17" s="272"/>
      <c r="UO17" s="272"/>
      <c r="UP17" s="272"/>
      <c r="UQ17" s="272"/>
      <c r="UR17" s="272"/>
      <c r="US17" s="272"/>
      <c r="UT17" s="272"/>
      <c r="UU17" s="272"/>
      <c r="UV17" s="272"/>
      <c r="UW17" s="272"/>
      <c r="UX17" s="272"/>
      <c r="UY17" s="272"/>
      <c r="UZ17" s="272"/>
      <c r="VA17" s="272"/>
      <c r="VB17" s="272"/>
      <c r="VC17" s="272"/>
      <c r="VD17" s="272"/>
      <c r="VE17" s="272"/>
      <c r="VF17" s="272"/>
      <c r="VG17" s="272"/>
      <c r="VH17" s="272"/>
      <c r="VI17" s="272"/>
      <c r="VJ17" s="272"/>
      <c r="VK17" s="272"/>
      <c r="VL17" s="272"/>
      <c r="VM17" s="272"/>
      <c r="VN17" s="272"/>
      <c r="VO17" s="272"/>
      <c r="VP17" s="272"/>
      <c r="VQ17" s="272"/>
      <c r="VR17" s="272"/>
      <c r="VS17" s="272"/>
      <c r="VT17" s="272"/>
      <c r="VU17" s="272"/>
      <c r="VV17" s="272"/>
      <c r="VW17" s="272"/>
      <c r="VX17" s="272"/>
      <c r="VY17" s="272"/>
      <c r="VZ17" s="272"/>
      <c r="WA17" s="272"/>
      <c r="WB17" s="272"/>
      <c r="WC17" s="272"/>
      <c r="WD17" s="272"/>
      <c r="WE17" s="272"/>
      <c r="WF17" s="272"/>
      <c r="WG17" s="272"/>
      <c r="WH17" s="272"/>
      <c r="WI17" s="272"/>
      <c r="WJ17" s="272"/>
      <c r="WK17" s="272"/>
      <c r="WL17" s="272"/>
      <c r="WM17" s="272"/>
      <c r="WN17" s="272"/>
      <c r="WO17" s="272"/>
      <c r="WP17" s="272"/>
      <c r="WQ17" s="272"/>
      <c r="WR17" s="272"/>
      <c r="WS17" s="272"/>
      <c r="WT17" s="272"/>
      <c r="WU17" s="272"/>
      <c r="WV17" s="272"/>
      <c r="WW17" s="272"/>
      <c r="WX17" s="272"/>
      <c r="WY17" s="272"/>
      <c r="WZ17" s="272"/>
      <c r="XA17" s="272"/>
      <c r="XB17" s="272"/>
      <c r="XC17" s="272"/>
      <c r="XD17" s="272"/>
      <c r="XE17" s="272"/>
      <c r="XF17" s="272"/>
      <c r="XG17" s="272"/>
      <c r="XH17" s="272"/>
      <c r="XI17" s="272"/>
      <c r="XJ17" s="272"/>
      <c r="XK17" s="272"/>
      <c r="XL17" s="272"/>
      <c r="XM17" s="272"/>
      <c r="XN17" s="272"/>
      <c r="XO17" s="272"/>
      <c r="XP17" s="272"/>
      <c r="XQ17" s="272"/>
      <c r="XR17" s="272"/>
      <c r="XS17" s="272"/>
      <c r="XT17" s="272"/>
      <c r="XU17" s="272"/>
      <c r="XV17" s="272"/>
      <c r="XW17" s="272"/>
      <c r="XX17" s="272"/>
      <c r="XY17" s="272"/>
      <c r="XZ17" s="272"/>
      <c r="YA17" s="272"/>
      <c r="YB17" s="272"/>
      <c r="YC17" s="272"/>
      <c r="YD17" s="272"/>
      <c r="YE17" s="272"/>
      <c r="YF17" s="272"/>
      <c r="YG17" s="272"/>
      <c r="YH17" s="272"/>
      <c r="YI17" s="272"/>
      <c r="YJ17" s="272"/>
      <c r="YK17" s="272"/>
      <c r="YL17" s="272"/>
      <c r="YM17" s="272"/>
      <c r="YN17" s="272"/>
      <c r="YO17" s="272"/>
      <c r="YP17" s="272"/>
      <c r="YQ17" s="272"/>
      <c r="YR17" s="272"/>
      <c r="YS17" s="272"/>
      <c r="YT17" s="272"/>
      <c r="YU17" s="272"/>
      <c r="YV17" s="272"/>
      <c r="YW17" s="272"/>
      <c r="YX17" s="272"/>
      <c r="YY17" s="272"/>
      <c r="YZ17" s="272"/>
      <c r="ZA17" s="272"/>
      <c r="ZB17" s="272"/>
      <c r="ZC17" s="272"/>
      <c r="ZD17" s="272"/>
      <c r="ZE17" s="272"/>
      <c r="ZF17" s="272"/>
      <c r="ZG17" s="272"/>
      <c r="ZH17" s="272"/>
      <c r="ZI17" s="272"/>
      <c r="ZJ17" s="272"/>
      <c r="ZK17" s="272"/>
      <c r="ZL17" s="272"/>
      <c r="ZM17" s="272"/>
      <c r="ZN17" s="272"/>
      <c r="ZO17" s="272"/>
      <c r="ZP17" s="272"/>
      <c r="ZQ17" s="272"/>
      <c r="ZR17" s="272"/>
      <c r="ZS17" s="272"/>
      <c r="ZT17" s="272"/>
      <c r="ZU17" s="272"/>
      <c r="ZV17" s="272"/>
      <c r="ZW17" s="272"/>
      <c r="ZX17" s="272"/>
      <c r="ZY17" s="272"/>
      <c r="ZZ17" s="272"/>
      <c r="AAA17" s="272"/>
      <c r="AAB17" s="272"/>
      <c r="AAC17" s="272"/>
      <c r="AAD17" s="272"/>
      <c r="AAE17" s="272"/>
      <c r="AAF17" s="272"/>
      <c r="AAG17" s="272"/>
      <c r="AAH17" s="272"/>
      <c r="AAI17" s="272"/>
      <c r="AAJ17" s="272"/>
      <c r="AAK17" s="272"/>
      <c r="AAL17" s="272"/>
      <c r="AAM17" s="272"/>
      <c r="AAN17" s="272"/>
      <c r="AAO17" s="272"/>
      <c r="AAP17" s="272"/>
      <c r="AAQ17" s="272"/>
      <c r="AAR17" s="272"/>
      <c r="AAS17" s="272"/>
      <c r="AAT17" s="272"/>
      <c r="AAU17" s="272"/>
      <c r="AAV17" s="272"/>
      <c r="AAW17" s="272"/>
      <c r="AAX17" s="272"/>
      <c r="AAY17" s="272"/>
      <c r="AAZ17" s="272"/>
      <c r="ABA17" s="272"/>
      <c r="ABB17" s="272"/>
      <c r="ABC17" s="272"/>
      <c r="ABD17" s="272"/>
      <c r="ABE17" s="272"/>
      <c r="ABF17" s="272"/>
      <c r="ABG17" s="272"/>
    </row>
    <row r="18" spans="1:735" s="19" customFormat="1" ht="12.75" customHeight="1">
      <c r="A18" s="44"/>
      <c r="B18" s="596" t="s">
        <v>579</v>
      </c>
      <c r="C18" s="596" t="s">
        <v>52</v>
      </c>
      <c r="D18" s="599"/>
      <c r="E18" s="621"/>
      <c r="F18" s="624"/>
      <c r="G18" s="637"/>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c r="HA18" s="272"/>
      <c r="HB18" s="272"/>
      <c r="HC18" s="272"/>
      <c r="HD18" s="272"/>
      <c r="HE18" s="272"/>
      <c r="HF18" s="272"/>
      <c r="HG18" s="272"/>
      <c r="HH18" s="272"/>
      <c r="HI18" s="272"/>
      <c r="HJ18" s="272"/>
      <c r="HK18" s="272"/>
      <c r="HL18" s="272"/>
      <c r="HM18" s="272"/>
      <c r="HN18" s="272"/>
      <c r="HO18" s="272"/>
      <c r="HP18" s="272"/>
      <c r="HQ18" s="272"/>
      <c r="HR18" s="272"/>
      <c r="HS18" s="272"/>
      <c r="HT18" s="272"/>
      <c r="HU18" s="272"/>
      <c r="HV18" s="272"/>
      <c r="HW18" s="272"/>
      <c r="HX18" s="272"/>
      <c r="HY18" s="272"/>
      <c r="HZ18" s="272"/>
      <c r="IA18" s="272"/>
      <c r="IB18" s="272"/>
      <c r="IC18" s="272"/>
      <c r="ID18" s="272"/>
      <c r="IE18" s="272"/>
      <c r="IF18" s="272"/>
      <c r="IG18" s="272"/>
      <c r="IH18" s="272"/>
      <c r="II18" s="272"/>
      <c r="IJ18" s="272"/>
      <c r="IK18" s="272"/>
      <c r="IL18" s="272"/>
      <c r="IM18" s="272"/>
      <c r="IN18" s="272"/>
      <c r="IO18" s="272"/>
      <c r="IP18" s="272"/>
      <c r="IQ18" s="272"/>
      <c r="IR18" s="272"/>
      <c r="IS18" s="272"/>
      <c r="IT18" s="272"/>
      <c r="IU18" s="272"/>
      <c r="IV18" s="272"/>
      <c r="IW18" s="272"/>
      <c r="IX18" s="272"/>
      <c r="IY18" s="272"/>
      <c r="IZ18" s="272"/>
      <c r="JA18" s="272"/>
      <c r="JB18" s="272"/>
      <c r="JC18" s="272"/>
      <c r="JD18" s="272"/>
      <c r="JE18" s="272"/>
      <c r="JF18" s="272"/>
      <c r="JG18" s="272"/>
      <c r="JH18" s="272"/>
      <c r="JI18" s="272"/>
      <c r="JJ18" s="272"/>
      <c r="JK18" s="272"/>
      <c r="JL18" s="272"/>
      <c r="JM18" s="272"/>
      <c r="JN18" s="272"/>
      <c r="JO18" s="272"/>
      <c r="JP18" s="272"/>
      <c r="JQ18" s="272"/>
      <c r="JR18" s="272"/>
      <c r="JS18" s="272"/>
      <c r="JT18" s="272"/>
      <c r="JU18" s="272"/>
      <c r="JV18" s="272"/>
      <c r="JW18" s="272"/>
      <c r="JX18" s="272"/>
      <c r="JY18" s="272"/>
      <c r="JZ18" s="272"/>
      <c r="KA18" s="272"/>
      <c r="KB18" s="272"/>
      <c r="KC18" s="272"/>
      <c r="KD18" s="272"/>
      <c r="KE18" s="272"/>
      <c r="KF18" s="272"/>
      <c r="KG18" s="272"/>
      <c r="KH18" s="272"/>
      <c r="KI18" s="272"/>
      <c r="KJ18" s="272"/>
      <c r="KK18" s="272"/>
      <c r="KL18" s="272"/>
      <c r="KM18" s="272"/>
      <c r="KN18" s="272"/>
      <c r="KO18" s="272"/>
      <c r="KP18" s="272"/>
      <c r="KQ18" s="272"/>
      <c r="KR18" s="272"/>
      <c r="KS18" s="272"/>
      <c r="KT18" s="272"/>
      <c r="KU18" s="272"/>
      <c r="KV18" s="272"/>
      <c r="KW18" s="272"/>
      <c r="KX18" s="272"/>
      <c r="KY18" s="272"/>
      <c r="KZ18" s="272"/>
      <c r="LA18" s="272"/>
      <c r="LB18" s="272"/>
      <c r="LC18" s="272"/>
      <c r="LD18" s="272"/>
      <c r="LE18" s="272"/>
      <c r="LF18" s="272"/>
      <c r="LG18" s="272"/>
      <c r="LH18" s="272"/>
      <c r="LI18" s="272"/>
      <c r="LJ18" s="272"/>
      <c r="LK18" s="272"/>
      <c r="LL18" s="272"/>
      <c r="LM18" s="272"/>
      <c r="LN18" s="272"/>
      <c r="LO18" s="272"/>
      <c r="LP18" s="272"/>
      <c r="LQ18" s="272"/>
      <c r="LR18" s="272"/>
      <c r="LS18" s="272"/>
      <c r="LT18" s="272"/>
      <c r="LU18" s="272"/>
      <c r="LV18" s="272"/>
      <c r="LW18" s="272"/>
      <c r="LX18" s="272"/>
      <c r="LY18" s="272"/>
      <c r="LZ18" s="272"/>
      <c r="MA18" s="272"/>
      <c r="MB18" s="272"/>
      <c r="MC18" s="272"/>
      <c r="MD18" s="272"/>
      <c r="ME18" s="272"/>
      <c r="MF18" s="272"/>
      <c r="MG18" s="272"/>
      <c r="MH18" s="272"/>
      <c r="MI18" s="272"/>
      <c r="MJ18" s="272"/>
      <c r="MK18" s="272"/>
      <c r="ML18" s="272"/>
      <c r="MM18" s="272"/>
      <c r="MN18" s="272"/>
      <c r="MO18" s="272"/>
      <c r="MP18" s="272"/>
      <c r="MQ18" s="272"/>
      <c r="MR18" s="272"/>
      <c r="MS18" s="272"/>
      <c r="MT18" s="272"/>
      <c r="MU18" s="272"/>
      <c r="MV18" s="272"/>
      <c r="MW18" s="272"/>
      <c r="MX18" s="272"/>
      <c r="MY18" s="272"/>
      <c r="MZ18" s="272"/>
      <c r="NA18" s="272"/>
      <c r="NB18" s="272"/>
      <c r="NC18" s="272"/>
      <c r="ND18" s="272"/>
      <c r="NE18" s="272"/>
      <c r="NF18" s="272"/>
      <c r="NG18" s="272"/>
      <c r="NH18" s="272"/>
      <c r="NI18" s="272"/>
      <c r="NJ18" s="272"/>
      <c r="NK18" s="272"/>
      <c r="NL18" s="272"/>
      <c r="NM18" s="272"/>
      <c r="NN18" s="272"/>
      <c r="NO18" s="272"/>
      <c r="NP18" s="272"/>
      <c r="NQ18" s="272"/>
      <c r="NR18" s="272"/>
      <c r="NS18" s="272"/>
      <c r="NT18" s="272"/>
      <c r="NU18" s="272"/>
      <c r="NV18" s="272"/>
      <c r="NW18" s="272"/>
      <c r="NX18" s="272"/>
      <c r="NY18" s="272"/>
      <c r="NZ18" s="272"/>
      <c r="OA18" s="272"/>
      <c r="OB18" s="272"/>
      <c r="OC18" s="272"/>
      <c r="OD18" s="272"/>
      <c r="OE18" s="272"/>
      <c r="OF18" s="272"/>
      <c r="OG18" s="272"/>
      <c r="OH18" s="272"/>
      <c r="OI18" s="272"/>
      <c r="OJ18" s="272"/>
      <c r="OK18" s="272"/>
      <c r="OL18" s="272"/>
      <c r="OM18" s="272"/>
      <c r="ON18" s="272"/>
      <c r="OO18" s="272"/>
      <c r="OP18" s="272"/>
      <c r="OQ18" s="272"/>
      <c r="OR18" s="272"/>
      <c r="OS18" s="272"/>
      <c r="OT18" s="272"/>
      <c r="OU18" s="272"/>
      <c r="OV18" s="272"/>
      <c r="OW18" s="272"/>
      <c r="OX18" s="272"/>
      <c r="OY18" s="272"/>
      <c r="OZ18" s="272"/>
      <c r="PA18" s="272"/>
      <c r="PB18" s="272"/>
      <c r="PC18" s="272"/>
      <c r="PD18" s="272"/>
      <c r="PE18" s="272"/>
      <c r="PF18" s="272"/>
      <c r="PG18" s="272"/>
      <c r="PH18" s="272"/>
      <c r="PI18" s="272"/>
      <c r="PJ18" s="272"/>
      <c r="PK18" s="272"/>
      <c r="PL18" s="272"/>
      <c r="PM18" s="272"/>
      <c r="PN18" s="272"/>
      <c r="PO18" s="272"/>
      <c r="PP18" s="272"/>
      <c r="PQ18" s="272"/>
      <c r="PR18" s="272"/>
      <c r="PS18" s="272"/>
      <c r="PT18" s="272"/>
      <c r="PU18" s="272"/>
      <c r="PV18" s="272"/>
      <c r="PW18" s="272"/>
      <c r="PX18" s="272"/>
      <c r="PY18" s="272"/>
      <c r="PZ18" s="272"/>
      <c r="QA18" s="272"/>
      <c r="QB18" s="272"/>
      <c r="QC18" s="272"/>
      <c r="QD18" s="272"/>
      <c r="QE18" s="272"/>
      <c r="QF18" s="272"/>
      <c r="QG18" s="272"/>
      <c r="QH18" s="272"/>
      <c r="QI18" s="272"/>
      <c r="QJ18" s="272"/>
      <c r="QK18" s="272"/>
      <c r="QL18" s="272"/>
      <c r="QM18" s="272"/>
      <c r="QN18" s="272"/>
      <c r="QO18" s="272"/>
      <c r="QP18" s="272"/>
      <c r="QQ18" s="272"/>
      <c r="QR18" s="272"/>
      <c r="QS18" s="272"/>
      <c r="QT18" s="272"/>
      <c r="QU18" s="272"/>
      <c r="QV18" s="272"/>
      <c r="QW18" s="272"/>
      <c r="QX18" s="272"/>
      <c r="QY18" s="272"/>
      <c r="QZ18" s="272"/>
      <c r="RA18" s="272"/>
      <c r="RB18" s="272"/>
      <c r="RC18" s="272"/>
      <c r="RD18" s="272"/>
      <c r="RE18" s="272"/>
      <c r="RF18" s="272"/>
      <c r="RG18" s="272"/>
      <c r="RH18" s="272"/>
      <c r="RI18" s="272"/>
      <c r="RJ18" s="272"/>
      <c r="RK18" s="272"/>
      <c r="RL18" s="272"/>
      <c r="RM18" s="272"/>
      <c r="RN18" s="272"/>
      <c r="RO18" s="272"/>
      <c r="RP18" s="272"/>
      <c r="RQ18" s="272"/>
      <c r="RR18" s="272"/>
      <c r="RS18" s="272"/>
      <c r="RT18" s="272"/>
      <c r="RU18" s="272"/>
      <c r="RV18" s="272"/>
      <c r="RW18" s="272"/>
      <c r="RX18" s="272"/>
      <c r="RY18" s="272"/>
      <c r="RZ18" s="272"/>
      <c r="SA18" s="272"/>
      <c r="SB18" s="272"/>
      <c r="SC18" s="272"/>
      <c r="SD18" s="272"/>
      <c r="SE18" s="272"/>
      <c r="SF18" s="272"/>
      <c r="SG18" s="272"/>
      <c r="SH18" s="272"/>
      <c r="SI18" s="272"/>
      <c r="SJ18" s="272"/>
      <c r="SK18" s="272"/>
      <c r="SL18" s="272"/>
      <c r="SM18" s="272"/>
      <c r="SN18" s="272"/>
      <c r="SO18" s="272"/>
      <c r="SP18" s="272"/>
      <c r="SQ18" s="272"/>
      <c r="SR18" s="272"/>
      <c r="SS18" s="272"/>
      <c r="ST18" s="272"/>
      <c r="SU18" s="272"/>
      <c r="SV18" s="272"/>
      <c r="SW18" s="272"/>
      <c r="SX18" s="272"/>
      <c r="SY18" s="272"/>
      <c r="SZ18" s="272"/>
      <c r="TA18" s="272"/>
      <c r="TB18" s="272"/>
      <c r="TC18" s="272"/>
      <c r="TD18" s="272"/>
      <c r="TE18" s="272"/>
      <c r="TF18" s="272"/>
      <c r="TG18" s="272"/>
      <c r="TH18" s="272"/>
      <c r="TI18" s="272"/>
      <c r="TJ18" s="272"/>
      <c r="TK18" s="272"/>
      <c r="TL18" s="272"/>
      <c r="TM18" s="272"/>
      <c r="TN18" s="272"/>
      <c r="TO18" s="272"/>
      <c r="TP18" s="272"/>
      <c r="TQ18" s="272"/>
      <c r="TR18" s="272"/>
      <c r="TS18" s="272"/>
      <c r="TT18" s="272"/>
      <c r="TU18" s="272"/>
      <c r="TV18" s="272"/>
      <c r="TW18" s="272"/>
      <c r="TX18" s="272"/>
      <c r="TY18" s="272"/>
      <c r="TZ18" s="272"/>
      <c r="UA18" s="272"/>
      <c r="UB18" s="272"/>
      <c r="UC18" s="272"/>
      <c r="UD18" s="272"/>
      <c r="UE18" s="272"/>
      <c r="UF18" s="272"/>
      <c r="UG18" s="272"/>
      <c r="UH18" s="272"/>
      <c r="UI18" s="272"/>
      <c r="UJ18" s="272"/>
      <c r="UK18" s="272"/>
      <c r="UL18" s="272"/>
      <c r="UM18" s="272"/>
      <c r="UN18" s="272"/>
      <c r="UO18" s="272"/>
      <c r="UP18" s="272"/>
      <c r="UQ18" s="272"/>
      <c r="UR18" s="272"/>
      <c r="US18" s="272"/>
      <c r="UT18" s="272"/>
      <c r="UU18" s="272"/>
      <c r="UV18" s="272"/>
      <c r="UW18" s="272"/>
      <c r="UX18" s="272"/>
      <c r="UY18" s="272"/>
      <c r="UZ18" s="272"/>
      <c r="VA18" s="272"/>
      <c r="VB18" s="272"/>
      <c r="VC18" s="272"/>
      <c r="VD18" s="272"/>
      <c r="VE18" s="272"/>
      <c r="VF18" s="272"/>
      <c r="VG18" s="272"/>
      <c r="VH18" s="272"/>
      <c r="VI18" s="272"/>
      <c r="VJ18" s="272"/>
      <c r="VK18" s="272"/>
      <c r="VL18" s="272"/>
      <c r="VM18" s="272"/>
      <c r="VN18" s="272"/>
      <c r="VO18" s="272"/>
      <c r="VP18" s="272"/>
      <c r="VQ18" s="272"/>
      <c r="VR18" s="272"/>
      <c r="VS18" s="272"/>
      <c r="VT18" s="272"/>
      <c r="VU18" s="272"/>
      <c r="VV18" s="272"/>
      <c r="VW18" s="272"/>
      <c r="VX18" s="272"/>
      <c r="VY18" s="272"/>
      <c r="VZ18" s="272"/>
      <c r="WA18" s="272"/>
      <c r="WB18" s="272"/>
      <c r="WC18" s="272"/>
      <c r="WD18" s="272"/>
      <c r="WE18" s="272"/>
      <c r="WF18" s="272"/>
      <c r="WG18" s="272"/>
      <c r="WH18" s="272"/>
      <c r="WI18" s="272"/>
      <c r="WJ18" s="272"/>
      <c r="WK18" s="272"/>
      <c r="WL18" s="272"/>
      <c r="WM18" s="272"/>
      <c r="WN18" s="272"/>
      <c r="WO18" s="272"/>
      <c r="WP18" s="272"/>
      <c r="WQ18" s="272"/>
      <c r="WR18" s="272"/>
      <c r="WS18" s="272"/>
      <c r="WT18" s="272"/>
      <c r="WU18" s="272"/>
      <c r="WV18" s="272"/>
      <c r="WW18" s="272"/>
      <c r="WX18" s="272"/>
      <c r="WY18" s="272"/>
      <c r="WZ18" s="272"/>
      <c r="XA18" s="272"/>
      <c r="XB18" s="272"/>
      <c r="XC18" s="272"/>
      <c r="XD18" s="272"/>
      <c r="XE18" s="272"/>
      <c r="XF18" s="272"/>
      <c r="XG18" s="272"/>
      <c r="XH18" s="272"/>
      <c r="XI18" s="272"/>
      <c r="XJ18" s="272"/>
      <c r="XK18" s="272"/>
      <c r="XL18" s="272"/>
      <c r="XM18" s="272"/>
      <c r="XN18" s="272"/>
      <c r="XO18" s="272"/>
      <c r="XP18" s="272"/>
      <c r="XQ18" s="272"/>
      <c r="XR18" s="272"/>
      <c r="XS18" s="272"/>
      <c r="XT18" s="272"/>
      <c r="XU18" s="272"/>
      <c r="XV18" s="272"/>
      <c r="XW18" s="272"/>
      <c r="XX18" s="272"/>
      <c r="XY18" s="272"/>
      <c r="XZ18" s="272"/>
      <c r="YA18" s="272"/>
      <c r="YB18" s="272"/>
      <c r="YC18" s="272"/>
      <c r="YD18" s="272"/>
      <c r="YE18" s="272"/>
      <c r="YF18" s="272"/>
      <c r="YG18" s="272"/>
      <c r="YH18" s="272"/>
      <c r="YI18" s="272"/>
      <c r="YJ18" s="272"/>
      <c r="YK18" s="272"/>
      <c r="YL18" s="272"/>
      <c r="YM18" s="272"/>
      <c r="YN18" s="272"/>
      <c r="YO18" s="272"/>
      <c r="YP18" s="272"/>
      <c r="YQ18" s="272"/>
      <c r="YR18" s="272"/>
      <c r="YS18" s="272"/>
      <c r="YT18" s="272"/>
      <c r="YU18" s="272"/>
      <c r="YV18" s="272"/>
      <c r="YW18" s="272"/>
      <c r="YX18" s="272"/>
      <c r="YY18" s="272"/>
      <c r="YZ18" s="272"/>
      <c r="ZA18" s="272"/>
      <c r="ZB18" s="272"/>
      <c r="ZC18" s="272"/>
      <c r="ZD18" s="272"/>
      <c r="ZE18" s="272"/>
      <c r="ZF18" s="272"/>
      <c r="ZG18" s="272"/>
      <c r="ZH18" s="272"/>
      <c r="ZI18" s="272"/>
      <c r="ZJ18" s="272"/>
      <c r="ZK18" s="272"/>
      <c r="ZL18" s="272"/>
      <c r="ZM18" s="272"/>
      <c r="ZN18" s="272"/>
      <c r="ZO18" s="272"/>
      <c r="ZP18" s="272"/>
      <c r="ZQ18" s="272"/>
      <c r="ZR18" s="272"/>
      <c r="ZS18" s="272"/>
      <c r="ZT18" s="272"/>
      <c r="ZU18" s="272"/>
      <c r="ZV18" s="272"/>
      <c r="ZW18" s="272"/>
      <c r="ZX18" s="272"/>
      <c r="ZY18" s="272"/>
      <c r="ZZ18" s="272"/>
      <c r="AAA18" s="272"/>
      <c r="AAB18" s="272"/>
      <c r="AAC18" s="272"/>
      <c r="AAD18" s="272"/>
      <c r="AAE18" s="272"/>
      <c r="AAF18" s="272"/>
      <c r="AAG18" s="272"/>
      <c r="AAH18" s="272"/>
      <c r="AAI18" s="272"/>
      <c r="AAJ18" s="272"/>
      <c r="AAK18" s="272"/>
      <c r="AAL18" s="272"/>
      <c r="AAM18" s="272"/>
      <c r="AAN18" s="272"/>
      <c r="AAO18" s="272"/>
      <c r="AAP18" s="272"/>
      <c r="AAQ18" s="272"/>
      <c r="AAR18" s="272"/>
      <c r="AAS18" s="272"/>
      <c r="AAT18" s="272"/>
      <c r="AAU18" s="272"/>
      <c r="AAV18" s="272"/>
      <c r="AAW18" s="272"/>
      <c r="AAX18" s="272"/>
      <c r="AAY18" s="272"/>
      <c r="AAZ18" s="272"/>
      <c r="ABA18" s="272"/>
      <c r="ABB18" s="272"/>
      <c r="ABC18" s="272"/>
      <c r="ABD18" s="272"/>
      <c r="ABE18" s="272"/>
      <c r="ABF18" s="272"/>
      <c r="ABG18" s="272"/>
    </row>
    <row r="19" spans="1:735" s="19" customFormat="1" ht="15">
      <c r="A19" s="44"/>
      <c r="B19" s="602"/>
      <c r="C19" s="602"/>
      <c r="D19" s="603"/>
      <c r="E19" s="622"/>
      <c r="F19" s="625"/>
      <c r="G19" s="638"/>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c r="IO19" s="272"/>
      <c r="IP19" s="272"/>
      <c r="IQ19" s="272"/>
      <c r="IR19" s="272"/>
      <c r="IS19" s="272"/>
      <c r="IT19" s="272"/>
      <c r="IU19" s="272"/>
      <c r="IV19" s="272"/>
      <c r="IW19" s="272"/>
      <c r="IX19" s="272"/>
      <c r="IY19" s="272"/>
      <c r="IZ19" s="272"/>
      <c r="JA19" s="272"/>
      <c r="JB19" s="272"/>
      <c r="JC19" s="272"/>
      <c r="JD19" s="272"/>
      <c r="JE19" s="272"/>
      <c r="JF19" s="272"/>
      <c r="JG19" s="272"/>
      <c r="JH19" s="272"/>
      <c r="JI19" s="272"/>
      <c r="JJ19" s="272"/>
      <c r="JK19" s="272"/>
      <c r="JL19" s="272"/>
      <c r="JM19" s="272"/>
      <c r="JN19" s="272"/>
      <c r="JO19" s="272"/>
      <c r="JP19" s="272"/>
      <c r="JQ19" s="272"/>
      <c r="JR19" s="272"/>
      <c r="JS19" s="272"/>
      <c r="JT19" s="272"/>
      <c r="JU19" s="272"/>
      <c r="JV19" s="272"/>
      <c r="JW19" s="272"/>
      <c r="JX19" s="272"/>
      <c r="JY19" s="272"/>
      <c r="JZ19" s="272"/>
      <c r="KA19" s="272"/>
      <c r="KB19" s="272"/>
      <c r="KC19" s="272"/>
      <c r="KD19" s="272"/>
      <c r="KE19" s="272"/>
      <c r="KF19" s="272"/>
      <c r="KG19" s="272"/>
      <c r="KH19" s="272"/>
      <c r="KI19" s="272"/>
      <c r="KJ19" s="272"/>
      <c r="KK19" s="272"/>
      <c r="KL19" s="272"/>
      <c r="KM19" s="272"/>
      <c r="KN19" s="272"/>
      <c r="KO19" s="272"/>
      <c r="KP19" s="272"/>
      <c r="KQ19" s="272"/>
      <c r="KR19" s="272"/>
      <c r="KS19" s="272"/>
      <c r="KT19" s="272"/>
      <c r="KU19" s="272"/>
      <c r="KV19" s="272"/>
      <c r="KW19" s="272"/>
      <c r="KX19" s="272"/>
      <c r="KY19" s="272"/>
      <c r="KZ19" s="272"/>
      <c r="LA19" s="272"/>
      <c r="LB19" s="272"/>
      <c r="LC19" s="272"/>
      <c r="LD19" s="272"/>
      <c r="LE19" s="272"/>
      <c r="LF19" s="272"/>
      <c r="LG19" s="272"/>
      <c r="LH19" s="272"/>
      <c r="LI19" s="272"/>
      <c r="LJ19" s="272"/>
      <c r="LK19" s="272"/>
      <c r="LL19" s="272"/>
      <c r="LM19" s="272"/>
      <c r="LN19" s="272"/>
      <c r="LO19" s="272"/>
      <c r="LP19" s="272"/>
      <c r="LQ19" s="272"/>
      <c r="LR19" s="272"/>
      <c r="LS19" s="272"/>
      <c r="LT19" s="272"/>
      <c r="LU19" s="272"/>
      <c r="LV19" s="272"/>
      <c r="LW19" s="272"/>
      <c r="LX19" s="272"/>
      <c r="LY19" s="272"/>
      <c r="LZ19" s="272"/>
      <c r="MA19" s="272"/>
      <c r="MB19" s="272"/>
      <c r="MC19" s="272"/>
      <c r="MD19" s="272"/>
      <c r="ME19" s="272"/>
      <c r="MF19" s="272"/>
      <c r="MG19" s="272"/>
      <c r="MH19" s="272"/>
      <c r="MI19" s="272"/>
      <c r="MJ19" s="272"/>
      <c r="MK19" s="272"/>
      <c r="ML19" s="272"/>
      <c r="MM19" s="272"/>
      <c r="MN19" s="272"/>
      <c r="MO19" s="272"/>
      <c r="MP19" s="272"/>
      <c r="MQ19" s="272"/>
      <c r="MR19" s="272"/>
      <c r="MS19" s="272"/>
      <c r="MT19" s="272"/>
      <c r="MU19" s="272"/>
      <c r="MV19" s="272"/>
      <c r="MW19" s="272"/>
      <c r="MX19" s="272"/>
      <c r="MY19" s="272"/>
      <c r="MZ19" s="272"/>
      <c r="NA19" s="272"/>
      <c r="NB19" s="272"/>
      <c r="NC19" s="272"/>
      <c r="ND19" s="272"/>
      <c r="NE19" s="272"/>
      <c r="NF19" s="272"/>
      <c r="NG19" s="272"/>
      <c r="NH19" s="272"/>
      <c r="NI19" s="272"/>
      <c r="NJ19" s="272"/>
      <c r="NK19" s="272"/>
      <c r="NL19" s="272"/>
      <c r="NM19" s="272"/>
      <c r="NN19" s="272"/>
      <c r="NO19" s="272"/>
      <c r="NP19" s="272"/>
      <c r="NQ19" s="272"/>
      <c r="NR19" s="272"/>
      <c r="NS19" s="272"/>
      <c r="NT19" s="272"/>
      <c r="NU19" s="272"/>
      <c r="NV19" s="272"/>
      <c r="NW19" s="272"/>
      <c r="NX19" s="272"/>
      <c r="NY19" s="272"/>
      <c r="NZ19" s="272"/>
      <c r="OA19" s="272"/>
      <c r="OB19" s="272"/>
      <c r="OC19" s="272"/>
      <c r="OD19" s="272"/>
      <c r="OE19" s="272"/>
      <c r="OF19" s="272"/>
      <c r="OG19" s="272"/>
      <c r="OH19" s="272"/>
      <c r="OI19" s="272"/>
      <c r="OJ19" s="272"/>
      <c r="OK19" s="272"/>
      <c r="OL19" s="272"/>
      <c r="OM19" s="272"/>
      <c r="ON19" s="272"/>
      <c r="OO19" s="272"/>
      <c r="OP19" s="272"/>
      <c r="OQ19" s="272"/>
      <c r="OR19" s="272"/>
      <c r="OS19" s="272"/>
      <c r="OT19" s="272"/>
      <c r="OU19" s="272"/>
      <c r="OV19" s="272"/>
      <c r="OW19" s="272"/>
      <c r="OX19" s="272"/>
      <c r="OY19" s="272"/>
      <c r="OZ19" s="272"/>
      <c r="PA19" s="272"/>
      <c r="PB19" s="272"/>
      <c r="PC19" s="272"/>
      <c r="PD19" s="272"/>
      <c r="PE19" s="272"/>
      <c r="PF19" s="272"/>
      <c r="PG19" s="272"/>
      <c r="PH19" s="272"/>
      <c r="PI19" s="272"/>
      <c r="PJ19" s="272"/>
      <c r="PK19" s="272"/>
      <c r="PL19" s="272"/>
      <c r="PM19" s="272"/>
      <c r="PN19" s="272"/>
      <c r="PO19" s="272"/>
      <c r="PP19" s="272"/>
      <c r="PQ19" s="272"/>
      <c r="PR19" s="272"/>
      <c r="PS19" s="272"/>
      <c r="PT19" s="272"/>
      <c r="PU19" s="272"/>
      <c r="PV19" s="272"/>
      <c r="PW19" s="272"/>
      <c r="PX19" s="272"/>
      <c r="PY19" s="272"/>
      <c r="PZ19" s="272"/>
      <c r="QA19" s="272"/>
      <c r="QB19" s="272"/>
      <c r="QC19" s="272"/>
      <c r="QD19" s="272"/>
      <c r="QE19" s="272"/>
      <c r="QF19" s="272"/>
      <c r="QG19" s="272"/>
      <c r="QH19" s="272"/>
      <c r="QI19" s="272"/>
      <c r="QJ19" s="272"/>
      <c r="QK19" s="272"/>
      <c r="QL19" s="272"/>
      <c r="QM19" s="272"/>
      <c r="QN19" s="272"/>
      <c r="QO19" s="272"/>
      <c r="QP19" s="272"/>
      <c r="QQ19" s="272"/>
      <c r="QR19" s="272"/>
      <c r="QS19" s="272"/>
      <c r="QT19" s="272"/>
      <c r="QU19" s="272"/>
      <c r="QV19" s="272"/>
      <c r="QW19" s="272"/>
      <c r="QX19" s="272"/>
      <c r="QY19" s="272"/>
      <c r="QZ19" s="272"/>
      <c r="RA19" s="272"/>
      <c r="RB19" s="272"/>
      <c r="RC19" s="272"/>
      <c r="RD19" s="272"/>
      <c r="RE19" s="272"/>
      <c r="RF19" s="272"/>
      <c r="RG19" s="272"/>
      <c r="RH19" s="272"/>
      <c r="RI19" s="272"/>
      <c r="RJ19" s="272"/>
      <c r="RK19" s="272"/>
      <c r="RL19" s="272"/>
      <c r="RM19" s="272"/>
      <c r="RN19" s="272"/>
      <c r="RO19" s="272"/>
      <c r="RP19" s="272"/>
      <c r="RQ19" s="272"/>
      <c r="RR19" s="272"/>
      <c r="RS19" s="272"/>
      <c r="RT19" s="272"/>
      <c r="RU19" s="272"/>
      <c r="RV19" s="272"/>
      <c r="RW19" s="272"/>
      <c r="RX19" s="272"/>
      <c r="RY19" s="272"/>
      <c r="RZ19" s="272"/>
      <c r="SA19" s="272"/>
      <c r="SB19" s="272"/>
      <c r="SC19" s="272"/>
      <c r="SD19" s="272"/>
      <c r="SE19" s="272"/>
      <c r="SF19" s="272"/>
      <c r="SG19" s="272"/>
      <c r="SH19" s="272"/>
      <c r="SI19" s="272"/>
      <c r="SJ19" s="272"/>
      <c r="SK19" s="272"/>
      <c r="SL19" s="272"/>
      <c r="SM19" s="272"/>
      <c r="SN19" s="272"/>
      <c r="SO19" s="272"/>
      <c r="SP19" s="272"/>
      <c r="SQ19" s="272"/>
      <c r="SR19" s="272"/>
      <c r="SS19" s="272"/>
      <c r="ST19" s="272"/>
      <c r="SU19" s="272"/>
      <c r="SV19" s="272"/>
      <c r="SW19" s="272"/>
      <c r="SX19" s="272"/>
      <c r="SY19" s="272"/>
      <c r="SZ19" s="272"/>
      <c r="TA19" s="272"/>
      <c r="TB19" s="272"/>
      <c r="TC19" s="272"/>
      <c r="TD19" s="272"/>
      <c r="TE19" s="272"/>
      <c r="TF19" s="272"/>
      <c r="TG19" s="272"/>
      <c r="TH19" s="272"/>
      <c r="TI19" s="272"/>
      <c r="TJ19" s="272"/>
      <c r="TK19" s="272"/>
      <c r="TL19" s="272"/>
      <c r="TM19" s="272"/>
      <c r="TN19" s="272"/>
      <c r="TO19" s="272"/>
      <c r="TP19" s="272"/>
      <c r="TQ19" s="272"/>
      <c r="TR19" s="272"/>
      <c r="TS19" s="272"/>
      <c r="TT19" s="272"/>
      <c r="TU19" s="272"/>
      <c r="TV19" s="272"/>
      <c r="TW19" s="272"/>
      <c r="TX19" s="272"/>
      <c r="TY19" s="272"/>
      <c r="TZ19" s="272"/>
      <c r="UA19" s="272"/>
      <c r="UB19" s="272"/>
      <c r="UC19" s="272"/>
      <c r="UD19" s="272"/>
      <c r="UE19" s="272"/>
      <c r="UF19" s="272"/>
      <c r="UG19" s="272"/>
      <c r="UH19" s="272"/>
      <c r="UI19" s="272"/>
      <c r="UJ19" s="272"/>
      <c r="UK19" s="272"/>
      <c r="UL19" s="272"/>
      <c r="UM19" s="272"/>
      <c r="UN19" s="272"/>
      <c r="UO19" s="272"/>
      <c r="UP19" s="272"/>
      <c r="UQ19" s="272"/>
      <c r="UR19" s="272"/>
      <c r="US19" s="272"/>
      <c r="UT19" s="272"/>
      <c r="UU19" s="272"/>
      <c r="UV19" s="272"/>
      <c r="UW19" s="272"/>
      <c r="UX19" s="272"/>
      <c r="UY19" s="272"/>
      <c r="UZ19" s="272"/>
      <c r="VA19" s="272"/>
      <c r="VB19" s="272"/>
      <c r="VC19" s="272"/>
      <c r="VD19" s="272"/>
      <c r="VE19" s="272"/>
      <c r="VF19" s="272"/>
      <c r="VG19" s="272"/>
      <c r="VH19" s="272"/>
      <c r="VI19" s="272"/>
      <c r="VJ19" s="272"/>
      <c r="VK19" s="272"/>
      <c r="VL19" s="272"/>
      <c r="VM19" s="272"/>
      <c r="VN19" s="272"/>
      <c r="VO19" s="272"/>
      <c r="VP19" s="272"/>
      <c r="VQ19" s="272"/>
      <c r="VR19" s="272"/>
      <c r="VS19" s="272"/>
      <c r="VT19" s="272"/>
      <c r="VU19" s="272"/>
      <c r="VV19" s="272"/>
      <c r="VW19" s="272"/>
      <c r="VX19" s="272"/>
      <c r="VY19" s="272"/>
      <c r="VZ19" s="272"/>
      <c r="WA19" s="272"/>
      <c r="WB19" s="272"/>
      <c r="WC19" s="272"/>
      <c r="WD19" s="272"/>
      <c r="WE19" s="272"/>
      <c r="WF19" s="272"/>
      <c r="WG19" s="272"/>
      <c r="WH19" s="272"/>
      <c r="WI19" s="272"/>
      <c r="WJ19" s="272"/>
      <c r="WK19" s="272"/>
      <c r="WL19" s="272"/>
      <c r="WM19" s="272"/>
      <c r="WN19" s="272"/>
      <c r="WO19" s="272"/>
      <c r="WP19" s="272"/>
      <c r="WQ19" s="272"/>
      <c r="WR19" s="272"/>
      <c r="WS19" s="272"/>
      <c r="WT19" s="272"/>
      <c r="WU19" s="272"/>
      <c r="WV19" s="272"/>
      <c r="WW19" s="272"/>
      <c r="WX19" s="272"/>
      <c r="WY19" s="272"/>
      <c r="WZ19" s="272"/>
      <c r="XA19" s="272"/>
      <c r="XB19" s="272"/>
      <c r="XC19" s="272"/>
      <c r="XD19" s="272"/>
      <c r="XE19" s="272"/>
      <c r="XF19" s="272"/>
      <c r="XG19" s="272"/>
      <c r="XH19" s="272"/>
      <c r="XI19" s="272"/>
      <c r="XJ19" s="272"/>
      <c r="XK19" s="272"/>
      <c r="XL19" s="272"/>
      <c r="XM19" s="272"/>
      <c r="XN19" s="272"/>
      <c r="XO19" s="272"/>
      <c r="XP19" s="272"/>
      <c r="XQ19" s="272"/>
      <c r="XR19" s="272"/>
      <c r="XS19" s="272"/>
      <c r="XT19" s="272"/>
      <c r="XU19" s="272"/>
      <c r="XV19" s="272"/>
      <c r="XW19" s="272"/>
      <c r="XX19" s="272"/>
      <c r="XY19" s="272"/>
      <c r="XZ19" s="272"/>
      <c r="YA19" s="272"/>
      <c r="YB19" s="272"/>
      <c r="YC19" s="272"/>
      <c r="YD19" s="272"/>
      <c r="YE19" s="272"/>
      <c r="YF19" s="272"/>
      <c r="YG19" s="272"/>
      <c r="YH19" s="272"/>
      <c r="YI19" s="272"/>
      <c r="YJ19" s="272"/>
      <c r="YK19" s="272"/>
      <c r="YL19" s="272"/>
      <c r="YM19" s="272"/>
      <c r="YN19" s="272"/>
      <c r="YO19" s="272"/>
      <c r="YP19" s="272"/>
      <c r="YQ19" s="272"/>
      <c r="YR19" s="272"/>
      <c r="YS19" s="272"/>
      <c r="YT19" s="272"/>
      <c r="YU19" s="272"/>
      <c r="YV19" s="272"/>
      <c r="YW19" s="272"/>
      <c r="YX19" s="272"/>
      <c r="YY19" s="272"/>
      <c r="YZ19" s="272"/>
      <c r="ZA19" s="272"/>
      <c r="ZB19" s="272"/>
      <c r="ZC19" s="272"/>
      <c r="ZD19" s="272"/>
      <c r="ZE19" s="272"/>
      <c r="ZF19" s="272"/>
      <c r="ZG19" s="272"/>
      <c r="ZH19" s="272"/>
      <c r="ZI19" s="272"/>
      <c r="ZJ19" s="272"/>
      <c r="ZK19" s="272"/>
      <c r="ZL19" s="272"/>
      <c r="ZM19" s="272"/>
      <c r="ZN19" s="272"/>
      <c r="ZO19" s="272"/>
      <c r="ZP19" s="272"/>
      <c r="ZQ19" s="272"/>
      <c r="ZR19" s="272"/>
      <c r="ZS19" s="272"/>
      <c r="ZT19" s="272"/>
      <c r="ZU19" s="272"/>
      <c r="ZV19" s="272"/>
      <c r="ZW19" s="272"/>
      <c r="ZX19" s="272"/>
      <c r="ZY19" s="272"/>
      <c r="ZZ19" s="272"/>
      <c r="AAA19" s="272"/>
      <c r="AAB19" s="272"/>
      <c r="AAC19" s="272"/>
      <c r="AAD19" s="272"/>
      <c r="AAE19" s="272"/>
      <c r="AAF19" s="272"/>
      <c r="AAG19" s="272"/>
      <c r="AAH19" s="272"/>
      <c r="AAI19" s="272"/>
      <c r="AAJ19" s="272"/>
      <c r="AAK19" s="272"/>
      <c r="AAL19" s="272"/>
      <c r="AAM19" s="272"/>
      <c r="AAN19" s="272"/>
      <c r="AAO19" s="272"/>
      <c r="AAP19" s="272"/>
      <c r="AAQ19" s="272"/>
      <c r="AAR19" s="272"/>
      <c r="AAS19" s="272"/>
      <c r="AAT19" s="272"/>
      <c r="AAU19" s="272"/>
      <c r="AAV19" s="272"/>
      <c r="AAW19" s="272"/>
      <c r="AAX19" s="272"/>
      <c r="AAY19" s="272"/>
      <c r="AAZ19" s="272"/>
      <c r="ABA19" s="272"/>
      <c r="ABB19" s="272"/>
      <c r="ABC19" s="272"/>
      <c r="ABD19" s="272"/>
      <c r="ABE19" s="272"/>
      <c r="ABF19" s="272"/>
      <c r="ABG19" s="272"/>
    </row>
    <row r="20" spans="1:735" s="19" customFormat="1" ht="12.75" customHeight="1">
      <c r="A20" s="44"/>
      <c r="B20" s="597"/>
      <c r="C20" s="597"/>
      <c r="D20" s="603"/>
      <c r="E20" s="622"/>
      <c r="F20" s="626"/>
      <c r="G20" s="636"/>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2"/>
      <c r="EV20" s="272"/>
      <c r="EW20" s="272"/>
      <c r="EX20" s="272"/>
      <c r="EY20" s="272"/>
      <c r="EZ20" s="272"/>
      <c r="FA20" s="272"/>
      <c r="FB20" s="272"/>
      <c r="FC20" s="272"/>
      <c r="FD20" s="272"/>
      <c r="FE20" s="272"/>
      <c r="FF20" s="272"/>
      <c r="FG20" s="272"/>
      <c r="FH20" s="272"/>
      <c r="FI20" s="272"/>
      <c r="FJ20" s="272"/>
      <c r="FK20" s="272"/>
      <c r="FL20" s="272"/>
      <c r="FM20" s="272"/>
      <c r="FN20" s="272"/>
      <c r="FO20" s="272"/>
      <c r="FP20" s="272"/>
      <c r="FQ20" s="272"/>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2"/>
      <c r="HX20" s="272"/>
      <c r="HY20" s="272"/>
      <c r="HZ20" s="272"/>
      <c r="IA20" s="272"/>
      <c r="IB20" s="272"/>
      <c r="IC20" s="272"/>
      <c r="ID20" s="272"/>
      <c r="IE20" s="272"/>
      <c r="IF20" s="272"/>
      <c r="IG20" s="272"/>
      <c r="IH20" s="272"/>
      <c r="II20" s="272"/>
      <c r="IJ20" s="272"/>
      <c r="IK20" s="272"/>
      <c r="IL20" s="272"/>
      <c r="IM20" s="272"/>
      <c r="IN20" s="272"/>
      <c r="IO20" s="272"/>
      <c r="IP20" s="272"/>
      <c r="IQ20" s="272"/>
      <c r="IR20" s="272"/>
      <c r="IS20" s="272"/>
      <c r="IT20" s="272"/>
      <c r="IU20" s="272"/>
      <c r="IV20" s="272"/>
      <c r="IW20" s="272"/>
      <c r="IX20" s="272"/>
      <c r="IY20" s="272"/>
      <c r="IZ20" s="272"/>
      <c r="JA20" s="272"/>
      <c r="JB20" s="272"/>
      <c r="JC20" s="272"/>
      <c r="JD20" s="272"/>
      <c r="JE20" s="272"/>
      <c r="JF20" s="272"/>
      <c r="JG20" s="272"/>
      <c r="JH20" s="272"/>
      <c r="JI20" s="272"/>
      <c r="JJ20" s="272"/>
      <c r="JK20" s="272"/>
      <c r="JL20" s="272"/>
      <c r="JM20" s="272"/>
      <c r="JN20" s="272"/>
      <c r="JO20" s="272"/>
      <c r="JP20" s="272"/>
      <c r="JQ20" s="272"/>
      <c r="JR20" s="272"/>
      <c r="JS20" s="272"/>
      <c r="JT20" s="272"/>
      <c r="JU20" s="272"/>
      <c r="JV20" s="272"/>
      <c r="JW20" s="272"/>
      <c r="JX20" s="272"/>
      <c r="JY20" s="272"/>
      <c r="JZ20" s="272"/>
      <c r="KA20" s="272"/>
      <c r="KB20" s="272"/>
      <c r="KC20" s="272"/>
      <c r="KD20" s="272"/>
      <c r="KE20" s="272"/>
      <c r="KF20" s="272"/>
      <c r="KG20" s="272"/>
      <c r="KH20" s="272"/>
      <c r="KI20" s="272"/>
      <c r="KJ20" s="272"/>
      <c r="KK20" s="272"/>
      <c r="KL20" s="272"/>
      <c r="KM20" s="272"/>
      <c r="KN20" s="272"/>
      <c r="KO20" s="272"/>
      <c r="KP20" s="272"/>
      <c r="KQ20" s="272"/>
      <c r="KR20" s="272"/>
      <c r="KS20" s="272"/>
      <c r="KT20" s="272"/>
      <c r="KU20" s="272"/>
      <c r="KV20" s="272"/>
      <c r="KW20" s="272"/>
      <c r="KX20" s="272"/>
      <c r="KY20" s="272"/>
      <c r="KZ20" s="272"/>
      <c r="LA20" s="272"/>
      <c r="LB20" s="272"/>
      <c r="LC20" s="272"/>
      <c r="LD20" s="272"/>
      <c r="LE20" s="272"/>
      <c r="LF20" s="272"/>
      <c r="LG20" s="272"/>
      <c r="LH20" s="272"/>
      <c r="LI20" s="272"/>
      <c r="LJ20" s="272"/>
      <c r="LK20" s="272"/>
      <c r="LL20" s="272"/>
      <c r="LM20" s="272"/>
      <c r="LN20" s="272"/>
      <c r="LO20" s="272"/>
      <c r="LP20" s="272"/>
      <c r="LQ20" s="272"/>
      <c r="LR20" s="272"/>
      <c r="LS20" s="272"/>
      <c r="LT20" s="272"/>
      <c r="LU20" s="272"/>
      <c r="LV20" s="272"/>
      <c r="LW20" s="272"/>
      <c r="LX20" s="272"/>
      <c r="LY20" s="272"/>
      <c r="LZ20" s="272"/>
      <c r="MA20" s="272"/>
      <c r="MB20" s="272"/>
      <c r="MC20" s="272"/>
      <c r="MD20" s="272"/>
      <c r="ME20" s="272"/>
      <c r="MF20" s="272"/>
      <c r="MG20" s="272"/>
      <c r="MH20" s="272"/>
      <c r="MI20" s="272"/>
      <c r="MJ20" s="272"/>
      <c r="MK20" s="272"/>
      <c r="ML20" s="272"/>
      <c r="MM20" s="272"/>
      <c r="MN20" s="272"/>
      <c r="MO20" s="272"/>
      <c r="MP20" s="272"/>
      <c r="MQ20" s="272"/>
      <c r="MR20" s="272"/>
      <c r="MS20" s="272"/>
      <c r="MT20" s="272"/>
      <c r="MU20" s="272"/>
      <c r="MV20" s="272"/>
      <c r="MW20" s="272"/>
      <c r="MX20" s="272"/>
      <c r="MY20" s="272"/>
      <c r="MZ20" s="272"/>
      <c r="NA20" s="272"/>
      <c r="NB20" s="272"/>
      <c r="NC20" s="272"/>
      <c r="ND20" s="272"/>
      <c r="NE20" s="272"/>
      <c r="NF20" s="272"/>
      <c r="NG20" s="272"/>
      <c r="NH20" s="272"/>
      <c r="NI20" s="272"/>
      <c r="NJ20" s="272"/>
      <c r="NK20" s="272"/>
      <c r="NL20" s="272"/>
      <c r="NM20" s="272"/>
      <c r="NN20" s="272"/>
      <c r="NO20" s="272"/>
      <c r="NP20" s="272"/>
      <c r="NQ20" s="272"/>
      <c r="NR20" s="272"/>
      <c r="NS20" s="272"/>
      <c r="NT20" s="272"/>
      <c r="NU20" s="272"/>
      <c r="NV20" s="272"/>
      <c r="NW20" s="272"/>
      <c r="NX20" s="272"/>
      <c r="NY20" s="272"/>
      <c r="NZ20" s="272"/>
      <c r="OA20" s="272"/>
      <c r="OB20" s="272"/>
      <c r="OC20" s="272"/>
      <c r="OD20" s="272"/>
      <c r="OE20" s="272"/>
      <c r="OF20" s="272"/>
      <c r="OG20" s="272"/>
      <c r="OH20" s="272"/>
      <c r="OI20" s="272"/>
      <c r="OJ20" s="272"/>
      <c r="OK20" s="272"/>
      <c r="OL20" s="272"/>
      <c r="OM20" s="272"/>
      <c r="ON20" s="272"/>
      <c r="OO20" s="272"/>
      <c r="OP20" s="272"/>
      <c r="OQ20" s="272"/>
      <c r="OR20" s="272"/>
      <c r="OS20" s="272"/>
      <c r="OT20" s="272"/>
      <c r="OU20" s="272"/>
      <c r="OV20" s="272"/>
      <c r="OW20" s="272"/>
      <c r="OX20" s="272"/>
      <c r="OY20" s="272"/>
      <c r="OZ20" s="272"/>
      <c r="PA20" s="272"/>
      <c r="PB20" s="272"/>
      <c r="PC20" s="272"/>
      <c r="PD20" s="272"/>
      <c r="PE20" s="272"/>
      <c r="PF20" s="272"/>
      <c r="PG20" s="272"/>
      <c r="PH20" s="272"/>
      <c r="PI20" s="272"/>
      <c r="PJ20" s="272"/>
      <c r="PK20" s="272"/>
      <c r="PL20" s="272"/>
      <c r="PM20" s="272"/>
      <c r="PN20" s="272"/>
      <c r="PO20" s="272"/>
      <c r="PP20" s="272"/>
      <c r="PQ20" s="272"/>
      <c r="PR20" s="272"/>
      <c r="PS20" s="272"/>
      <c r="PT20" s="272"/>
      <c r="PU20" s="272"/>
      <c r="PV20" s="272"/>
      <c r="PW20" s="272"/>
      <c r="PX20" s="272"/>
      <c r="PY20" s="272"/>
      <c r="PZ20" s="272"/>
      <c r="QA20" s="272"/>
      <c r="QB20" s="272"/>
      <c r="QC20" s="272"/>
      <c r="QD20" s="272"/>
      <c r="QE20" s="272"/>
      <c r="QF20" s="272"/>
      <c r="QG20" s="272"/>
      <c r="QH20" s="272"/>
      <c r="QI20" s="272"/>
      <c r="QJ20" s="272"/>
      <c r="QK20" s="272"/>
      <c r="QL20" s="272"/>
      <c r="QM20" s="272"/>
      <c r="QN20" s="272"/>
      <c r="QO20" s="272"/>
      <c r="QP20" s="272"/>
      <c r="QQ20" s="272"/>
      <c r="QR20" s="272"/>
      <c r="QS20" s="272"/>
      <c r="QT20" s="272"/>
      <c r="QU20" s="272"/>
      <c r="QV20" s="272"/>
      <c r="QW20" s="272"/>
      <c r="QX20" s="272"/>
      <c r="QY20" s="272"/>
      <c r="QZ20" s="272"/>
      <c r="RA20" s="272"/>
      <c r="RB20" s="272"/>
      <c r="RC20" s="272"/>
      <c r="RD20" s="272"/>
      <c r="RE20" s="272"/>
      <c r="RF20" s="272"/>
      <c r="RG20" s="272"/>
      <c r="RH20" s="272"/>
      <c r="RI20" s="272"/>
      <c r="RJ20" s="272"/>
      <c r="RK20" s="272"/>
      <c r="RL20" s="272"/>
      <c r="RM20" s="272"/>
      <c r="RN20" s="272"/>
      <c r="RO20" s="272"/>
      <c r="RP20" s="272"/>
      <c r="RQ20" s="272"/>
      <c r="RR20" s="272"/>
      <c r="RS20" s="272"/>
      <c r="RT20" s="272"/>
      <c r="RU20" s="272"/>
      <c r="RV20" s="272"/>
      <c r="RW20" s="272"/>
      <c r="RX20" s="272"/>
      <c r="RY20" s="272"/>
      <c r="RZ20" s="272"/>
      <c r="SA20" s="272"/>
      <c r="SB20" s="272"/>
      <c r="SC20" s="272"/>
      <c r="SD20" s="272"/>
      <c r="SE20" s="272"/>
      <c r="SF20" s="272"/>
      <c r="SG20" s="272"/>
      <c r="SH20" s="272"/>
      <c r="SI20" s="272"/>
      <c r="SJ20" s="272"/>
      <c r="SK20" s="272"/>
      <c r="SL20" s="272"/>
      <c r="SM20" s="272"/>
      <c r="SN20" s="272"/>
      <c r="SO20" s="272"/>
      <c r="SP20" s="272"/>
      <c r="SQ20" s="272"/>
      <c r="SR20" s="272"/>
      <c r="SS20" s="272"/>
      <c r="ST20" s="272"/>
      <c r="SU20" s="272"/>
      <c r="SV20" s="272"/>
      <c r="SW20" s="272"/>
      <c r="SX20" s="272"/>
      <c r="SY20" s="272"/>
      <c r="SZ20" s="272"/>
      <c r="TA20" s="272"/>
      <c r="TB20" s="272"/>
      <c r="TC20" s="272"/>
      <c r="TD20" s="272"/>
      <c r="TE20" s="272"/>
      <c r="TF20" s="272"/>
      <c r="TG20" s="272"/>
      <c r="TH20" s="272"/>
      <c r="TI20" s="272"/>
      <c r="TJ20" s="272"/>
      <c r="TK20" s="272"/>
      <c r="TL20" s="272"/>
      <c r="TM20" s="272"/>
      <c r="TN20" s="272"/>
      <c r="TO20" s="272"/>
      <c r="TP20" s="272"/>
      <c r="TQ20" s="272"/>
      <c r="TR20" s="272"/>
      <c r="TS20" s="272"/>
      <c r="TT20" s="272"/>
      <c r="TU20" s="272"/>
      <c r="TV20" s="272"/>
      <c r="TW20" s="272"/>
      <c r="TX20" s="272"/>
      <c r="TY20" s="272"/>
      <c r="TZ20" s="272"/>
      <c r="UA20" s="272"/>
      <c r="UB20" s="272"/>
      <c r="UC20" s="272"/>
      <c r="UD20" s="272"/>
      <c r="UE20" s="272"/>
      <c r="UF20" s="272"/>
      <c r="UG20" s="272"/>
      <c r="UH20" s="272"/>
      <c r="UI20" s="272"/>
      <c r="UJ20" s="272"/>
      <c r="UK20" s="272"/>
      <c r="UL20" s="272"/>
      <c r="UM20" s="272"/>
      <c r="UN20" s="272"/>
      <c r="UO20" s="272"/>
      <c r="UP20" s="272"/>
      <c r="UQ20" s="272"/>
      <c r="UR20" s="272"/>
      <c r="US20" s="272"/>
      <c r="UT20" s="272"/>
      <c r="UU20" s="272"/>
      <c r="UV20" s="272"/>
      <c r="UW20" s="272"/>
      <c r="UX20" s="272"/>
      <c r="UY20" s="272"/>
      <c r="UZ20" s="272"/>
      <c r="VA20" s="272"/>
      <c r="VB20" s="272"/>
      <c r="VC20" s="272"/>
      <c r="VD20" s="272"/>
      <c r="VE20" s="272"/>
      <c r="VF20" s="272"/>
      <c r="VG20" s="272"/>
      <c r="VH20" s="272"/>
      <c r="VI20" s="272"/>
      <c r="VJ20" s="272"/>
      <c r="VK20" s="272"/>
      <c r="VL20" s="272"/>
      <c r="VM20" s="272"/>
      <c r="VN20" s="272"/>
      <c r="VO20" s="272"/>
      <c r="VP20" s="272"/>
      <c r="VQ20" s="272"/>
      <c r="VR20" s="272"/>
      <c r="VS20" s="272"/>
      <c r="VT20" s="272"/>
      <c r="VU20" s="272"/>
      <c r="VV20" s="272"/>
      <c r="VW20" s="272"/>
      <c r="VX20" s="272"/>
      <c r="VY20" s="272"/>
      <c r="VZ20" s="272"/>
      <c r="WA20" s="272"/>
      <c r="WB20" s="272"/>
      <c r="WC20" s="272"/>
      <c r="WD20" s="272"/>
      <c r="WE20" s="272"/>
      <c r="WF20" s="272"/>
      <c r="WG20" s="272"/>
      <c r="WH20" s="272"/>
      <c r="WI20" s="272"/>
      <c r="WJ20" s="272"/>
      <c r="WK20" s="272"/>
      <c r="WL20" s="272"/>
      <c r="WM20" s="272"/>
      <c r="WN20" s="272"/>
      <c r="WO20" s="272"/>
      <c r="WP20" s="272"/>
      <c r="WQ20" s="272"/>
      <c r="WR20" s="272"/>
      <c r="WS20" s="272"/>
      <c r="WT20" s="272"/>
      <c r="WU20" s="272"/>
      <c r="WV20" s="272"/>
      <c r="WW20" s="272"/>
      <c r="WX20" s="272"/>
      <c r="WY20" s="272"/>
      <c r="WZ20" s="272"/>
      <c r="XA20" s="272"/>
      <c r="XB20" s="272"/>
      <c r="XC20" s="272"/>
      <c r="XD20" s="272"/>
      <c r="XE20" s="272"/>
      <c r="XF20" s="272"/>
      <c r="XG20" s="272"/>
      <c r="XH20" s="272"/>
      <c r="XI20" s="272"/>
      <c r="XJ20" s="272"/>
      <c r="XK20" s="272"/>
      <c r="XL20" s="272"/>
      <c r="XM20" s="272"/>
      <c r="XN20" s="272"/>
      <c r="XO20" s="272"/>
      <c r="XP20" s="272"/>
      <c r="XQ20" s="272"/>
      <c r="XR20" s="272"/>
      <c r="XS20" s="272"/>
      <c r="XT20" s="272"/>
      <c r="XU20" s="272"/>
      <c r="XV20" s="272"/>
      <c r="XW20" s="272"/>
      <c r="XX20" s="272"/>
      <c r="XY20" s="272"/>
      <c r="XZ20" s="272"/>
      <c r="YA20" s="272"/>
      <c r="YB20" s="272"/>
      <c r="YC20" s="272"/>
      <c r="YD20" s="272"/>
      <c r="YE20" s="272"/>
      <c r="YF20" s="272"/>
      <c r="YG20" s="272"/>
      <c r="YH20" s="272"/>
      <c r="YI20" s="272"/>
      <c r="YJ20" s="272"/>
      <c r="YK20" s="272"/>
      <c r="YL20" s="272"/>
      <c r="YM20" s="272"/>
      <c r="YN20" s="272"/>
      <c r="YO20" s="272"/>
      <c r="YP20" s="272"/>
      <c r="YQ20" s="272"/>
      <c r="YR20" s="272"/>
      <c r="YS20" s="272"/>
      <c r="YT20" s="272"/>
      <c r="YU20" s="272"/>
      <c r="YV20" s="272"/>
      <c r="YW20" s="272"/>
      <c r="YX20" s="272"/>
      <c r="YY20" s="272"/>
      <c r="YZ20" s="272"/>
      <c r="ZA20" s="272"/>
      <c r="ZB20" s="272"/>
      <c r="ZC20" s="272"/>
      <c r="ZD20" s="272"/>
      <c r="ZE20" s="272"/>
      <c r="ZF20" s="272"/>
      <c r="ZG20" s="272"/>
      <c r="ZH20" s="272"/>
      <c r="ZI20" s="272"/>
      <c r="ZJ20" s="272"/>
      <c r="ZK20" s="272"/>
      <c r="ZL20" s="272"/>
      <c r="ZM20" s="272"/>
      <c r="ZN20" s="272"/>
      <c r="ZO20" s="272"/>
      <c r="ZP20" s="272"/>
      <c r="ZQ20" s="272"/>
      <c r="ZR20" s="272"/>
      <c r="ZS20" s="272"/>
      <c r="ZT20" s="272"/>
      <c r="ZU20" s="272"/>
      <c r="ZV20" s="272"/>
      <c r="ZW20" s="272"/>
      <c r="ZX20" s="272"/>
      <c r="ZY20" s="272"/>
      <c r="ZZ20" s="272"/>
      <c r="AAA20" s="272"/>
      <c r="AAB20" s="272"/>
      <c r="AAC20" s="272"/>
      <c r="AAD20" s="272"/>
      <c r="AAE20" s="272"/>
      <c r="AAF20" s="272"/>
      <c r="AAG20" s="272"/>
      <c r="AAH20" s="272"/>
      <c r="AAI20" s="272"/>
      <c r="AAJ20" s="272"/>
      <c r="AAK20" s="272"/>
      <c r="AAL20" s="272"/>
      <c r="AAM20" s="272"/>
      <c r="AAN20" s="272"/>
      <c r="AAO20" s="272"/>
      <c r="AAP20" s="272"/>
      <c r="AAQ20" s="272"/>
      <c r="AAR20" s="272"/>
      <c r="AAS20" s="272"/>
      <c r="AAT20" s="272"/>
      <c r="AAU20" s="272"/>
      <c r="AAV20" s="272"/>
      <c r="AAW20" s="272"/>
      <c r="AAX20" s="272"/>
      <c r="AAY20" s="272"/>
      <c r="AAZ20" s="272"/>
      <c r="ABA20" s="272"/>
      <c r="ABB20" s="272"/>
      <c r="ABC20" s="272"/>
      <c r="ABD20" s="272"/>
      <c r="ABE20" s="272"/>
      <c r="ABF20" s="272"/>
      <c r="ABG20" s="272"/>
    </row>
    <row r="21" spans="1:735" s="19" customFormat="1" ht="12.75" customHeight="1">
      <c r="A21" s="44"/>
      <c r="B21" s="597"/>
      <c r="C21" s="597"/>
      <c r="D21" s="603"/>
      <c r="E21" s="622"/>
      <c r="F21" s="626"/>
      <c r="G21" s="636"/>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272"/>
      <c r="ES21" s="272"/>
      <c r="ET21" s="272"/>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c r="HA21" s="272"/>
      <c r="HB21" s="272"/>
      <c r="HC21" s="272"/>
      <c r="HD21" s="272"/>
      <c r="HE21" s="272"/>
      <c r="HF21" s="272"/>
      <c r="HG21" s="272"/>
      <c r="HH21" s="272"/>
      <c r="HI21" s="272"/>
      <c r="HJ21" s="272"/>
      <c r="HK21" s="272"/>
      <c r="HL21" s="272"/>
      <c r="HM21" s="272"/>
      <c r="HN21" s="272"/>
      <c r="HO21" s="272"/>
      <c r="HP21" s="272"/>
      <c r="HQ21" s="272"/>
      <c r="HR21" s="272"/>
      <c r="HS21" s="272"/>
      <c r="HT21" s="272"/>
      <c r="HU21" s="272"/>
      <c r="HV21" s="272"/>
      <c r="HW21" s="272"/>
      <c r="HX21" s="272"/>
      <c r="HY21" s="272"/>
      <c r="HZ21" s="272"/>
      <c r="IA21" s="272"/>
      <c r="IB21" s="272"/>
      <c r="IC21" s="272"/>
      <c r="ID21" s="272"/>
      <c r="IE21" s="272"/>
      <c r="IF21" s="272"/>
      <c r="IG21" s="272"/>
      <c r="IH21" s="272"/>
      <c r="II21" s="272"/>
      <c r="IJ21" s="272"/>
      <c r="IK21" s="272"/>
      <c r="IL21" s="272"/>
      <c r="IM21" s="272"/>
      <c r="IN21" s="272"/>
      <c r="IO21" s="272"/>
      <c r="IP21" s="272"/>
      <c r="IQ21" s="272"/>
      <c r="IR21" s="272"/>
      <c r="IS21" s="272"/>
      <c r="IT21" s="272"/>
      <c r="IU21" s="272"/>
      <c r="IV21" s="272"/>
      <c r="IW21" s="272"/>
      <c r="IX21" s="272"/>
      <c r="IY21" s="272"/>
      <c r="IZ21" s="272"/>
      <c r="JA21" s="272"/>
      <c r="JB21" s="272"/>
      <c r="JC21" s="272"/>
      <c r="JD21" s="272"/>
      <c r="JE21" s="272"/>
      <c r="JF21" s="272"/>
      <c r="JG21" s="272"/>
      <c r="JH21" s="272"/>
      <c r="JI21" s="272"/>
      <c r="JJ21" s="272"/>
      <c r="JK21" s="272"/>
      <c r="JL21" s="272"/>
      <c r="JM21" s="272"/>
      <c r="JN21" s="272"/>
      <c r="JO21" s="272"/>
      <c r="JP21" s="272"/>
      <c r="JQ21" s="272"/>
      <c r="JR21" s="272"/>
      <c r="JS21" s="272"/>
      <c r="JT21" s="272"/>
      <c r="JU21" s="272"/>
      <c r="JV21" s="272"/>
      <c r="JW21" s="272"/>
      <c r="JX21" s="272"/>
      <c r="JY21" s="272"/>
      <c r="JZ21" s="272"/>
      <c r="KA21" s="272"/>
      <c r="KB21" s="272"/>
      <c r="KC21" s="272"/>
      <c r="KD21" s="272"/>
      <c r="KE21" s="272"/>
      <c r="KF21" s="272"/>
      <c r="KG21" s="272"/>
      <c r="KH21" s="272"/>
      <c r="KI21" s="272"/>
      <c r="KJ21" s="272"/>
      <c r="KK21" s="272"/>
      <c r="KL21" s="272"/>
      <c r="KM21" s="272"/>
      <c r="KN21" s="272"/>
      <c r="KO21" s="272"/>
      <c r="KP21" s="272"/>
      <c r="KQ21" s="272"/>
      <c r="KR21" s="272"/>
      <c r="KS21" s="272"/>
      <c r="KT21" s="272"/>
      <c r="KU21" s="272"/>
      <c r="KV21" s="272"/>
      <c r="KW21" s="272"/>
      <c r="KX21" s="272"/>
      <c r="KY21" s="272"/>
      <c r="KZ21" s="272"/>
      <c r="LA21" s="272"/>
      <c r="LB21" s="272"/>
      <c r="LC21" s="272"/>
      <c r="LD21" s="272"/>
      <c r="LE21" s="272"/>
      <c r="LF21" s="272"/>
      <c r="LG21" s="272"/>
      <c r="LH21" s="272"/>
      <c r="LI21" s="272"/>
      <c r="LJ21" s="272"/>
      <c r="LK21" s="272"/>
      <c r="LL21" s="272"/>
      <c r="LM21" s="272"/>
      <c r="LN21" s="272"/>
      <c r="LO21" s="272"/>
      <c r="LP21" s="272"/>
      <c r="LQ21" s="272"/>
      <c r="LR21" s="272"/>
      <c r="LS21" s="272"/>
      <c r="LT21" s="272"/>
      <c r="LU21" s="272"/>
      <c r="LV21" s="272"/>
      <c r="LW21" s="272"/>
      <c r="LX21" s="272"/>
      <c r="LY21" s="272"/>
      <c r="LZ21" s="272"/>
      <c r="MA21" s="272"/>
      <c r="MB21" s="272"/>
      <c r="MC21" s="272"/>
      <c r="MD21" s="272"/>
      <c r="ME21" s="272"/>
      <c r="MF21" s="272"/>
      <c r="MG21" s="272"/>
      <c r="MH21" s="272"/>
      <c r="MI21" s="272"/>
      <c r="MJ21" s="272"/>
      <c r="MK21" s="272"/>
      <c r="ML21" s="272"/>
      <c r="MM21" s="272"/>
      <c r="MN21" s="272"/>
      <c r="MO21" s="272"/>
      <c r="MP21" s="272"/>
      <c r="MQ21" s="272"/>
      <c r="MR21" s="272"/>
      <c r="MS21" s="272"/>
      <c r="MT21" s="272"/>
      <c r="MU21" s="272"/>
      <c r="MV21" s="272"/>
      <c r="MW21" s="272"/>
      <c r="MX21" s="272"/>
      <c r="MY21" s="272"/>
      <c r="MZ21" s="272"/>
      <c r="NA21" s="272"/>
      <c r="NB21" s="272"/>
      <c r="NC21" s="272"/>
      <c r="ND21" s="272"/>
      <c r="NE21" s="272"/>
      <c r="NF21" s="272"/>
      <c r="NG21" s="272"/>
      <c r="NH21" s="272"/>
      <c r="NI21" s="272"/>
      <c r="NJ21" s="272"/>
      <c r="NK21" s="272"/>
      <c r="NL21" s="272"/>
      <c r="NM21" s="272"/>
      <c r="NN21" s="272"/>
      <c r="NO21" s="272"/>
      <c r="NP21" s="272"/>
      <c r="NQ21" s="272"/>
      <c r="NR21" s="272"/>
      <c r="NS21" s="272"/>
      <c r="NT21" s="272"/>
      <c r="NU21" s="272"/>
      <c r="NV21" s="272"/>
      <c r="NW21" s="272"/>
      <c r="NX21" s="272"/>
      <c r="NY21" s="272"/>
      <c r="NZ21" s="272"/>
      <c r="OA21" s="272"/>
      <c r="OB21" s="272"/>
      <c r="OC21" s="272"/>
      <c r="OD21" s="272"/>
      <c r="OE21" s="272"/>
      <c r="OF21" s="272"/>
      <c r="OG21" s="272"/>
      <c r="OH21" s="272"/>
      <c r="OI21" s="272"/>
      <c r="OJ21" s="272"/>
      <c r="OK21" s="272"/>
      <c r="OL21" s="272"/>
      <c r="OM21" s="272"/>
      <c r="ON21" s="272"/>
      <c r="OO21" s="272"/>
      <c r="OP21" s="272"/>
      <c r="OQ21" s="272"/>
      <c r="OR21" s="272"/>
      <c r="OS21" s="272"/>
      <c r="OT21" s="272"/>
      <c r="OU21" s="272"/>
      <c r="OV21" s="272"/>
      <c r="OW21" s="272"/>
      <c r="OX21" s="272"/>
      <c r="OY21" s="272"/>
      <c r="OZ21" s="272"/>
      <c r="PA21" s="272"/>
      <c r="PB21" s="272"/>
      <c r="PC21" s="272"/>
      <c r="PD21" s="272"/>
      <c r="PE21" s="272"/>
      <c r="PF21" s="272"/>
      <c r="PG21" s="272"/>
      <c r="PH21" s="272"/>
      <c r="PI21" s="272"/>
      <c r="PJ21" s="272"/>
      <c r="PK21" s="272"/>
      <c r="PL21" s="272"/>
      <c r="PM21" s="272"/>
      <c r="PN21" s="272"/>
      <c r="PO21" s="272"/>
      <c r="PP21" s="272"/>
      <c r="PQ21" s="272"/>
      <c r="PR21" s="272"/>
      <c r="PS21" s="272"/>
      <c r="PT21" s="272"/>
      <c r="PU21" s="272"/>
      <c r="PV21" s="272"/>
      <c r="PW21" s="272"/>
      <c r="PX21" s="272"/>
      <c r="PY21" s="272"/>
      <c r="PZ21" s="272"/>
      <c r="QA21" s="272"/>
      <c r="QB21" s="272"/>
      <c r="QC21" s="272"/>
      <c r="QD21" s="272"/>
      <c r="QE21" s="272"/>
      <c r="QF21" s="272"/>
      <c r="QG21" s="272"/>
      <c r="QH21" s="272"/>
      <c r="QI21" s="272"/>
      <c r="QJ21" s="272"/>
      <c r="QK21" s="272"/>
      <c r="QL21" s="272"/>
      <c r="QM21" s="272"/>
      <c r="QN21" s="272"/>
      <c r="QO21" s="272"/>
      <c r="QP21" s="272"/>
      <c r="QQ21" s="272"/>
      <c r="QR21" s="272"/>
      <c r="QS21" s="272"/>
      <c r="QT21" s="272"/>
      <c r="QU21" s="272"/>
      <c r="QV21" s="272"/>
      <c r="QW21" s="272"/>
      <c r="QX21" s="272"/>
      <c r="QY21" s="272"/>
      <c r="QZ21" s="272"/>
      <c r="RA21" s="272"/>
      <c r="RB21" s="272"/>
      <c r="RC21" s="272"/>
      <c r="RD21" s="272"/>
      <c r="RE21" s="272"/>
      <c r="RF21" s="272"/>
      <c r="RG21" s="272"/>
      <c r="RH21" s="272"/>
      <c r="RI21" s="272"/>
      <c r="RJ21" s="272"/>
      <c r="RK21" s="272"/>
      <c r="RL21" s="272"/>
      <c r="RM21" s="272"/>
      <c r="RN21" s="272"/>
      <c r="RO21" s="272"/>
      <c r="RP21" s="272"/>
      <c r="RQ21" s="272"/>
      <c r="RR21" s="272"/>
      <c r="RS21" s="272"/>
      <c r="RT21" s="272"/>
      <c r="RU21" s="272"/>
      <c r="RV21" s="272"/>
      <c r="RW21" s="272"/>
      <c r="RX21" s="272"/>
      <c r="RY21" s="272"/>
      <c r="RZ21" s="272"/>
      <c r="SA21" s="272"/>
      <c r="SB21" s="272"/>
      <c r="SC21" s="272"/>
      <c r="SD21" s="272"/>
      <c r="SE21" s="272"/>
      <c r="SF21" s="272"/>
      <c r="SG21" s="272"/>
      <c r="SH21" s="272"/>
      <c r="SI21" s="272"/>
      <c r="SJ21" s="272"/>
      <c r="SK21" s="272"/>
      <c r="SL21" s="272"/>
      <c r="SM21" s="272"/>
      <c r="SN21" s="272"/>
      <c r="SO21" s="272"/>
      <c r="SP21" s="272"/>
      <c r="SQ21" s="272"/>
      <c r="SR21" s="272"/>
      <c r="SS21" s="272"/>
      <c r="ST21" s="272"/>
      <c r="SU21" s="272"/>
      <c r="SV21" s="272"/>
      <c r="SW21" s="272"/>
      <c r="SX21" s="272"/>
      <c r="SY21" s="272"/>
      <c r="SZ21" s="272"/>
      <c r="TA21" s="272"/>
      <c r="TB21" s="272"/>
      <c r="TC21" s="272"/>
      <c r="TD21" s="272"/>
      <c r="TE21" s="272"/>
      <c r="TF21" s="272"/>
      <c r="TG21" s="272"/>
      <c r="TH21" s="272"/>
      <c r="TI21" s="272"/>
      <c r="TJ21" s="272"/>
      <c r="TK21" s="272"/>
      <c r="TL21" s="272"/>
      <c r="TM21" s="272"/>
      <c r="TN21" s="272"/>
      <c r="TO21" s="272"/>
      <c r="TP21" s="272"/>
      <c r="TQ21" s="272"/>
      <c r="TR21" s="272"/>
      <c r="TS21" s="272"/>
      <c r="TT21" s="272"/>
      <c r="TU21" s="272"/>
      <c r="TV21" s="272"/>
      <c r="TW21" s="272"/>
      <c r="TX21" s="272"/>
      <c r="TY21" s="272"/>
      <c r="TZ21" s="272"/>
      <c r="UA21" s="272"/>
      <c r="UB21" s="272"/>
      <c r="UC21" s="272"/>
      <c r="UD21" s="272"/>
      <c r="UE21" s="272"/>
      <c r="UF21" s="272"/>
      <c r="UG21" s="272"/>
      <c r="UH21" s="272"/>
      <c r="UI21" s="272"/>
      <c r="UJ21" s="272"/>
      <c r="UK21" s="272"/>
      <c r="UL21" s="272"/>
      <c r="UM21" s="272"/>
      <c r="UN21" s="272"/>
      <c r="UO21" s="272"/>
      <c r="UP21" s="272"/>
      <c r="UQ21" s="272"/>
      <c r="UR21" s="272"/>
      <c r="US21" s="272"/>
      <c r="UT21" s="272"/>
      <c r="UU21" s="272"/>
      <c r="UV21" s="272"/>
      <c r="UW21" s="272"/>
      <c r="UX21" s="272"/>
      <c r="UY21" s="272"/>
      <c r="UZ21" s="272"/>
      <c r="VA21" s="272"/>
      <c r="VB21" s="272"/>
      <c r="VC21" s="272"/>
      <c r="VD21" s="272"/>
      <c r="VE21" s="272"/>
      <c r="VF21" s="272"/>
      <c r="VG21" s="272"/>
      <c r="VH21" s="272"/>
      <c r="VI21" s="272"/>
      <c r="VJ21" s="272"/>
      <c r="VK21" s="272"/>
      <c r="VL21" s="272"/>
      <c r="VM21" s="272"/>
      <c r="VN21" s="272"/>
      <c r="VO21" s="272"/>
      <c r="VP21" s="272"/>
      <c r="VQ21" s="272"/>
      <c r="VR21" s="272"/>
      <c r="VS21" s="272"/>
      <c r="VT21" s="272"/>
      <c r="VU21" s="272"/>
      <c r="VV21" s="272"/>
      <c r="VW21" s="272"/>
      <c r="VX21" s="272"/>
      <c r="VY21" s="272"/>
      <c r="VZ21" s="272"/>
      <c r="WA21" s="272"/>
      <c r="WB21" s="272"/>
      <c r="WC21" s="272"/>
      <c r="WD21" s="272"/>
      <c r="WE21" s="272"/>
      <c r="WF21" s="272"/>
      <c r="WG21" s="272"/>
      <c r="WH21" s="272"/>
      <c r="WI21" s="272"/>
      <c r="WJ21" s="272"/>
      <c r="WK21" s="272"/>
      <c r="WL21" s="272"/>
      <c r="WM21" s="272"/>
      <c r="WN21" s="272"/>
      <c r="WO21" s="272"/>
      <c r="WP21" s="272"/>
      <c r="WQ21" s="272"/>
      <c r="WR21" s="272"/>
      <c r="WS21" s="272"/>
      <c r="WT21" s="272"/>
      <c r="WU21" s="272"/>
      <c r="WV21" s="272"/>
      <c r="WW21" s="272"/>
      <c r="WX21" s="272"/>
      <c r="WY21" s="272"/>
      <c r="WZ21" s="272"/>
      <c r="XA21" s="272"/>
      <c r="XB21" s="272"/>
      <c r="XC21" s="272"/>
      <c r="XD21" s="272"/>
      <c r="XE21" s="272"/>
      <c r="XF21" s="272"/>
      <c r="XG21" s="272"/>
      <c r="XH21" s="272"/>
      <c r="XI21" s="272"/>
      <c r="XJ21" s="272"/>
      <c r="XK21" s="272"/>
      <c r="XL21" s="272"/>
      <c r="XM21" s="272"/>
      <c r="XN21" s="272"/>
      <c r="XO21" s="272"/>
      <c r="XP21" s="272"/>
      <c r="XQ21" s="272"/>
      <c r="XR21" s="272"/>
      <c r="XS21" s="272"/>
      <c r="XT21" s="272"/>
      <c r="XU21" s="272"/>
      <c r="XV21" s="272"/>
      <c r="XW21" s="272"/>
      <c r="XX21" s="272"/>
      <c r="XY21" s="272"/>
      <c r="XZ21" s="272"/>
      <c r="YA21" s="272"/>
      <c r="YB21" s="272"/>
      <c r="YC21" s="272"/>
      <c r="YD21" s="272"/>
      <c r="YE21" s="272"/>
      <c r="YF21" s="272"/>
      <c r="YG21" s="272"/>
      <c r="YH21" s="272"/>
      <c r="YI21" s="272"/>
      <c r="YJ21" s="272"/>
      <c r="YK21" s="272"/>
      <c r="YL21" s="272"/>
      <c r="YM21" s="272"/>
      <c r="YN21" s="272"/>
      <c r="YO21" s="272"/>
      <c r="YP21" s="272"/>
      <c r="YQ21" s="272"/>
      <c r="YR21" s="272"/>
      <c r="YS21" s="272"/>
      <c r="YT21" s="272"/>
      <c r="YU21" s="272"/>
      <c r="YV21" s="272"/>
      <c r="YW21" s="272"/>
      <c r="YX21" s="272"/>
      <c r="YY21" s="272"/>
      <c r="YZ21" s="272"/>
      <c r="ZA21" s="272"/>
      <c r="ZB21" s="272"/>
      <c r="ZC21" s="272"/>
      <c r="ZD21" s="272"/>
      <c r="ZE21" s="272"/>
      <c r="ZF21" s="272"/>
      <c r="ZG21" s="272"/>
      <c r="ZH21" s="272"/>
      <c r="ZI21" s="272"/>
      <c r="ZJ21" s="272"/>
      <c r="ZK21" s="272"/>
      <c r="ZL21" s="272"/>
      <c r="ZM21" s="272"/>
      <c r="ZN21" s="272"/>
      <c r="ZO21" s="272"/>
      <c r="ZP21" s="272"/>
      <c r="ZQ21" s="272"/>
      <c r="ZR21" s="272"/>
      <c r="ZS21" s="272"/>
      <c r="ZT21" s="272"/>
      <c r="ZU21" s="272"/>
      <c r="ZV21" s="272"/>
      <c r="ZW21" s="272"/>
      <c r="ZX21" s="272"/>
      <c r="ZY21" s="272"/>
      <c r="ZZ21" s="272"/>
      <c r="AAA21" s="272"/>
      <c r="AAB21" s="272"/>
      <c r="AAC21" s="272"/>
      <c r="AAD21" s="272"/>
      <c r="AAE21" s="272"/>
      <c r="AAF21" s="272"/>
      <c r="AAG21" s="272"/>
      <c r="AAH21" s="272"/>
      <c r="AAI21" s="272"/>
      <c r="AAJ21" s="272"/>
      <c r="AAK21" s="272"/>
      <c r="AAL21" s="272"/>
      <c r="AAM21" s="272"/>
      <c r="AAN21" s="272"/>
      <c r="AAO21" s="272"/>
      <c r="AAP21" s="272"/>
      <c r="AAQ21" s="272"/>
      <c r="AAR21" s="272"/>
      <c r="AAS21" s="272"/>
      <c r="AAT21" s="272"/>
      <c r="AAU21" s="272"/>
      <c r="AAV21" s="272"/>
      <c r="AAW21" s="272"/>
      <c r="AAX21" s="272"/>
      <c r="AAY21" s="272"/>
      <c r="AAZ21" s="272"/>
      <c r="ABA21" s="272"/>
      <c r="ABB21" s="272"/>
      <c r="ABC21" s="272"/>
      <c r="ABD21" s="272"/>
      <c r="ABE21" s="272"/>
      <c r="ABF21" s="272"/>
      <c r="ABG21" s="272"/>
    </row>
    <row r="22" spans="1:735" s="19" customFormat="1" ht="12.75" customHeight="1">
      <c r="A22" s="44"/>
      <c r="B22" s="597"/>
      <c r="C22" s="597"/>
      <c r="D22" s="603"/>
      <c r="E22" s="622"/>
      <c r="F22" s="626"/>
      <c r="G22" s="636"/>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2"/>
      <c r="HX22" s="272"/>
      <c r="HY22" s="272"/>
      <c r="HZ22" s="272"/>
      <c r="IA22" s="272"/>
      <c r="IB22" s="272"/>
      <c r="IC22" s="272"/>
      <c r="ID22" s="272"/>
      <c r="IE22" s="272"/>
      <c r="IF22" s="272"/>
      <c r="IG22" s="272"/>
      <c r="IH22" s="272"/>
      <c r="II22" s="272"/>
      <c r="IJ22" s="272"/>
      <c r="IK22" s="272"/>
      <c r="IL22" s="272"/>
      <c r="IM22" s="272"/>
      <c r="IN22" s="272"/>
      <c r="IO22" s="272"/>
      <c r="IP22" s="272"/>
      <c r="IQ22" s="272"/>
      <c r="IR22" s="272"/>
      <c r="IS22" s="272"/>
      <c r="IT22" s="272"/>
      <c r="IU22" s="272"/>
      <c r="IV22" s="272"/>
      <c r="IW22" s="272"/>
      <c r="IX22" s="272"/>
      <c r="IY22" s="272"/>
      <c r="IZ22" s="272"/>
      <c r="JA22" s="272"/>
      <c r="JB22" s="272"/>
      <c r="JC22" s="272"/>
      <c r="JD22" s="272"/>
      <c r="JE22" s="272"/>
      <c r="JF22" s="272"/>
      <c r="JG22" s="272"/>
      <c r="JH22" s="272"/>
      <c r="JI22" s="272"/>
      <c r="JJ22" s="272"/>
      <c r="JK22" s="272"/>
      <c r="JL22" s="272"/>
      <c r="JM22" s="272"/>
      <c r="JN22" s="272"/>
      <c r="JO22" s="272"/>
      <c r="JP22" s="272"/>
      <c r="JQ22" s="272"/>
      <c r="JR22" s="272"/>
      <c r="JS22" s="272"/>
      <c r="JT22" s="272"/>
      <c r="JU22" s="272"/>
      <c r="JV22" s="272"/>
      <c r="JW22" s="272"/>
      <c r="JX22" s="272"/>
      <c r="JY22" s="272"/>
      <c r="JZ22" s="272"/>
      <c r="KA22" s="272"/>
      <c r="KB22" s="272"/>
      <c r="KC22" s="272"/>
      <c r="KD22" s="272"/>
      <c r="KE22" s="272"/>
      <c r="KF22" s="272"/>
      <c r="KG22" s="272"/>
      <c r="KH22" s="272"/>
      <c r="KI22" s="272"/>
      <c r="KJ22" s="272"/>
      <c r="KK22" s="272"/>
      <c r="KL22" s="272"/>
      <c r="KM22" s="272"/>
      <c r="KN22" s="272"/>
      <c r="KO22" s="272"/>
      <c r="KP22" s="272"/>
      <c r="KQ22" s="272"/>
      <c r="KR22" s="272"/>
      <c r="KS22" s="272"/>
      <c r="KT22" s="272"/>
      <c r="KU22" s="272"/>
      <c r="KV22" s="272"/>
      <c r="KW22" s="272"/>
      <c r="KX22" s="272"/>
      <c r="KY22" s="272"/>
      <c r="KZ22" s="272"/>
      <c r="LA22" s="272"/>
      <c r="LB22" s="272"/>
      <c r="LC22" s="272"/>
      <c r="LD22" s="272"/>
      <c r="LE22" s="272"/>
      <c r="LF22" s="272"/>
      <c r="LG22" s="272"/>
      <c r="LH22" s="272"/>
      <c r="LI22" s="272"/>
      <c r="LJ22" s="272"/>
      <c r="LK22" s="272"/>
      <c r="LL22" s="272"/>
      <c r="LM22" s="272"/>
      <c r="LN22" s="272"/>
      <c r="LO22" s="272"/>
      <c r="LP22" s="272"/>
      <c r="LQ22" s="272"/>
      <c r="LR22" s="272"/>
      <c r="LS22" s="272"/>
      <c r="LT22" s="272"/>
      <c r="LU22" s="272"/>
      <c r="LV22" s="272"/>
      <c r="LW22" s="272"/>
      <c r="LX22" s="272"/>
      <c r="LY22" s="272"/>
      <c r="LZ22" s="272"/>
      <c r="MA22" s="272"/>
      <c r="MB22" s="272"/>
      <c r="MC22" s="272"/>
      <c r="MD22" s="272"/>
      <c r="ME22" s="272"/>
      <c r="MF22" s="272"/>
      <c r="MG22" s="272"/>
      <c r="MH22" s="272"/>
      <c r="MI22" s="272"/>
      <c r="MJ22" s="272"/>
      <c r="MK22" s="272"/>
      <c r="ML22" s="272"/>
      <c r="MM22" s="272"/>
      <c r="MN22" s="272"/>
      <c r="MO22" s="272"/>
      <c r="MP22" s="272"/>
      <c r="MQ22" s="272"/>
      <c r="MR22" s="272"/>
      <c r="MS22" s="272"/>
      <c r="MT22" s="272"/>
      <c r="MU22" s="272"/>
      <c r="MV22" s="272"/>
      <c r="MW22" s="272"/>
      <c r="MX22" s="272"/>
      <c r="MY22" s="272"/>
      <c r="MZ22" s="272"/>
      <c r="NA22" s="272"/>
      <c r="NB22" s="272"/>
      <c r="NC22" s="272"/>
      <c r="ND22" s="272"/>
      <c r="NE22" s="272"/>
      <c r="NF22" s="272"/>
      <c r="NG22" s="272"/>
      <c r="NH22" s="272"/>
      <c r="NI22" s="272"/>
      <c r="NJ22" s="272"/>
      <c r="NK22" s="272"/>
      <c r="NL22" s="272"/>
      <c r="NM22" s="272"/>
      <c r="NN22" s="272"/>
      <c r="NO22" s="272"/>
      <c r="NP22" s="272"/>
      <c r="NQ22" s="272"/>
      <c r="NR22" s="272"/>
      <c r="NS22" s="272"/>
      <c r="NT22" s="272"/>
      <c r="NU22" s="272"/>
      <c r="NV22" s="272"/>
      <c r="NW22" s="272"/>
      <c r="NX22" s="272"/>
      <c r="NY22" s="272"/>
      <c r="NZ22" s="272"/>
      <c r="OA22" s="272"/>
      <c r="OB22" s="272"/>
      <c r="OC22" s="272"/>
      <c r="OD22" s="272"/>
      <c r="OE22" s="272"/>
      <c r="OF22" s="272"/>
      <c r="OG22" s="272"/>
      <c r="OH22" s="272"/>
      <c r="OI22" s="272"/>
      <c r="OJ22" s="272"/>
      <c r="OK22" s="272"/>
      <c r="OL22" s="272"/>
      <c r="OM22" s="272"/>
      <c r="ON22" s="272"/>
      <c r="OO22" s="272"/>
      <c r="OP22" s="272"/>
      <c r="OQ22" s="272"/>
      <c r="OR22" s="272"/>
      <c r="OS22" s="272"/>
      <c r="OT22" s="272"/>
      <c r="OU22" s="272"/>
      <c r="OV22" s="272"/>
      <c r="OW22" s="272"/>
      <c r="OX22" s="272"/>
      <c r="OY22" s="272"/>
      <c r="OZ22" s="272"/>
      <c r="PA22" s="272"/>
      <c r="PB22" s="272"/>
      <c r="PC22" s="272"/>
      <c r="PD22" s="272"/>
      <c r="PE22" s="272"/>
      <c r="PF22" s="272"/>
      <c r="PG22" s="272"/>
      <c r="PH22" s="272"/>
      <c r="PI22" s="272"/>
      <c r="PJ22" s="272"/>
      <c r="PK22" s="272"/>
      <c r="PL22" s="272"/>
      <c r="PM22" s="272"/>
      <c r="PN22" s="272"/>
      <c r="PO22" s="272"/>
      <c r="PP22" s="272"/>
      <c r="PQ22" s="272"/>
      <c r="PR22" s="272"/>
      <c r="PS22" s="272"/>
      <c r="PT22" s="272"/>
      <c r="PU22" s="272"/>
      <c r="PV22" s="272"/>
      <c r="PW22" s="272"/>
      <c r="PX22" s="272"/>
      <c r="PY22" s="272"/>
      <c r="PZ22" s="272"/>
      <c r="QA22" s="272"/>
      <c r="QB22" s="272"/>
      <c r="QC22" s="272"/>
      <c r="QD22" s="272"/>
      <c r="QE22" s="272"/>
      <c r="QF22" s="272"/>
      <c r="QG22" s="272"/>
      <c r="QH22" s="272"/>
      <c r="QI22" s="272"/>
      <c r="QJ22" s="272"/>
      <c r="QK22" s="272"/>
      <c r="QL22" s="272"/>
      <c r="QM22" s="272"/>
      <c r="QN22" s="272"/>
      <c r="QO22" s="272"/>
      <c r="QP22" s="272"/>
      <c r="QQ22" s="272"/>
      <c r="QR22" s="272"/>
      <c r="QS22" s="272"/>
      <c r="QT22" s="272"/>
      <c r="QU22" s="272"/>
      <c r="QV22" s="272"/>
      <c r="QW22" s="272"/>
      <c r="QX22" s="272"/>
      <c r="QY22" s="272"/>
      <c r="QZ22" s="272"/>
      <c r="RA22" s="272"/>
      <c r="RB22" s="272"/>
      <c r="RC22" s="272"/>
      <c r="RD22" s="272"/>
      <c r="RE22" s="272"/>
      <c r="RF22" s="272"/>
      <c r="RG22" s="272"/>
      <c r="RH22" s="272"/>
      <c r="RI22" s="272"/>
      <c r="RJ22" s="272"/>
      <c r="RK22" s="272"/>
      <c r="RL22" s="272"/>
      <c r="RM22" s="272"/>
      <c r="RN22" s="272"/>
      <c r="RO22" s="272"/>
      <c r="RP22" s="272"/>
      <c r="RQ22" s="272"/>
      <c r="RR22" s="272"/>
      <c r="RS22" s="272"/>
      <c r="RT22" s="272"/>
      <c r="RU22" s="272"/>
      <c r="RV22" s="272"/>
      <c r="RW22" s="272"/>
      <c r="RX22" s="272"/>
      <c r="RY22" s="272"/>
      <c r="RZ22" s="272"/>
      <c r="SA22" s="272"/>
      <c r="SB22" s="272"/>
      <c r="SC22" s="272"/>
      <c r="SD22" s="272"/>
      <c r="SE22" s="272"/>
      <c r="SF22" s="272"/>
      <c r="SG22" s="272"/>
      <c r="SH22" s="272"/>
      <c r="SI22" s="272"/>
      <c r="SJ22" s="272"/>
      <c r="SK22" s="272"/>
      <c r="SL22" s="272"/>
      <c r="SM22" s="272"/>
      <c r="SN22" s="272"/>
      <c r="SO22" s="272"/>
      <c r="SP22" s="272"/>
      <c r="SQ22" s="272"/>
      <c r="SR22" s="272"/>
      <c r="SS22" s="272"/>
      <c r="ST22" s="272"/>
      <c r="SU22" s="272"/>
      <c r="SV22" s="272"/>
      <c r="SW22" s="272"/>
      <c r="SX22" s="272"/>
      <c r="SY22" s="272"/>
      <c r="SZ22" s="272"/>
      <c r="TA22" s="272"/>
      <c r="TB22" s="272"/>
      <c r="TC22" s="272"/>
      <c r="TD22" s="272"/>
      <c r="TE22" s="272"/>
      <c r="TF22" s="272"/>
      <c r="TG22" s="272"/>
      <c r="TH22" s="272"/>
      <c r="TI22" s="272"/>
      <c r="TJ22" s="272"/>
      <c r="TK22" s="272"/>
      <c r="TL22" s="272"/>
      <c r="TM22" s="272"/>
      <c r="TN22" s="272"/>
      <c r="TO22" s="272"/>
      <c r="TP22" s="272"/>
      <c r="TQ22" s="272"/>
      <c r="TR22" s="272"/>
      <c r="TS22" s="272"/>
      <c r="TT22" s="272"/>
      <c r="TU22" s="272"/>
      <c r="TV22" s="272"/>
      <c r="TW22" s="272"/>
      <c r="TX22" s="272"/>
      <c r="TY22" s="272"/>
      <c r="TZ22" s="272"/>
      <c r="UA22" s="272"/>
      <c r="UB22" s="272"/>
      <c r="UC22" s="272"/>
      <c r="UD22" s="272"/>
      <c r="UE22" s="272"/>
      <c r="UF22" s="272"/>
      <c r="UG22" s="272"/>
      <c r="UH22" s="272"/>
      <c r="UI22" s="272"/>
      <c r="UJ22" s="272"/>
      <c r="UK22" s="272"/>
      <c r="UL22" s="272"/>
      <c r="UM22" s="272"/>
      <c r="UN22" s="272"/>
      <c r="UO22" s="272"/>
      <c r="UP22" s="272"/>
      <c r="UQ22" s="272"/>
      <c r="UR22" s="272"/>
      <c r="US22" s="272"/>
      <c r="UT22" s="272"/>
      <c r="UU22" s="272"/>
      <c r="UV22" s="272"/>
      <c r="UW22" s="272"/>
      <c r="UX22" s="272"/>
      <c r="UY22" s="272"/>
      <c r="UZ22" s="272"/>
      <c r="VA22" s="272"/>
      <c r="VB22" s="272"/>
      <c r="VC22" s="272"/>
      <c r="VD22" s="272"/>
      <c r="VE22" s="272"/>
      <c r="VF22" s="272"/>
      <c r="VG22" s="272"/>
      <c r="VH22" s="272"/>
      <c r="VI22" s="272"/>
      <c r="VJ22" s="272"/>
      <c r="VK22" s="272"/>
      <c r="VL22" s="272"/>
      <c r="VM22" s="272"/>
      <c r="VN22" s="272"/>
      <c r="VO22" s="272"/>
      <c r="VP22" s="272"/>
      <c r="VQ22" s="272"/>
      <c r="VR22" s="272"/>
      <c r="VS22" s="272"/>
      <c r="VT22" s="272"/>
      <c r="VU22" s="272"/>
      <c r="VV22" s="272"/>
      <c r="VW22" s="272"/>
      <c r="VX22" s="272"/>
      <c r="VY22" s="272"/>
      <c r="VZ22" s="272"/>
      <c r="WA22" s="272"/>
      <c r="WB22" s="272"/>
      <c r="WC22" s="272"/>
      <c r="WD22" s="272"/>
      <c r="WE22" s="272"/>
      <c r="WF22" s="272"/>
      <c r="WG22" s="272"/>
      <c r="WH22" s="272"/>
      <c r="WI22" s="272"/>
      <c r="WJ22" s="272"/>
      <c r="WK22" s="272"/>
      <c r="WL22" s="272"/>
      <c r="WM22" s="272"/>
      <c r="WN22" s="272"/>
      <c r="WO22" s="272"/>
      <c r="WP22" s="272"/>
      <c r="WQ22" s="272"/>
      <c r="WR22" s="272"/>
      <c r="WS22" s="272"/>
      <c r="WT22" s="272"/>
      <c r="WU22" s="272"/>
      <c r="WV22" s="272"/>
      <c r="WW22" s="272"/>
      <c r="WX22" s="272"/>
      <c r="WY22" s="272"/>
      <c r="WZ22" s="272"/>
      <c r="XA22" s="272"/>
      <c r="XB22" s="272"/>
      <c r="XC22" s="272"/>
      <c r="XD22" s="272"/>
      <c r="XE22" s="272"/>
      <c r="XF22" s="272"/>
      <c r="XG22" s="272"/>
      <c r="XH22" s="272"/>
      <c r="XI22" s="272"/>
      <c r="XJ22" s="272"/>
      <c r="XK22" s="272"/>
      <c r="XL22" s="272"/>
      <c r="XM22" s="272"/>
      <c r="XN22" s="272"/>
      <c r="XO22" s="272"/>
      <c r="XP22" s="272"/>
      <c r="XQ22" s="272"/>
      <c r="XR22" s="272"/>
      <c r="XS22" s="272"/>
      <c r="XT22" s="272"/>
      <c r="XU22" s="272"/>
      <c r="XV22" s="272"/>
      <c r="XW22" s="272"/>
      <c r="XX22" s="272"/>
      <c r="XY22" s="272"/>
      <c r="XZ22" s="272"/>
      <c r="YA22" s="272"/>
      <c r="YB22" s="272"/>
      <c r="YC22" s="272"/>
      <c r="YD22" s="272"/>
      <c r="YE22" s="272"/>
      <c r="YF22" s="272"/>
      <c r="YG22" s="272"/>
      <c r="YH22" s="272"/>
      <c r="YI22" s="272"/>
      <c r="YJ22" s="272"/>
      <c r="YK22" s="272"/>
      <c r="YL22" s="272"/>
      <c r="YM22" s="272"/>
      <c r="YN22" s="272"/>
      <c r="YO22" s="272"/>
      <c r="YP22" s="272"/>
      <c r="YQ22" s="272"/>
      <c r="YR22" s="272"/>
      <c r="YS22" s="272"/>
      <c r="YT22" s="272"/>
      <c r="YU22" s="272"/>
      <c r="YV22" s="272"/>
      <c r="YW22" s="272"/>
      <c r="YX22" s="272"/>
      <c r="YY22" s="272"/>
      <c r="YZ22" s="272"/>
      <c r="ZA22" s="272"/>
      <c r="ZB22" s="272"/>
      <c r="ZC22" s="272"/>
      <c r="ZD22" s="272"/>
      <c r="ZE22" s="272"/>
      <c r="ZF22" s="272"/>
      <c r="ZG22" s="272"/>
      <c r="ZH22" s="272"/>
      <c r="ZI22" s="272"/>
      <c r="ZJ22" s="272"/>
      <c r="ZK22" s="272"/>
      <c r="ZL22" s="272"/>
      <c r="ZM22" s="272"/>
      <c r="ZN22" s="272"/>
      <c r="ZO22" s="272"/>
      <c r="ZP22" s="272"/>
      <c r="ZQ22" s="272"/>
      <c r="ZR22" s="272"/>
      <c r="ZS22" s="272"/>
      <c r="ZT22" s="272"/>
      <c r="ZU22" s="272"/>
      <c r="ZV22" s="272"/>
      <c r="ZW22" s="272"/>
      <c r="ZX22" s="272"/>
      <c r="ZY22" s="272"/>
      <c r="ZZ22" s="272"/>
      <c r="AAA22" s="272"/>
      <c r="AAB22" s="272"/>
      <c r="AAC22" s="272"/>
      <c r="AAD22" s="272"/>
      <c r="AAE22" s="272"/>
      <c r="AAF22" s="272"/>
      <c r="AAG22" s="272"/>
      <c r="AAH22" s="272"/>
      <c r="AAI22" s="272"/>
      <c r="AAJ22" s="272"/>
      <c r="AAK22" s="272"/>
      <c r="AAL22" s="272"/>
      <c r="AAM22" s="272"/>
      <c r="AAN22" s="272"/>
      <c r="AAO22" s="272"/>
      <c r="AAP22" s="272"/>
      <c r="AAQ22" s="272"/>
      <c r="AAR22" s="272"/>
      <c r="AAS22" s="272"/>
      <c r="AAT22" s="272"/>
      <c r="AAU22" s="272"/>
      <c r="AAV22" s="272"/>
      <c r="AAW22" s="272"/>
      <c r="AAX22" s="272"/>
      <c r="AAY22" s="272"/>
      <c r="AAZ22" s="272"/>
      <c r="ABA22" s="272"/>
      <c r="ABB22" s="272"/>
      <c r="ABC22" s="272"/>
      <c r="ABD22" s="272"/>
      <c r="ABE22" s="272"/>
      <c r="ABF22" s="272"/>
      <c r="ABG22" s="272"/>
    </row>
    <row r="23" spans="1:735" s="19" customFormat="1" ht="84" customHeight="1">
      <c r="A23" s="44"/>
      <c r="B23" s="597"/>
      <c r="C23" s="598"/>
      <c r="D23" s="604"/>
      <c r="E23" s="623"/>
      <c r="F23" s="627"/>
      <c r="G23" s="635"/>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c r="IV23" s="272"/>
      <c r="IW23" s="272"/>
      <c r="IX23" s="272"/>
      <c r="IY23" s="272"/>
      <c r="IZ23" s="272"/>
      <c r="JA23" s="272"/>
      <c r="JB23" s="272"/>
      <c r="JC23" s="272"/>
      <c r="JD23" s="272"/>
      <c r="JE23" s="272"/>
      <c r="JF23" s="272"/>
      <c r="JG23" s="272"/>
      <c r="JH23" s="272"/>
      <c r="JI23" s="272"/>
      <c r="JJ23" s="272"/>
      <c r="JK23" s="272"/>
      <c r="JL23" s="272"/>
      <c r="JM23" s="272"/>
      <c r="JN23" s="272"/>
      <c r="JO23" s="272"/>
      <c r="JP23" s="272"/>
      <c r="JQ23" s="272"/>
      <c r="JR23" s="272"/>
      <c r="JS23" s="272"/>
      <c r="JT23" s="272"/>
      <c r="JU23" s="272"/>
      <c r="JV23" s="272"/>
      <c r="JW23" s="272"/>
      <c r="JX23" s="272"/>
      <c r="JY23" s="272"/>
      <c r="JZ23" s="272"/>
      <c r="KA23" s="272"/>
      <c r="KB23" s="272"/>
      <c r="KC23" s="272"/>
      <c r="KD23" s="272"/>
      <c r="KE23" s="272"/>
      <c r="KF23" s="272"/>
      <c r="KG23" s="272"/>
      <c r="KH23" s="272"/>
      <c r="KI23" s="272"/>
      <c r="KJ23" s="272"/>
      <c r="KK23" s="272"/>
      <c r="KL23" s="272"/>
      <c r="KM23" s="272"/>
      <c r="KN23" s="272"/>
      <c r="KO23" s="272"/>
      <c r="KP23" s="272"/>
      <c r="KQ23" s="272"/>
      <c r="KR23" s="272"/>
      <c r="KS23" s="272"/>
      <c r="KT23" s="272"/>
      <c r="KU23" s="272"/>
      <c r="KV23" s="272"/>
      <c r="KW23" s="272"/>
      <c r="KX23" s="272"/>
      <c r="KY23" s="272"/>
      <c r="KZ23" s="272"/>
      <c r="LA23" s="272"/>
      <c r="LB23" s="272"/>
      <c r="LC23" s="272"/>
      <c r="LD23" s="272"/>
      <c r="LE23" s="272"/>
      <c r="LF23" s="272"/>
      <c r="LG23" s="272"/>
      <c r="LH23" s="272"/>
      <c r="LI23" s="272"/>
      <c r="LJ23" s="272"/>
      <c r="LK23" s="272"/>
      <c r="LL23" s="272"/>
      <c r="LM23" s="272"/>
      <c r="LN23" s="272"/>
      <c r="LO23" s="272"/>
      <c r="LP23" s="272"/>
      <c r="LQ23" s="272"/>
      <c r="LR23" s="272"/>
      <c r="LS23" s="272"/>
      <c r="LT23" s="272"/>
      <c r="LU23" s="272"/>
      <c r="LV23" s="272"/>
      <c r="LW23" s="272"/>
      <c r="LX23" s="272"/>
      <c r="LY23" s="272"/>
      <c r="LZ23" s="272"/>
      <c r="MA23" s="272"/>
      <c r="MB23" s="272"/>
      <c r="MC23" s="272"/>
      <c r="MD23" s="272"/>
      <c r="ME23" s="272"/>
      <c r="MF23" s="272"/>
      <c r="MG23" s="272"/>
      <c r="MH23" s="272"/>
      <c r="MI23" s="272"/>
      <c r="MJ23" s="272"/>
      <c r="MK23" s="272"/>
      <c r="ML23" s="272"/>
      <c r="MM23" s="272"/>
      <c r="MN23" s="272"/>
      <c r="MO23" s="272"/>
      <c r="MP23" s="272"/>
      <c r="MQ23" s="272"/>
      <c r="MR23" s="272"/>
      <c r="MS23" s="272"/>
      <c r="MT23" s="272"/>
      <c r="MU23" s="272"/>
      <c r="MV23" s="272"/>
      <c r="MW23" s="272"/>
      <c r="MX23" s="272"/>
      <c r="MY23" s="272"/>
      <c r="MZ23" s="272"/>
      <c r="NA23" s="272"/>
      <c r="NB23" s="272"/>
      <c r="NC23" s="272"/>
      <c r="ND23" s="272"/>
      <c r="NE23" s="272"/>
      <c r="NF23" s="272"/>
      <c r="NG23" s="272"/>
      <c r="NH23" s="272"/>
      <c r="NI23" s="272"/>
      <c r="NJ23" s="272"/>
      <c r="NK23" s="272"/>
      <c r="NL23" s="272"/>
      <c r="NM23" s="272"/>
      <c r="NN23" s="272"/>
      <c r="NO23" s="272"/>
      <c r="NP23" s="272"/>
      <c r="NQ23" s="272"/>
      <c r="NR23" s="272"/>
      <c r="NS23" s="272"/>
      <c r="NT23" s="272"/>
      <c r="NU23" s="272"/>
      <c r="NV23" s="272"/>
      <c r="NW23" s="272"/>
      <c r="NX23" s="272"/>
      <c r="NY23" s="272"/>
      <c r="NZ23" s="272"/>
      <c r="OA23" s="272"/>
      <c r="OB23" s="272"/>
      <c r="OC23" s="272"/>
      <c r="OD23" s="272"/>
      <c r="OE23" s="272"/>
      <c r="OF23" s="272"/>
      <c r="OG23" s="272"/>
      <c r="OH23" s="272"/>
      <c r="OI23" s="272"/>
      <c r="OJ23" s="272"/>
      <c r="OK23" s="272"/>
      <c r="OL23" s="272"/>
      <c r="OM23" s="272"/>
      <c r="ON23" s="272"/>
      <c r="OO23" s="272"/>
      <c r="OP23" s="272"/>
      <c r="OQ23" s="272"/>
      <c r="OR23" s="272"/>
      <c r="OS23" s="272"/>
      <c r="OT23" s="272"/>
      <c r="OU23" s="272"/>
      <c r="OV23" s="272"/>
      <c r="OW23" s="272"/>
      <c r="OX23" s="272"/>
      <c r="OY23" s="272"/>
      <c r="OZ23" s="272"/>
      <c r="PA23" s="272"/>
      <c r="PB23" s="272"/>
      <c r="PC23" s="272"/>
      <c r="PD23" s="272"/>
      <c r="PE23" s="272"/>
      <c r="PF23" s="272"/>
      <c r="PG23" s="272"/>
      <c r="PH23" s="272"/>
      <c r="PI23" s="272"/>
      <c r="PJ23" s="272"/>
      <c r="PK23" s="272"/>
      <c r="PL23" s="272"/>
      <c r="PM23" s="272"/>
      <c r="PN23" s="272"/>
      <c r="PO23" s="272"/>
      <c r="PP23" s="272"/>
      <c r="PQ23" s="272"/>
      <c r="PR23" s="272"/>
      <c r="PS23" s="272"/>
      <c r="PT23" s="272"/>
      <c r="PU23" s="272"/>
      <c r="PV23" s="272"/>
      <c r="PW23" s="272"/>
      <c r="PX23" s="272"/>
      <c r="PY23" s="272"/>
      <c r="PZ23" s="272"/>
      <c r="QA23" s="272"/>
      <c r="QB23" s="272"/>
      <c r="QC23" s="272"/>
      <c r="QD23" s="272"/>
      <c r="QE23" s="272"/>
      <c r="QF23" s="272"/>
      <c r="QG23" s="272"/>
      <c r="QH23" s="272"/>
      <c r="QI23" s="272"/>
      <c r="QJ23" s="272"/>
      <c r="QK23" s="272"/>
      <c r="QL23" s="272"/>
      <c r="QM23" s="272"/>
      <c r="QN23" s="272"/>
      <c r="QO23" s="272"/>
      <c r="QP23" s="272"/>
      <c r="QQ23" s="272"/>
      <c r="QR23" s="272"/>
      <c r="QS23" s="272"/>
      <c r="QT23" s="272"/>
      <c r="QU23" s="272"/>
      <c r="QV23" s="272"/>
      <c r="QW23" s="272"/>
      <c r="QX23" s="272"/>
      <c r="QY23" s="272"/>
      <c r="QZ23" s="272"/>
      <c r="RA23" s="272"/>
      <c r="RB23" s="272"/>
      <c r="RC23" s="272"/>
      <c r="RD23" s="272"/>
      <c r="RE23" s="272"/>
      <c r="RF23" s="272"/>
      <c r="RG23" s="272"/>
      <c r="RH23" s="272"/>
      <c r="RI23" s="272"/>
      <c r="RJ23" s="272"/>
      <c r="RK23" s="272"/>
      <c r="RL23" s="272"/>
      <c r="RM23" s="272"/>
      <c r="RN23" s="272"/>
      <c r="RO23" s="272"/>
      <c r="RP23" s="272"/>
      <c r="RQ23" s="272"/>
      <c r="RR23" s="272"/>
      <c r="RS23" s="272"/>
      <c r="RT23" s="272"/>
      <c r="RU23" s="272"/>
      <c r="RV23" s="272"/>
      <c r="RW23" s="272"/>
      <c r="RX23" s="272"/>
      <c r="RY23" s="272"/>
      <c r="RZ23" s="272"/>
      <c r="SA23" s="272"/>
      <c r="SB23" s="272"/>
      <c r="SC23" s="272"/>
      <c r="SD23" s="272"/>
      <c r="SE23" s="272"/>
      <c r="SF23" s="272"/>
      <c r="SG23" s="272"/>
      <c r="SH23" s="272"/>
      <c r="SI23" s="272"/>
      <c r="SJ23" s="272"/>
      <c r="SK23" s="272"/>
      <c r="SL23" s="272"/>
      <c r="SM23" s="272"/>
      <c r="SN23" s="272"/>
      <c r="SO23" s="272"/>
      <c r="SP23" s="272"/>
      <c r="SQ23" s="272"/>
      <c r="SR23" s="272"/>
      <c r="SS23" s="272"/>
      <c r="ST23" s="272"/>
      <c r="SU23" s="272"/>
      <c r="SV23" s="272"/>
      <c r="SW23" s="272"/>
      <c r="SX23" s="272"/>
      <c r="SY23" s="272"/>
      <c r="SZ23" s="272"/>
      <c r="TA23" s="272"/>
      <c r="TB23" s="272"/>
      <c r="TC23" s="272"/>
      <c r="TD23" s="272"/>
      <c r="TE23" s="272"/>
      <c r="TF23" s="272"/>
      <c r="TG23" s="272"/>
      <c r="TH23" s="272"/>
      <c r="TI23" s="272"/>
      <c r="TJ23" s="272"/>
      <c r="TK23" s="272"/>
      <c r="TL23" s="272"/>
      <c r="TM23" s="272"/>
      <c r="TN23" s="272"/>
      <c r="TO23" s="272"/>
      <c r="TP23" s="272"/>
      <c r="TQ23" s="272"/>
      <c r="TR23" s="272"/>
      <c r="TS23" s="272"/>
      <c r="TT23" s="272"/>
      <c r="TU23" s="272"/>
      <c r="TV23" s="272"/>
      <c r="TW23" s="272"/>
      <c r="TX23" s="272"/>
      <c r="TY23" s="272"/>
      <c r="TZ23" s="272"/>
      <c r="UA23" s="272"/>
      <c r="UB23" s="272"/>
      <c r="UC23" s="272"/>
      <c r="UD23" s="272"/>
      <c r="UE23" s="272"/>
      <c r="UF23" s="272"/>
      <c r="UG23" s="272"/>
      <c r="UH23" s="272"/>
      <c r="UI23" s="272"/>
      <c r="UJ23" s="272"/>
      <c r="UK23" s="272"/>
      <c r="UL23" s="272"/>
      <c r="UM23" s="272"/>
      <c r="UN23" s="272"/>
      <c r="UO23" s="272"/>
      <c r="UP23" s="272"/>
      <c r="UQ23" s="272"/>
      <c r="UR23" s="272"/>
      <c r="US23" s="272"/>
      <c r="UT23" s="272"/>
      <c r="UU23" s="272"/>
      <c r="UV23" s="272"/>
      <c r="UW23" s="272"/>
      <c r="UX23" s="272"/>
      <c r="UY23" s="272"/>
      <c r="UZ23" s="272"/>
      <c r="VA23" s="272"/>
      <c r="VB23" s="272"/>
      <c r="VC23" s="272"/>
      <c r="VD23" s="272"/>
      <c r="VE23" s="272"/>
      <c r="VF23" s="272"/>
      <c r="VG23" s="272"/>
      <c r="VH23" s="272"/>
      <c r="VI23" s="272"/>
      <c r="VJ23" s="272"/>
      <c r="VK23" s="272"/>
      <c r="VL23" s="272"/>
      <c r="VM23" s="272"/>
      <c r="VN23" s="272"/>
      <c r="VO23" s="272"/>
      <c r="VP23" s="272"/>
      <c r="VQ23" s="272"/>
      <c r="VR23" s="272"/>
      <c r="VS23" s="272"/>
      <c r="VT23" s="272"/>
      <c r="VU23" s="272"/>
      <c r="VV23" s="272"/>
      <c r="VW23" s="272"/>
      <c r="VX23" s="272"/>
      <c r="VY23" s="272"/>
      <c r="VZ23" s="272"/>
      <c r="WA23" s="272"/>
      <c r="WB23" s="272"/>
      <c r="WC23" s="272"/>
      <c r="WD23" s="272"/>
      <c r="WE23" s="272"/>
      <c r="WF23" s="272"/>
      <c r="WG23" s="272"/>
      <c r="WH23" s="272"/>
      <c r="WI23" s="272"/>
      <c r="WJ23" s="272"/>
      <c r="WK23" s="272"/>
      <c r="WL23" s="272"/>
      <c r="WM23" s="272"/>
      <c r="WN23" s="272"/>
      <c r="WO23" s="272"/>
      <c r="WP23" s="272"/>
      <c r="WQ23" s="272"/>
      <c r="WR23" s="272"/>
      <c r="WS23" s="272"/>
      <c r="WT23" s="272"/>
      <c r="WU23" s="272"/>
      <c r="WV23" s="272"/>
      <c r="WW23" s="272"/>
      <c r="WX23" s="272"/>
      <c r="WY23" s="272"/>
      <c r="WZ23" s="272"/>
      <c r="XA23" s="272"/>
      <c r="XB23" s="272"/>
      <c r="XC23" s="272"/>
      <c r="XD23" s="272"/>
      <c r="XE23" s="272"/>
      <c r="XF23" s="272"/>
      <c r="XG23" s="272"/>
      <c r="XH23" s="272"/>
      <c r="XI23" s="272"/>
      <c r="XJ23" s="272"/>
      <c r="XK23" s="272"/>
      <c r="XL23" s="272"/>
      <c r="XM23" s="272"/>
      <c r="XN23" s="272"/>
      <c r="XO23" s="272"/>
      <c r="XP23" s="272"/>
      <c r="XQ23" s="272"/>
      <c r="XR23" s="272"/>
      <c r="XS23" s="272"/>
      <c r="XT23" s="272"/>
      <c r="XU23" s="272"/>
      <c r="XV23" s="272"/>
      <c r="XW23" s="272"/>
      <c r="XX23" s="272"/>
      <c r="XY23" s="272"/>
      <c r="XZ23" s="272"/>
      <c r="YA23" s="272"/>
      <c r="YB23" s="272"/>
      <c r="YC23" s="272"/>
      <c r="YD23" s="272"/>
      <c r="YE23" s="272"/>
      <c r="YF23" s="272"/>
      <c r="YG23" s="272"/>
      <c r="YH23" s="272"/>
      <c r="YI23" s="272"/>
      <c r="YJ23" s="272"/>
      <c r="YK23" s="272"/>
      <c r="YL23" s="272"/>
      <c r="YM23" s="272"/>
      <c r="YN23" s="272"/>
      <c r="YO23" s="272"/>
      <c r="YP23" s="272"/>
      <c r="YQ23" s="272"/>
      <c r="YR23" s="272"/>
      <c r="YS23" s="272"/>
      <c r="YT23" s="272"/>
      <c r="YU23" s="272"/>
      <c r="YV23" s="272"/>
      <c r="YW23" s="272"/>
      <c r="YX23" s="272"/>
      <c r="YY23" s="272"/>
      <c r="YZ23" s="272"/>
      <c r="ZA23" s="272"/>
      <c r="ZB23" s="272"/>
      <c r="ZC23" s="272"/>
      <c r="ZD23" s="272"/>
      <c r="ZE23" s="272"/>
      <c r="ZF23" s="272"/>
      <c r="ZG23" s="272"/>
      <c r="ZH23" s="272"/>
      <c r="ZI23" s="272"/>
      <c r="ZJ23" s="272"/>
      <c r="ZK23" s="272"/>
      <c r="ZL23" s="272"/>
      <c r="ZM23" s="272"/>
      <c r="ZN23" s="272"/>
      <c r="ZO23" s="272"/>
      <c r="ZP23" s="272"/>
      <c r="ZQ23" s="272"/>
      <c r="ZR23" s="272"/>
      <c r="ZS23" s="272"/>
      <c r="ZT23" s="272"/>
      <c r="ZU23" s="272"/>
      <c r="ZV23" s="272"/>
      <c r="ZW23" s="272"/>
      <c r="ZX23" s="272"/>
      <c r="ZY23" s="272"/>
      <c r="ZZ23" s="272"/>
      <c r="AAA23" s="272"/>
      <c r="AAB23" s="272"/>
      <c r="AAC23" s="272"/>
      <c r="AAD23" s="272"/>
      <c r="AAE23" s="272"/>
      <c r="AAF23" s="272"/>
      <c r="AAG23" s="272"/>
      <c r="AAH23" s="272"/>
      <c r="AAI23" s="272"/>
      <c r="AAJ23" s="272"/>
      <c r="AAK23" s="272"/>
      <c r="AAL23" s="272"/>
      <c r="AAM23" s="272"/>
      <c r="AAN23" s="272"/>
      <c r="AAO23" s="272"/>
      <c r="AAP23" s="272"/>
      <c r="AAQ23" s="272"/>
      <c r="AAR23" s="272"/>
      <c r="AAS23" s="272"/>
      <c r="AAT23" s="272"/>
      <c r="AAU23" s="272"/>
      <c r="AAV23" s="272"/>
      <c r="AAW23" s="272"/>
      <c r="AAX23" s="272"/>
      <c r="AAY23" s="272"/>
      <c r="AAZ23" s="272"/>
      <c r="ABA23" s="272"/>
      <c r="ABB23" s="272"/>
      <c r="ABC23" s="272"/>
      <c r="ABD23" s="272"/>
      <c r="ABE23" s="272"/>
      <c r="ABF23" s="272"/>
      <c r="ABG23" s="272"/>
    </row>
    <row r="24" spans="1:735" s="19" customFormat="1" ht="15">
      <c r="A24" s="44"/>
      <c r="B24" s="44"/>
      <c r="C24" s="24" t="s">
        <v>53</v>
      </c>
      <c r="D24" s="508"/>
      <c r="E24" s="509"/>
      <c r="F24" s="506"/>
      <c r="G24" s="507"/>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2"/>
      <c r="CU24" s="272"/>
      <c r="CV24" s="272"/>
      <c r="CW24" s="272"/>
      <c r="CX24" s="272"/>
      <c r="CY24" s="272"/>
      <c r="CZ24" s="272"/>
      <c r="DA24" s="272"/>
      <c r="DB24" s="272"/>
      <c r="DC24" s="272"/>
      <c r="DD24" s="272"/>
      <c r="DE24" s="272"/>
      <c r="DF24" s="272"/>
      <c r="DG24" s="272"/>
      <c r="DH24" s="272"/>
      <c r="DI24" s="272"/>
      <c r="DJ24" s="272"/>
      <c r="DK24" s="272"/>
      <c r="DL24" s="272"/>
      <c r="DM24" s="272"/>
      <c r="DN24" s="272"/>
      <c r="DO24" s="272"/>
      <c r="DP24" s="272"/>
      <c r="DQ24" s="272"/>
      <c r="DR24" s="272"/>
      <c r="DS24" s="272"/>
      <c r="DT24" s="272"/>
      <c r="DU24" s="272"/>
      <c r="DV24" s="272"/>
      <c r="DW24" s="272"/>
      <c r="DX24" s="272"/>
      <c r="DY24" s="272"/>
      <c r="DZ24" s="272"/>
      <c r="EA24" s="272"/>
      <c r="EB24" s="272"/>
      <c r="EC24" s="272"/>
      <c r="ED24" s="272"/>
      <c r="EE24" s="272"/>
      <c r="EF24" s="272"/>
      <c r="EG24" s="272"/>
      <c r="EH24" s="272"/>
      <c r="EI24" s="272"/>
      <c r="EJ24" s="272"/>
      <c r="EK24" s="272"/>
      <c r="EL24" s="272"/>
      <c r="EM24" s="272"/>
      <c r="EN24" s="272"/>
      <c r="EO24" s="272"/>
      <c r="EP24" s="272"/>
      <c r="EQ24" s="272"/>
      <c r="ER24" s="272"/>
      <c r="ES24" s="272"/>
      <c r="ET24" s="272"/>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c r="FT24" s="272"/>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c r="HA24" s="272"/>
      <c r="HB24" s="272"/>
      <c r="HC24" s="272"/>
      <c r="HD24" s="272"/>
      <c r="HE24" s="272"/>
      <c r="HF24" s="272"/>
      <c r="HG24" s="272"/>
      <c r="HH24" s="272"/>
      <c r="HI24" s="272"/>
      <c r="HJ24" s="272"/>
      <c r="HK24" s="272"/>
      <c r="HL24" s="272"/>
      <c r="HM24" s="272"/>
      <c r="HN24" s="272"/>
      <c r="HO24" s="272"/>
      <c r="HP24" s="272"/>
      <c r="HQ24" s="272"/>
      <c r="HR24" s="272"/>
      <c r="HS24" s="272"/>
      <c r="HT24" s="272"/>
      <c r="HU24" s="272"/>
      <c r="HV24" s="272"/>
      <c r="HW24" s="272"/>
      <c r="HX24" s="272"/>
      <c r="HY24" s="272"/>
      <c r="HZ24" s="272"/>
      <c r="IA24" s="272"/>
      <c r="IB24" s="272"/>
      <c r="IC24" s="272"/>
      <c r="ID24" s="272"/>
      <c r="IE24" s="272"/>
      <c r="IF24" s="272"/>
      <c r="IG24" s="272"/>
      <c r="IH24" s="272"/>
      <c r="II24" s="272"/>
      <c r="IJ24" s="272"/>
      <c r="IK24" s="272"/>
      <c r="IL24" s="272"/>
      <c r="IM24" s="272"/>
      <c r="IN24" s="272"/>
      <c r="IO24" s="272"/>
      <c r="IP24" s="272"/>
      <c r="IQ24" s="272"/>
      <c r="IR24" s="272"/>
      <c r="IS24" s="272"/>
      <c r="IT24" s="272"/>
      <c r="IU24" s="272"/>
      <c r="IV24" s="272"/>
      <c r="IW24" s="272"/>
      <c r="IX24" s="272"/>
      <c r="IY24" s="272"/>
      <c r="IZ24" s="272"/>
      <c r="JA24" s="272"/>
      <c r="JB24" s="272"/>
      <c r="JC24" s="272"/>
      <c r="JD24" s="272"/>
      <c r="JE24" s="272"/>
      <c r="JF24" s="272"/>
      <c r="JG24" s="272"/>
      <c r="JH24" s="272"/>
      <c r="JI24" s="272"/>
      <c r="JJ24" s="272"/>
      <c r="JK24" s="272"/>
      <c r="JL24" s="272"/>
      <c r="JM24" s="272"/>
      <c r="JN24" s="272"/>
      <c r="JO24" s="272"/>
      <c r="JP24" s="272"/>
      <c r="JQ24" s="272"/>
      <c r="JR24" s="272"/>
      <c r="JS24" s="272"/>
      <c r="JT24" s="272"/>
      <c r="JU24" s="272"/>
      <c r="JV24" s="272"/>
      <c r="JW24" s="272"/>
      <c r="JX24" s="272"/>
      <c r="JY24" s="272"/>
      <c r="JZ24" s="272"/>
      <c r="KA24" s="272"/>
      <c r="KB24" s="272"/>
      <c r="KC24" s="272"/>
      <c r="KD24" s="272"/>
      <c r="KE24" s="272"/>
      <c r="KF24" s="272"/>
      <c r="KG24" s="272"/>
      <c r="KH24" s="272"/>
      <c r="KI24" s="272"/>
      <c r="KJ24" s="272"/>
      <c r="KK24" s="272"/>
      <c r="KL24" s="272"/>
      <c r="KM24" s="272"/>
      <c r="KN24" s="272"/>
      <c r="KO24" s="272"/>
      <c r="KP24" s="272"/>
      <c r="KQ24" s="272"/>
      <c r="KR24" s="272"/>
      <c r="KS24" s="272"/>
      <c r="KT24" s="272"/>
      <c r="KU24" s="272"/>
      <c r="KV24" s="272"/>
      <c r="KW24" s="272"/>
      <c r="KX24" s="272"/>
      <c r="KY24" s="272"/>
      <c r="KZ24" s="272"/>
      <c r="LA24" s="272"/>
      <c r="LB24" s="272"/>
      <c r="LC24" s="272"/>
      <c r="LD24" s="272"/>
      <c r="LE24" s="272"/>
      <c r="LF24" s="272"/>
      <c r="LG24" s="272"/>
      <c r="LH24" s="272"/>
      <c r="LI24" s="272"/>
      <c r="LJ24" s="272"/>
      <c r="LK24" s="272"/>
      <c r="LL24" s="272"/>
      <c r="LM24" s="272"/>
      <c r="LN24" s="272"/>
      <c r="LO24" s="272"/>
      <c r="LP24" s="272"/>
      <c r="LQ24" s="272"/>
      <c r="LR24" s="272"/>
      <c r="LS24" s="272"/>
      <c r="LT24" s="272"/>
      <c r="LU24" s="272"/>
      <c r="LV24" s="272"/>
      <c r="LW24" s="272"/>
      <c r="LX24" s="272"/>
      <c r="LY24" s="272"/>
      <c r="LZ24" s="272"/>
      <c r="MA24" s="272"/>
      <c r="MB24" s="272"/>
      <c r="MC24" s="272"/>
      <c r="MD24" s="272"/>
      <c r="ME24" s="272"/>
      <c r="MF24" s="272"/>
      <c r="MG24" s="272"/>
      <c r="MH24" s="272"/>
      <c r="MI24" s="272"/>
      <c r="MJ24" s="272"/>
      <c r="MK24" s="272"/>
      <c r="ML24" s="272"/>
      <c r="MM24" s="272"/>
      <c r="MN24" s="272"/>
      <c r="MO24" s="272"/>
      <c r="MP24" s="272"/>
      <c r="MQ24" s="272"/>
      <c r="MR24" s="272"/>
      <c r="MS24" s="272"/>
      <c r="MT24" s="272"/>
      <c r="MU24" s="272"/>
      <c r="MV24" s="272"/>
      <c r="MW24" s="272"/>
      <c r="MX24" s="272"/>
      <c r="MY24" s="272"/>
      <c r="MZ24" s="272"/>
      <c r="NA24" s="272"/>
      <c r="NB24" s="272"/>
      <c r="NC24" s="272"/>
      <c r="ND24" s="272"/>
      <c r="NE24" s="272"/>
      <c r="NF24" s="272"/>
      <c r="NG24" s="272"/>
      <c r="NH24" s="272"/>
      <c r="NI24" s="272"/>
      <c r="NJ24" s="272"/>
      <c r="NK24" s="272"/>
      <c r="NL24" s="272"/>
      <c r="NM24" s="272"/>
      <c r="NN24" s="272"/>
      <c r="NO24" s="272"/>
      <c r="NP24" s="272"/>
      <c r="NQ24" s="272"/>
      <c r="NR24" s="272"/>
      <c r="NS24" s="272"/>
      <c r="NT24" s="272"/>
      <c r="NU24" s="272"/>
      <c r="NV24" s="272"/>
      <c r="NW24" s="272"/>
      <c r="NX24" s="272"/>
      <c r="NY24" s="272"/>
      <c r="NZ24" s="272"/>
      <c r="OA24" s="272"/>
      <c r="OB24" s="272"/>
      <c r="OC24" s="272"/>
      <c r="OD24" s="272"/>
      <c r="OE24" s="272"/>
      <c r="OF24" s="272"/>
      <c r="OG24" s="272"/>
      <c r="OH24" s="272"/>
      <c r="OI24" s="272"/>
      <c r="OJ24" s="272"/>
      <c r="OK24" s="272"/>
      <c r="OL24" s="272"/>
      <c r="OM24" s="272"/>
      <c r="ON24" s="272"/>
      <c r="OO24" s="272"/>
      <c r="OP24" s="272"/>
      <c r="OQ24" s="272"/>
      <c r="OR24" s="272"/>
      <c r="OS24" s="272"/>
      <c r="OT24" s="272"/>
      <c r="OU24" s="272"/>
      <c r="OV24" s="272"/>
      <c r="OW24" s="272"/>
      <c r="OX24" s="272"/>
      <c r="OY24" s="272"/>
      <c r="OZ24" s="272"/>
      <c r="PA24" s="272"/>
      <c r="PB24" s="272"/>
      <c r="PC24" s="272"/>
      <c r="PD24" s="272"/>
      <c r="PE24" s="272"/>
      <c r="PF24" s="272"/>
      <c r="PG24" s="272"/>
      <c r="PH24" s="272"/>
      <c r="PI24" s="272"/>
      <c r="PJ24" s="272"/>
      <c r="PK24" s="272"/>
      <c r="PL24" s="272"/>
      <c r="PM24" s="272"/>
      <c r="PN24" s="272"/>
      <c r="PO24" s="272"/>
      <c r="PP24" s="272"/>
      <c r="PQ24" s="272"/>
      <c r="PR24" s="272"/>
      <c r="PS24" s="272"/>
      <c r="PT24" s="272"/>
      <c r="PU24" s="272"/>
      <c r="PV24" s="272"/>
      <c r="PW24" s="272"/>
      <c r="PX24" s="272"/>
      <c r="PY24" s="272"/>
      <c r="PZ24" s="272"/>
      <c r="QA24" s="272"/>
      <c r="QB24" s="272"/>
      <c r="QC24" s="272"/>
      <c r="QD24" s="272"/>
      <c r="QE24" s="272"/>
      <c r="QF24" s="272"/>
      <c r="QG24" s="272"/>
      <c r="QH24" s="272"/>
      <c r="QI24" s="272"/>
      <c r="QJ24" s="272"/>
      <c r="QK24" s="272"/>
      <c r="QL24" s="272"/>
      <c r="QM24" s="272"/>
      <c r="QN24" s="272"/>
      <c r="QO24" s="272"/>
      <c r="QP24" s="272"/>
      <c r="QQ24" s="272"/>
      <c r="QR24" s="272"/>
      <c r="QS24" s="272"/>
      <c r="QT24" s="272"/>
      <c r="QU24" s="272"/>
      <c r="QV24" s="272"/>
      <c r="QW24" s="272"/>
      <c r="QX24" s="272"/>
      <c r="QY24" s="272"/>
      <c r="QZ24" s="272"/>
      <c r="RA24" s="272"/>
      <c r="RB24" s="272"/>
      <c r="RC24" s="272"/>
      <c r="RD24" s="272"/>
      <c r="RE24" s="272"/>
      <c r="RF24" s="272"/>
      <c r="RG24" s="272"/>
      <c r="RH24" s="272"/>
      <c r="RI24" s="272"/>
      <c r="RJ24" s="272"/>
      <c r="RK24" s="272"/>
      <c r="RL24" s="272"/>
      <c r="RM24" s="272"/>
      <c r="RN24" s="272"/>
      <c r="RO24" s="272"/>
      <c r="RP24" s="272"/>
      <c r="RQ24" s="272"/>
      <c r="RR24" s="272"/>
      <c r="RS24" s="272"/>
      <c r="RT24" s="272"/>
      <c r="RU24" s="272"/>
      <c r="RV24" s="272"/>
      <c r="RW24" s="272"/>
      <c r="RX24" s="272"/>
      <c r="RY24" s="272"/>
      <c r="RZ24" s="272"/>
      <c r="SA24" s="272"/>
      <c r="SB24" s="272"/>
      <c r="SC24" s="272"/>
      <c r="SD24" s="272"/>
      <c r="SE24" s="272"/>
      <c r="SF24" s="272"/>
      <c r="SG24" s="272"/>
      <c r="SH24" s="272"/>
      <c r="SI24" s="272"/>
      <c r="SJ24" s="272"/>
      <c r="SK24" s="272"/>
      <c r="SL24" s="272"/>
      <c r="SM24" s="272"/>
      <c r="SN24" s="272"/>
      <c r="SO24" s="272"/>
      <c r="SP24" s="272"/>
      <c r="SQ24" s="272"/>
      <c r="SR24" s="272"/>
      <c r="SS24" s="272"/>
      <c r="ST24" s="272"/>
      <c r="SU24" s="272"/>
      <c r="SV24" s="272"/>
      <c r="SW24" s="272"/>
      <c r="SX24" s="272"/>
      <c r="SY24" s="272"/>
      <c r="SZ24" s="272"/>
      <c r="TA24" s="272"/>
      <c r="TB24" s="272"/>
      <c r="TC24" s="272"/>
      <c r="TD24" s="272"/>
      <c r="TE24" s="272"/>
      <c r="TF24" s="272"/>
      <c r="TG24" s="272"/>
      <c r="TH24" s="272"/>
      <c r="TI24" s="272"/>
      <c r="TJ24" s="272"/>
      <c r="TK24" s="272"/>
      <c r="TL24" s="272"/>
      <c r="TM24" s="272"/>
      <c r="TN24" s="272"/>
      <c r="TO24" s="272"/>
      <c r="TP24" s="272"/>
      <c r="TQ24" s="272"/>
      <c r="TR24" s="272"/>
      <c r="TS24" s="272"/>
      <c r="TT24" s="272"/>
      <c r="TU24" s="272"/>
      <c r="TV24" s="272"/>
      <c r="TW24" s="272"/>
      <c r="TX24" s="272"/>
      <c r="TY24" s="272"/>
      <c r="TZ24" s="272"/>
      <c r="UA24" s="272"/>
      <c r="UB24" s="272"/>
      <c r="UC24" s="272"/>
      <c r="UD24" s="272"/>
      <c r="UE24" s="272"/>
      <c r="UF24" s="272"/>
      <c r="UG24" s="272"/>
      <c r="UH24" s="272"/>
      <c r="UI24" s="272"/>
      <c r="UJ24" s="272"/>
      <c r="UK24" s="272"/>
      <c r="UL24" s="272"/>
      <c r="UM24" s="272"/>
      <c r="UN24" s="272"/>
      <c r="UO24" s="272"/>
      <c r="UP24" s="272"/>
      <c r="UQ24" s="272"/>
      <c r="UR24" s="272"/>
      <c r="US24" s="272"/>
      <c r="UT24" s="272"/>
      <c r="UU24" s="272"/>
      <c r="UV24" s="272"/>
      <c r="UW24" s="272"/>
      <c r="UX24" s="272"/>
      <c r="UY24" s="272"/>
      <c r="UZ24" s="272"/>
      <c r="VA24" s="272"/>
      <c r="VB24" s="272"/>
      <c r="VC24" s="272"/>
      <c r="VD24" s="272"/>
      <c r="VE24" s="272"/>
      <c r="VF24" s="272"/>
      <c r="VG24" s="272"/>
      <c r="VH24" s="272"/>
      <c r="VI24" s="272"/>
      <c r="VJ24" s="272"/>
      <c r="VK24" s="272"/>
      <c r="VL24" s="272"/>
      <c r="VM24" s="272"/>
      <c r="VN24" s="272"/>
      <c r="VO24" s="272"/>
      <c r="VP24" s="272"/>
      <c r="VQ24" s="272"/>
      <c r="VR24" s="272"/>
      <c r="VS24" s="272"/>
      <c r="VT24" s="272"/>
      <c r="VU24" s="272"/>
      <c r="VV24" s="272"/>
      <c r="VW24" s="272"/>
      <c r="VX24" s="272"/>
      <c r="VY24" s="272"/>
      <c r="VZ24" s="272"/>
      <c r="WA24" s="272"/>
      <c r="WB24" s="272"/>
      <c r="WC24" s="272"/>
      <c r="WD24" s="272"/>
      <c r="WE24" s="272"/>
      <c r="WF24" s="272"/>
      <c r="WG24" s="272"/>
      <c r="WH24" s="272"/>
      <c r="WI24" s="272"/>
      <c r="WJ24" s="272"/>
      <c r="WK24" s="272"/>
      <c r="WL24" s="272"/>
      <c r="WM24" s="272"/>
      <c r="WN24" s="272"/>
      <c r="WO24" s="272"/>
      <c r="WP24" s="272"/>
      <c r="WQ24" s="272"/>
      <c r="WR24" s="272"/>
      <c r="WS24" s="272"/>
      <c r="WT24" s="272"/>
      <c r="WU24" s="272"/>
      <c r="WV24" s="272"/>
      <c r="WW24" s="272"/>
      <c r="WX24" s="272"/>
      <c r="WY24" s="272"/>
      <c r="WZ24" s="272"/>
      <c r="XA24" s="272"/>
      <c r="XB24" s="272"/>
      <c r="XC24" s="272"/>
      <c r="XD24" s="272"/>
      <c r="XE24" s="272"/>
      <c r="XF24" s="272"/>
      <c r="XG24" s="272"/>
      <c r="XH24" s="272"/>
      <c r="XI24" s="272"/>
      <c r="XJ24" s="272"/>
      <c r="XK24" s="272"/>
      <c r="XL24" s="272"/>
      <c r="XM24" s="272"/>
      <c r="XN24" s="272"/>
      <c r="XO24" s="272"/>
      <c r="XP24" s="272"/>
      <c r="XQ24" s="272"/>
      <c r="XR24" s="272"/>
      <c r="XS24" s="272"/>
      <c r="XT24" s="272"/>
      <c r="XU24" s="272"/>
      <c r="XV24" s="272"/>
      <c r="XW24" s="272"/>
      <c r="XX24" s="272"/>
      <c r="XY24" s="272"/>
      <c r="XZ24" s="272"/>
      <c r="YA24" s="272"/>
      <c r="YB24" s="272"/>
      <c r="YC24" s="272"/>
      <c r="YD24" s="272"/>
      <c r="YE24" s="272"/>
      <c r="YF24" s="272"/>
      <c r="YG24" s="272"/>
      <c r="YH24" s="272"/>
      <c r="YI24" s="272"/>
      <c r="YJ24" s="272"/>
      <c r="YK24" s="272"/>
      <c r="YL24" s="272"/>
      <c r="YM24" s="272"/>
      <c r="YN24" s="272"/>
      <c r="YO24" s="272"/>
      <c r="YP24" s="272"/>
      <c r="YQ24" s="272"/>
      <c r="YR24" s="272"/>
      <c r="YS24" s="272"/>
      <c r="YT24" s="272"/>
      <c r="YU24" s="272"/>
      <c r="YV24" s="272"/>
      <c r="YW24" s="272"/>
      <c r="YX24" s="272"/>
      <c r="YY24" s="272"/>
      <c r="YZ24" s="272"/>
      <c r="ZA24" s="272"/>
      <c r="ZB24" s="272"/>
      <c r="ZC24" s="272"/>
      <c r="ZD24" s="272"/>
      <c r="ZE24" s="272"/>
      <c r="ZF24" s="272"/>
      <c r="ZG24" s="272"/>
      <c r="ZH24" s="272"/>
      <c r="ZI24" s="272"/>
      <c r="ZJ24" s="272"/>
      <c r="ZK24" s="272"/>
      <c r="ZL24" s="272"/>
      <c r="ZM24" s="272"/>
      <c r="ZN24" s="272"/>
      <c r="ZO24" s="272"/>
      <c r="ZP24" s="272"/>
      <c r="ZQ24" s="272"/>
      <c r="ZR24" s="272"/>
      <c r="ZS24" s="272"/>
      <c r="ZT24" s="272"/>
      <c r="ZU24" s="272"/>
      <c r="ZV24" s="272"/>
      <c r="ZW24" s="272"/>
      <c r="ZX24" s="272"/>
      <c r="ZY24" s="272"/>
      <c r="ZZ24" s="272"/>
      <c r="AAA24" s="272"/>
      <c r="AAB24" s="272"/>
      <c r="AAC24" s="272"/>
      <c r="AAD24" s="272"/>
      <c r="AAE24" s="272"/>
      <c r="AAF24" s="272"/>
      <c r="AAG24" s="272"/>
      <c r="AAH24" s="272"/>
      <c r="AAI24" s="272"/>
      <c r="AAJ24" s="272"/>
      <c r="AAK24" s="272"/>
      <c r="AAL24" s="272"/>
      <c r="AAM24" s="272"/>
      <c r="AAN24" s="272"/>
      <c r="AAO24" s="272"/>
      <c r="AAP24" s="272"/>
      <c r="AAQ24" s="272"/>
      <c r="AAR24" s="272"/>
      <c r="AAS24" s="272"/>
      <c r="AAT24" s="272"/>
      <c r="AAU24" s="272"/>
      <c r="AAV24" s="272"/>
      <c r="AAW24" s="272"/>
      <c r="AAX24" s="272"/>
      <c r="AAY24" s="272"/>
      <c r="AAZ24" s="272"/>
      <c r="ABA24" s="272"/>
      <c r="ABB24" s="272"/>
      <c r="ABC24" s="272"/>
      <c r="ABD24" s="272"/>
      <c r="ABE24" s="272"/>
      <c r="ABF24" s="272"/>
      <c r="ABG24" s="272"/>
    </row>
    <row r="25" spans="1:735" s="19" customFormat="1" ht="15">
      <c r="A25" s="44"/>
      <c r="B25" s="72"/>
      <c r="C25" s="24" t="s">
        <v>54</v>
      </c>
      <c r="D25" s="505"/>
      <c r="E25" s="509"/>
      <c r="F25" s="506"/>
      <c r="G25" s="507"/>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c r="DJ25" s="272"/>
      <c r="DK25" s="272"/>
      <c r="DL25" s="272"/>
      <c r="DM25" s="272"/>
      <c r="DN25" s="272"/>
      <c r="DO25" s="272"/>
      <c r="DP25" s="272"/>
      <c r="DQ25" s="272"/>
      <c r="DR25" s="272"/>
      <c r="DS25" s="272"/>
      <c r="DT25" s="272"/>
      <c r="DU25" s="272"/>
      <c r="DV25" s="272"/>
      <c r="DW25" s="272"/>
      <c r="DX25" s="272"/>
      <c r="DY25" s="272"/>
      <c r="DZ25" s="272"/>
      <c r="EA25" s="272"/>
      <c r="EB25" s="272"/>
      <c r="EC25" s="272"/>
      <c r="ED25" s="272"/>
      <c r="EE25" s="272"/>
      <c r="EF25" s="272"/>
      <c r="EG25" s="272"/>
      <c r="EH25" s="272"/>
      <c r="EI25" s="272"/>
      <c r="EJ25" s="272"/>
      <c r="EK25" s="272"/>
      <c r="EL25" s="272"/>
      <c r="EM25" s="272"/>
      <c r="EN25" s="272"/>
      <c r="EO25" s="272"/>
      <c r="EP25" s="272"/>
      <c r="EQ25" s="272"/>
      <c r="ER25" s="272"/>
      <c r="ES25" s="272"/>
      <c r="ET25" s="272"/>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c r="FT25" s="272"/>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c r="IO25" s="272"/>
      <c r="IP25" s="272"/>
      <c r="IQ25" s="272"/>
      <c r="IR25" s="272"/>
      <c r="IS25" s="272"/>
      <c r="IT25" s="272"/>
      <c r="IU25" s="272"/>
      <c r="IV25" s="272"/>
      <c r="IW25" s="272"/>
      <c r="IX25" s="272"/>
      <c r="IY25" s="272"/>
      <c r="IZ25" s="272"/>
      <c r="JA25" s="272"/>
      <c r="JB25" s="272"/>
      <c r="JC25" s="272"/>
      <c r="JD25" s="272"/>
      <c r="JE25" s="272"/>
      <c r="JF25" s="272"/>
      <c r="JG25" s="272"/>
      <c r="JH25" s="272"/>
      <c r="JI25" s="272"/>
      <c r="JJ25" s="272"/>
      <c r="JK25" s="272"/>
      <c r="JL25" s="272"/>
      <c r="JM25" s="272"/>
      <c r="JN25" s="272"/>
      <c r="JO25" s="272"/>
      <c r="JP25" s="272"/>
      <c r="JQ25" s="272"/>
      <c r="JR25" s="272"/>
      <c r="JS25" s="272"/>
      <c r="JT25" s="272"/>
      <c r="JU25" s="272"/>
      <c r="JV25" s="272"/>
      <c r="JW25" s="272"/>
      <c r="JX25" s="272"/>
      <c r="JY25" s="272"/>
      <c r="JZ25" s="272"/>
      <c r="KA25" s="272"/>
      <c r="KB25" s="272"/>
      <c r="KC25" s="272"/>
      <c r="KD25" s="272"/>
      <c r="KE25" s="272"/>
      <c r="KF25" s="272"/>
      <c r="KG25" s="272"/>
      <c r="KH25" s="272"/>
      <c r="KI25" s="272"/>
      <c r="KJ25" s="272"/>
      <c r="KK25" s="272"/>
      <c r="KL25" s="272"/>
      <c r="KM25" s="272"/>
      <c r="KN25" s="272"/>
      <c r="KO25" s="272"/>
      <c r="KP25" s="272"/>
      <c r="KQ25" s="272"/>
      <c r="KR25" s="272"/>
      <c r="KS25" s="272"/>
      <c r="KT25" s="272"/>
      <c r="KU25" s="272"/>
      <c r="KV25" s="272"/>
      <c r="KW25" s="272"/>
      <c r="KX25" s="272"/>
      <c r="KY25" s="272"/>
      <c r="KZ25" s="272"/>
      <c r="LA25" s="272"/>
      <c r="LB25" s="272"/>
      <c r="LC25" s="272"/>
      <c r="LD25" s="272"/>
      <c r="LE25" s="272"/>
      <c r="LF25" s="272"/>
      <c r="LG25" s="272"/>
      <c r="LH25" s="272"/>
      <c r="LI25" s="272"/>
      <c r="LJ25" s="272"/>
      <c r="LK25" s="272"/>
      <c r="LL25" s="272"/>
      <c r="LM25" s="272"/>
      <c r="LN25" s="272"/>
      <c r="LO25" s="272"/>
      <c r="LP25" s="272"/>
      <c r="LQ25" s="272"/>
      <c r="LR25" s="272"/>
      <c r="LS25" s="272"/>
      <c r="LT25" s="272"/>
      <c r="LU25" s="272"/>
      <c r="LV25" s="272"/>
      <c r="LW25" s="272"/>
      <c r="LX25" s="272"/>
      <c r="LY25" s="272"/>
      <c r="LZ25" s="272"/>
      <c r="MA25" s="272"/>
      <c r="MB25" s="272"/>
      <c r="MC25" s="272"/>
      <c r="MD25" s="272"/>
      <c r="ME25" s="272"/>
      <c r="MF25" s="272"/>
      <c r="MG25" s="272"/>
      <c r="MH25" s="272"/>
      <c r="MI25" s="272"/>
      <c r="MJ25" s="272"/>
      <c r="MK25" s="272"/>
      <c r="ML25" s="272"/>
      <c r="MM25" s="272"/>
      <c r="MN25" s="272"/>
      <c r="MO25" s="272"/>
      <c r="MP25" s="272"/>
      <c r="MQ25" s="272"/>
      <c r="MR25" s="272"/>
      <c r="MS25" s="272"/>
      <c r="MT25" s="272"/>
      <c r="MU25" s="272"/>
      <c r="MV25" s="272"/>
      <c r="MW25" s="272"/>
      <c r="MX25" s="272"/>
      <c r="MY25" s="272"/>
      <c r="MZ25" s="272"/>
      <c r="NA25" s="272"/>
      <c r="NB25" s="272"/>
      <c r="NC25" s="272"/>
      <c r="ND25" s="272"/>
      <c r="NE25" s="272"/>
      <c r="NF25" s="272"/>
      <c r="NG25" s="272"/>
      <c r="NH25" s="272"/>
      <c r="NI25" s="272"/>
      <c r="NJ25" s="272"/>
      <c r="NK25" s="272"/>
      <c r="NL25" s="272"/>
      <c r="NM25" s="272"/>
      <c r="NN25" s="272"/>
      <c r="NO25" s="272"/>
      <c r="NP25" s="272"/>
      <c r="NQ25" s="272"/>
      <c r="NR25" s="272"/>
      <c r="NS25" s="272"/>
      <c r="NT25" s="272"/>
      <c r="NU25" s="272"/>
      <c r="NV25" s="272"/>
      <c r="NW25" s="272"/>
      <c r="NX25" s="272"/>
      <c r="NY25" s="272"/>
      <c r="NZ25" s="272"/>
      <c r="OA25" s="272"/>
      <c r="OB25" s="272"/>
      <c r="OC25" s="272"/>
      <c r="OD25" s="272"/>
      <c r="OE25" s="272"/>
      <c r="OF25" s="272"/>
      <c r="OG25" s="272"/>
      <c r="OH25" s="272"/>
      <c r="OI25" s="272"/>
      <c r="OJ25" s="272"/>
      <c r="OK25" s="272"/>
      <c r="OL25" s="272"/>
      <c r="OM25" s="272"/>
      <c r="ON25" s="272"/>
      <c r="OO25" s="272"/>
      <c r="OP25" s="272"/>
      <c r="OQ25" s="272"/>
      <c r="OR25" s="272"/>
      <c r="OS25" s="272"/>
      <c r="OT25" s="272"/>
      <c r="OU25" s="272"/>
      <c r="OV25" s="272"/>
      <c r="OW25" s="272"/>
      <c r="OX25" s="272"/>
      <c r="OY25" s="272"/>
      <c r="OZ25" s="272"/>
      <c r="PA25" s="272"/>
      <c r="PB25" s="272"/>
      <c r="PC25" s="272"/>
      <c r="PD25" s="272"/>
      <c r="PE25" s="272"/>
      <c r="PF25" s="272"/>
      <c r="PG25" s="272"/>
      <c r="PH25" s="272"/>
      <c r="PI25" s="272"/>
      <c r="PJ25" s="272"/>
      <c r="PK25" s="272"/>
      <c r="PL25" s="272"/>
      <c r="PM25" s="272"/>
      <c r="PN25" s="272"/>
      <c r="PO25" s="272"/>
      <c r="PP25" s="272"/>
      <c r="PQ25" s="272"/>
      <c r="PR25" s="272"/>
      <c r="PS25" s="272"/>
      <c r="PT25" s="272"/>
      <c r="PU25" s="272"/>
      <c r="PV25" s="272"/>
      <c r="PW25" s="272"/>
      <c r="PX25" s="272"/>
      <c r="PY25" s="272"/>
      <c r="PZ25" s="272"/>
      <c r="QA25" s="272"/>
      <c r="QB25" s="272"/>
      <c r="QC25" s="272"/>
      <c r="QD25" s="272"/>
      <c r="QE25" s="272"/>
      <c r="QF25" s="272"/>
      <c r="QG25" s="272"/>
      <c r="QH25" s="272"/>
      <c r="QI25" s="272"/>
      <c r="QJ25" s="272"/>
      <c r="QK25" s="272"/>
      <c r="QL25" s="272"/>
      <c r="QM25" s="272"/>
      <c r="QN25" s="272"/>
      <c r="QO25" s="272"/>
      <c r="QP25" s="272"/>
      <c r="QQ25" s="272"/>
      <c r="QR25" s="272"/>
      <c r="QS25" s="272"/>
      <c r="QT25" s="272"/>
      <c r="QU25" s="272"/>
      <c r="QV25" s="272"/>
      <c r="QW25" s="272"/>
      <c r="QX25" s="272"/>
      <c r="QY25" s="272"/>
      <c r="QZ25" s="272"/>
      <c r="RA25" s="272"/>
      <c r="RB25" s="272"/>
      <c r="RC25" s="272"/>
      <c r="RD25" s="272"/>
      <c r="RE25" s="272"/>
      <c r="RF25" s="272"/>
      <c r="RG25" s="272"/>
      <c r="RH25" s="272"/>
      <c r="RI25" s="272"/>
      <c r="RJ25" s="272"/>
      <c r="RK25" s="272"/>
      <c r="RL25" s="272"/>
      <c r="RM25" s="272"/>
      <c r="RN25" s="272"/>
      <c r="RO25" s="272"/>
      <c r="RP25" s="272"/>
      <c r="RQ25" s="272"/>
      <c r="RR25" s="272"/>
      <c r="RS25" s="272"/>
      <c r="RT25" s="272"/>
      <c r="RU25" s="272"/>
      <c r="RV25" s="272"/>
      <c r="RW25" s="272"/>
      <c r="RX25" s="272"/>
      <c r="RY25" s="272"/>
      <c r="RZ25" s="272"/>
      <c r="SA25" s="272"/>
      <c r="SB25" s="272"/>
      <c r="SC25" s="272"/>
      <c r="SD25" s="272"/>
      <c r="SE25" s="272"/>
      <c r="SF25" s="272"/>
      <c r="SG25" s="272"/>
      <c r="SH25" s="272"/>
      <c r="SI25" s="272"/>
      <c r="SJ25" s="272"/>
      <c r="SK25" s="272"/>
      <c r="SL25" s="272"/>
      <c r="SM25" s="272"/>
      <c r="SN25" s="272"/>
      <c r="SO25" s="272"/>
      <c r="SP25" s="272"/>
      <c r="SQ25" s="272"/>
      <c r="SR25" s="272"/>
      <c r="SS25" s="272"/>
      <c r="ST25" s="272"/>
      <c r="SU25" s="272"/>
      <c r="SV25" s="272"/>
      <c r="SW25" s="272"/>
      <c r="SX25" s="272"/>
      <c r="SY25" s="272"/>
      <c r="SZ25" s="272"/>
      <c r="TA25" s="272"/>
      <c r="TB25" s="272"/>
      <c r="TC25" s="272"/>
      <c r="TD25" s="272"/>
      <c r="TE25" s="272"/>
      <c r="TF25" s="272"/>
      <c r="TG25" s="272"/>
      <c r="TH25" s="272"/>
      <c r="TI25" s="272"/>
      <c r="TJ25" s="272"/>
      <c r="TK25" s="272"/>
      <c r="TL25" s="272"/>
      <c r="TM25" s="272"/>
      <c r="TN25" s="272"/>
      <c r="TO25" s="272"/>
      <c r="TP25" s="272"/>
      <c r="TQ25" s="272"/>
      <c r="TR25" s="272"/>
      <c r="TS25" s="272"/>
      <c r="TT25" s="272"/>
      <c r="TU25" s="272"/>
      <c r="TV25" s="272"/>
      <c r="TW25" s="272"/>
      <c r="TX25" s="272"/>
      <c r="TY25" s="272"/>
      <c r="TZ25" s="272"/>
      <c r="UA25" s="272"/>
      <c r="UB25" s="272"/>
      <c r="UC25" s="272"/>
      <c r="UD25" s="272"/>
      <c r="UE25" s="272"/>
      <c r="UF25" s="272"/>
      <c r="UG25" s="272"/>
      <c r="UH25" s="272"/>
      <c r="UI25" s="272"/>
      <c r="UJ25" s="272"/>
      <c r="UK25" s="272"/>
      <c r="UL25" s="272"/>
      <c r="UM25" s="272"/>
      <c r="UN25" s="272"/>
      <c r="UO25" s="272"/>
      <c r="UP25" s="272"/>
      <c r="UQ25" s="272"/>
      <c r="UR25" s="272"/>
      <c r="US25" s="272"/>
      <c r="UT25" s="272"/>
      <c r="UU25" s="272"/>
      <c r="UV25" s="272"/>
      <c r="UW25" s="272"/>
      <c r="UX25" s="272"/>
      <c r="UY25" s="272"/>
      <c r="UZ25" s="272"/>
      <c r="VA25" s="272"/>
      <c r="VB25" s="272"/>
      <c r="VC25" s="272"/>
      <c r="VD25" s="272"/>
      <c r="VE25" s="272"/>
      <c r="VF25" s="272"/>
      <c r="VG25" s="272"/>
      <c r="VH25" s="272"/>
      <c r="VI25" s="272"/>
      <c r="VJ25" s="272"/>
      <c r="VK25" s="272"/>
      <c r="VL25" s="272"/>
      <c r="VM25" s="272"/>
      <c r="VN25" s="272"/>
      <c r="VO25" s="272"/>
      <c r="VP25" s="272"/>
      <c r="VQ25" s="272"/>
      <c r="VR25" s="272"/>
      <c r="VS25" s="272"/>
      <c r="VT25" s="272"/>
      <c r="VU25" s="272"/>
      <c r="VV25" s="272"/>
      <c r="VW25" s="272"/>
      <c r="VX25" s="272"/>
      <c r="VY25" s="272"/>
      <c r="VZ25" s="272"/>
      <c r="WA25" s="272"/>
      <c r="WB25" s="272"/>
      <c r="WC25" s="272"/>
      <c r="WD25" s="272"/>
      <c r="WE25" s="272"/>
      <c r="WF25" s="272"/>
      <c r="WG25" s="272"/>
      <c r="WH25" s="272"/>
      <c r="WI25" s="272"/>
      <c r="WJ25" s="272"/>
      <c r="WK25" s="272"/>
      <c r="WL25" s="272"/>
      <c r="WM25" s="272"/>
      <c r="WN25" s="272"/>
      <c r="WO25" s="272"/>
      <c r="WP25" s="272"/>
      <c r="WQ25" s="272"/>
      <c r="WR25" s="272"/>
      <c r="WS25" s="272"/>
      <c r="WT25" s="272"/>
      <c r="WU25" s="272"/>
      <c r="WV25" s="272"/>
      <c r="WW25" s="272"/>
      <c r="WX25" s="272"/>
      <c r="WY25" s="272"/>
      <c r="WZ25" s="272"/>
      <c r="XA25" s="272"/>
      <c r="XB25" s="272"/>
      <c r="XC25" s="272"/>
      <c r="XD25" s="272"/>
      <c r="XE25" s="272"/>
      <c r="XF25" s="272"/>
      <c r="XG25" s="272"/>
      <c r="XH25" s="272"/>
      <c r="XI25" s="272"/>
      <c r="XJ25" s="272"/>
      <c r="XK25" s="272"/>
      <c r="XL25" s="272"/>
      <c r="XM25" s="272"/>
      <c r="XN25" s="272"/>
      <c r="XO25" s="272"/>
      <c r="XP25" s="272"/>
      <c r="XQ25" s="272"/>
      <c r="XR25" s="272"/>
      <c r="XS25" s="272"/>
      <c r="XT25" s="272"/>
      <c r="XU25" s="272"/>
      <c r="XV25" s="272"/>
      <c r="XW25" s="272"/>
      <c r="XX25" s="272"/>
      <c r="XY25" s="272"/>
      <c r="XZ25" s="272"/>
      <c r="YA25" s="272"/>
      <c r="YB25" s="272"/>
      <c r="YC25" s="272"/>
      <c r="YD25" s="272"/>
      <c r="YE25" s="272"/>
      <c r="YF25" s="272"/>
      <c r="YG25" s="272"/>
      <c r="YH25" s="272"/>
      <c r="YI25" s="272"/>
      <c r="YJ25" s="272"/>
      <c r="YK25" s="272"/>
      <c r="YL25" s="272"/>
      <c r="YM25" s="272"/>
      <c r="YN25" s="272"/>
      <c r="YO25" s="272"/>
      <c r="YP25" s="272"/>
      <c r="YQ25" s="272"/>
      <c r="YR25" s="272"/>
      <c r="YS25" s="272"/>
      <c r="YT25" s="272"/>
      <c r="YU25" s="272"/>
      <c r="YV25" s="272"/>
      <c r="YW25" s="272"/>
      <c r="YX25" s="272"/>
      <c r="YY25" s="272"/>
      <c r="YZ25" s="272"/>
      <c r="ZA25" s="272"/>
      <c r="ZB25" s="272"/>
      <c r="ZC25" s="272"/>
      <c r="ZD25" s="272"/>
      <c r="ZE25" s="272"/>
      <c r="ZF25" s="272"/>
      <c r="ZG25" s="272"/>
      <c r="ZH25" s="272"/>
      <c r="ZI25" s="272"/>
      <c r="ZJ25" s="272"/>
      <c r="ZK25" s="272"/>
      <c r="ZL25" s="272"/>
      <c r="ZM25" s="272"/>
      <c r="ZN25" s="272"/>
      <c r="ZO25" s="272"/>
      <c r="ZP25" s="272"/>
      <c r="ZQ25" s="272"/>
      <c r="ZR25" s="272"/>
      <c r="ZS25" s="272"/>
      <c r="ZT25" s="272"/>
      <c r="ZU25" s="272"/>
      <c r="ZV25" s="272"/>
      <c r="ZW25" s="272"/>
      <c r="ZX25" s="272"/>
      <c r="ZY25" s="272"/>
      <c r="ZZ25" s="272"/>
      <c r="AAA25" s="272"/>
      <c r="AAB25" s="272"/>
      <c r="AAC25" s="272"/>
      <c r="AAD25" s="272"/>
      <c r="AAE25" s="272"/>
      <c r="AAF25" s="272"/>
      <c r="AAG25" s="272"/>
      <c r="AAH25" s="272"/>
      <c r="AAI25" s="272"/>
      <c r="AAJ25" s="272"/>
      <c r="AAK25" s="272"/>
      <c r="AAL25" s="272"/>
      <c r="AAM25" s="272"/>
      <c r="AAN25" s="272"/>
      <c r="AAO25" s="272"/>
      <c r="AAP25" s="272"/>
      <c r="AAQ25" s="272"/>
      <c r="AAR25" s="272"/>
      <c r="AAS25" s="272"/>
      <c r="AAT25" s="272"/>
      <c r="AAU25" s="272"/>
      <c r="AAV25" s="272"/>
      <c r="AAW25" s="272"/>
      <c r="AAX25" s="272"/>
      <c r="AAY25" s="272"/>
      <c r="AAZ25" s="272"/>
      <c r="ABA25" s="272"/>
      <c r="ABB25" s="272"/>
      <c r="ABC25" s="272"/>
      <c r="ABD25" s="272"/>
      <c r="ABE25" s="272"/>
      <c r="ABF25" s="272"/>
      <c r="ABG25" s="272"/>
    </row>
    <row r="26" spans="1:735" s="19" customFormat="1" ht="12.75" customHeight="1">
      <c r="A26" s="44"/>
      <c r="B26" s="596" t="s">
        <v>23</v>
      </c>
      <c r="C26" s="596" t="s">
        <v>52</v>
      </c>
      <c r="D26" s="599"/>
      <c r="E26" s="621"/>
      <c r="F26" s="624"/>
      <c r="G26" s="637"/>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c r="FT26" s="272"/>
      <c r="FU26" s="272"/>
      <c r="FV26" s="272"/>
      <c r="FW26" s="272"/>
      <c r="FX26" s="272"/>
      <c r="FY26" s="272"/>
      <c r="FZ26" s="272"/>
      <c r="GA26" s="272"/>
      <c r="GB26" s="272"/>
      <c r="GC26" s="272"/>
      <c r="GD26" s="272"/>
      <c r="GE26" s="272"/>
      <c r="GF26" s="272"/>
      <c r="GG26" s="272"/>
      <c r="GH26" s="272"/>
      <c r="GI26" s="272"/>
      <c r="GJ26" s="272"/>
      <c r="GK26" s="272"/>
      <c r="GL26" s="272"/>
      <c r="GM26" s="272"/>
      <c r="GN26" s="272"/>
      <c r="GO26" s="272"/>
      <c r="GP26" s="272"/>
      <c r="GQ26" s="272"/>
      <c r="GR26" s="272"/>
      <c r="GS26" s="272"/>
      <c r="GT26" s="272"/>
      <c r="GU26" s="272"/>
      <c r="GV26" s="272"/>
      <c r="GW26" s="272"/>
      <c r="GX26" s="272"/>
      <c r="GY26" s="272"/>
      <c r="GZ26" s="272"/>
      <c r="HA26" s="272"/>
      <c r="HB26" s="272"/>
      <c r="HC26" s="272"/>
      <c r="HD26" s="272"/>
      <c r="HE26" s="272"/>
      <c r="HF26" s="272"/>
      <c r="HG26" s="272"/>
      <c r="HH26" s="272"/>
      <c r="HI26" s="272"/>
      <c r="HJ26" s="272"/>
      <c r="HK26" s="272"/>
      <c r="HL26" s="272"/>
      <c r="HM26" s="272"/>
      <c r="HN26" s="272"/>
      <c r="HO26" s="272"/>
      <c r="HP26" s="272"/>
      <c r="HQ26" s="272"/>
      <c r="HR26" s="272"/>
      <c r="HS26" s="272"/>
      <c r="HT26" s="272"/>
      <c r="HU26" s="272"/>
      <c r="HV26" s="272"/>
      <c r="HW26" s="272"/>
      <c r="HX26" s="272"/>
      <c r="HY26" s="272"/>
      <c r="HZ26" s="272"/>
      <c r="IA26" s="272"/>
      <c r="IB26" s="272"/>
      <c r="IC26" s="272"/>
      <c r="ID26" s="272"/>
      <c r="IE26" s="272"/>
      <c r="IF26" s="272"/>
      <c r="IG26" s="272"/>
      <c r="IH26" s="272"/>
      <c r="II26" s="272"/>
      <c r="IJ26" s="272"/>
      <c r="IK26" s="272"/>
      <c r="IL26" s="272"/>
      <c r="IM26" s="272"/>
      <c r="IN26" s="272"/>
      <c r="IO26" s="272"/>
      <c r="IP26" s="272"/>
      <c r="IQ26" s="272"/>
      <c r="IR26" s="272"/>
      <c r="IS26" s="272"/>
      <c r="IT26" s="272"/>
      <c r="IU26" s="272"/>
      <c r="IV26" s="272"/>
      <c r="IW26" s="272"/>
      <c r="IX26" s="272"/>
      <c r="IY26" s="272"/>
      <c r="IZ26" s="272"/>
      <c r="JA26" s="272"/>
      <c r="JB26" s="272"/>
      <c r="JC26" s="272"/>
      <c r="JD26" s="272"/>
      <c r="JE26" s="272"/>
      <c r="JF26" s="272"/>
      <c r="JG26" s="272"/>
      <c r="JH26" s="272"/>
      <c r="JI26" s="272"/>
      <c r="JJ26" s="272"/>
      <c r="JK26" s="272"/>
      <c r="JL26" s="272"/>
      <c r="JM26" s="272"/>
      <c r="JN26" s="272"/>
      <c r="JO26" s="272"/>
      <c r="JP26" s="272"/>
      <c r="JQ26" s="272"/>
      <c r="JR26" s="272"/>
      <c r="JS26" s="272"/>
      <c r="JT26" s="272"/>
      <c r="JU26" s="272"/>
      <c r="JV26" s="272"/>
      <c r="JW26" s="272"/>
      <c r="JX26" s="272"/>
      <c r="JY26" s="272"/>
      <c r="JZ26" s="272"/>
      <c r="KA26" s="272"/>
      <c r="KB26" s="272"/>
      <c r="KC26" s="272"/>
      <c r="KD26" s="272"/>
      <c r="KE26" s="272"/>
      <c r="KF26" s="272"/>
      <c r="KG26" s="272"/>
      <c r="KH26" s="272"/>
      <c r="KI26" s="272"/>
      <c r="KJ26" s="272"/>
      <c r="KK26" s="272"/>
      <c r="KL26" s="272"/>
      <c r="KM26" s="272"/>
      <c r="KN26" s="272"/>
      <c r="KO26" s="272"/>
      <c r="KP26" s="272"/>
      <c r="KQ26" s="272"/>
      <c r="KR26" s="272"/>
      <c r="KS26" s="272"/>
      <c r="KT26" s="272"/>
      <c r="KU26" s="272"/>
      <c r="KV26" s="272"/>
      <c r="KW26" s="272"/>
      <c r="KX26" s="272"/>
      <c r="KY26" s="272"/>
      <c r="KZ26" s="272"/>
      <c r="LA26" s="272"/>
      <c r="LB26" s="272"/>
      <c r="LC26" s="272"/>
      <c r="LD26" s="272"/>
      <c r="LE26" s="272"/>
      <c r="LF26" s="272"/>
      <c r="LG26" s="272"/>
      <c r="LH26" s="272"/>
      <c r="LI26" s="272"/>
      <c r="LJ26" s="272"/>
      <c r="LK26" s="272"/>
      <c r="LL26" s="272"/>
      <c r="LM26" s="272"/>
      <c r="LN26" s="272"/>
      <c r="LO26" s="272"/>
      <c r="LP26" s="272"/>
      <c r="LQ26" s="272"/>
      <c r="LR26" s="272"/>
      <c r="LS26" s="272"/>
      <c r="LT26" s="272"/>
      <c r="LU26" s="272"/>
      <c r="LV26" s="272"/>
      <c r="LW26" s="272"/>
      <c r="LX26" s="272"/>
      <c r="LY26" s="272"/>
      <c r="LZ26" s="272"/>
      <c r="MA26" s="272"/>
      <c r="MB26" s="272"/>
      <c r="MC26" s="272"/>
      <c r="MD26" s="272"/>
      <c r="ME26" s="272"/>
      <c r="MF26" s="272"/>
      <c r="MG26" s="272"/>
      <c r="MH26" s="272"/>
      <c r="MI26" s="272"/>
      <c r="MJ26" s="272"/>
      <c r="MK26" s="272"/>
      <c r="ML26" s="272"/>
      <c r="MM26" s="272"/>
      <c r="MN26" s="272"/>
      <c r="MO26" s="272"/>
      <c r="MP26" s="272"/>
      <c r="MQ26" s="272"/>
      <c r="MR26" s="272"/>
      <c r="MS26" s="272"/>
      <c r="MT26" s="272"/>
      <c r="MU26" s="272"/>
      <c r="MV26" s="272"/>
      <c r="MW26" s="272"/>
      <c r="MX26" s="272"/>
      <c r="MY26" s="272"/>
      <c r="MZ26" s="272"/>
      <c r="NA26" s="272"/>
      <c r="NB26" s="272"/>
      <c r="NC26" s="272"/>
      <c r="ND26" s="272"/>
      <c r="NE26" s="272"/>
      <c r="NF26" s="272"/>
      <c r="NG26" s="272"/>
      <c r="NH26" s="272"/>
      <c r="NI26" s="272"/>
      <c r="NJ26" s="272"/>
      <c r="NK26" s="272"/>
      <c r="NL26" s="272"/>
      <c r="NM26" s="272"/>
      <c r="NN26" s="272"/>
      <c r="NO26" s="272"/>
      <c r="NP26" s="272"/>
      <c r="NQ26" s="272"/>
      <c r="NR26" s="272"/>
      <c r="NS26" s="272"/>
      <c r="NT26" s="272"/>
      <c r="NU26" s="272"/>
      <c r="NV26" s="272"/>
      <c r="NW26" s="272"/>
      <c r="NX26" s="272"/>
      <c r="NY26" s="272"/>
      <c r="NZ26" s="272"/>
      <c r="OA26" s="272"/>
      <c r="OB26" s="272"/>
      <c r="OC26" s="272"/>
      <c r="OD26" s="272"/>
      <c r="OE26" s="272"/>
      <c r="OF26" s="272"/>
      <c r="OG26" s="272"/>
      <c r="OH26" s="272"/>
      <c r="OI26" s="272"/>
      <c r="OJ26" s="272"/>
      <c r="OK26" s="272"/>
      <c r="OL26" s="272"/>
      <c r="OM26" s="272"/>
      <c r="ON26" s="272"/>
      <c r="OO26" s="272"/>
      <c r="OP26" s="272"/>
      <c r="OQ26" s="272"/>
      <c r="OR26" s="272"/>
      <c r="OS26" s="272"/>
      <c r="OT26" s="272"/>
      <c r="OU26" s="272"/>
      <c r="OV26" s="272"/>
      <c r="OW26" s="272"/>
      <c r="OX26" s="272"/>
      <c r="OY26" s="272"/>
      <c r="OZ26" s="272"/>
      <c r="PA26" s="272"/>
      <c r="PB26" s="272"/>
      <c r="PC26" s="272"/>
      <c r="PD26" s="272"/>
      <c r="PE26" s="272"/>
      <c r="PF26" s="272"/>
      <c r="PG26" s="272"/>
      <c r="PH26" s="272"/>
      <c r="PI26" s="272"/>
      <c r="PJ26" s="272"/>
      <c r="PK26" s="272"/>
      <c r="PL26" s="272"/>
      <c r="PM26" s="272"/>
      <c r="PN26" s="272"/>
      <c r="PO26" s="272"/>
      <c r="PP26" s="272"/>
      <c r="PQ26" s="272"/>
      <c r="PR26" s="272"/>
      <c r="PS26" s="272"/>
      <c r="PT26" s="272"/>
      <c r="PU26" s="272"/>
      <c r="PV26" s="272"/>
      <c r="PW26" s="272"/>
      <c r="PX26" s="272"/>
      <c r="PY26" s="272"/>
      <c r="PZ26" s="272"/>
      <c r="QA26" s="272"/>
      <c r="QB26" s="272"/>
      <c r="QC26" s="272"/>
      <c r="QD26" s="272"/>
      <c r="QE26" s="272"/>
      <c r="QF26" s="272"/>
      <c r="QG26" s="272"/>
      <c r="QH26" s="272"/>
      <c r="QI26" s="272"/>
      <c r="QJ26" s="272"/>
      <c r="QK26" s="272"/>
      <c r="QL26" s="272"/>
      <c r="QM26" s="272"/>
      <c r="QN26" s="272"/>
      <c r="QO26" s="272"/>
      <c r="QP26" s="272"/>
      <c r="QQ26" s="272"/>
      <c r="QR26" s="272"/>
      <c r="QS26" s="272"/>
      <c r="QT26" s="272"/>
      <c r="QU26" s="272"/>
      <c r="QV26" s="272"/>
      <c r="QW26" s="272"/>
      <c r="QX26" s="272"/>
      <c r="QY26" s="272"/>
      <c r="QZ26" s="272"/>
      <c r="RA26" s="272"/>
      <c r="RB26" s="272"/>
      <c r="RC26" s="272"/>
      <c r="RD26" s="272"/>
      <c r="RE26" s="272"/>
      <c r="RF26" s="272"/>
      <c r="RG26" s="272"/>
      <c r="RH26" s="272"/>
      <c r="RI26" s="272"/>
      <c r="RJ26" s="272"/>
      <c r="RK26" s="272"/>
      <c r="RL26" s="272"/>
      <c r="RM26" s="272"/>
      <c r="RN26" s="272"/>
      <c r="RO26" s="272"/>
      <c r="RP26" s="272"/>
      <c r="RQ26" s="272"/>
      <c r="RR26" s="272"/>
      <c r="RS26" s="272"/>
      <c r="RT26" s="272"/>
      <c r="RU26" s="272"/>
      <c r="RV26" s="272"/>
      <c r="RW26" s="272"/>
      <c r="RX26" s="272"/>
      <c r="RY26" s="272"/>
      <c r="RZ26" s="272"/>
      <c r="SA26" s="272"/>
      <c r="SB26" s="272"/>
      <c r="SC26" s="272"/>
      <c r="SD26" s="272"/>
      <c r="SE26" s="272"/>
      <c r="SF26" s="272"/>
      <c r="SG26" s="272"/>
      <c r="SH26" s="272"/>
      <c r="SI26" s="272"/>
      <c r="SJ26" s="272"/>
      <c r="SK26" s="272"/>
      <c r="SL26" s="272"/>
      <c r="SM26" s="272"/>
      <c r="SN26" s="272"/>
      <c r="SO26" s="272"/>
      <c r="SP26" s="272"/>
      <c r="SQ26" s="272"/>
      <c r="SR26" s="272"/>
      <c r="SS26" s="272"/>
      <c r="ST26" s="272"/>
      <c r="SU26" s="272"/>
      <c r="SV26" s="272"/>
      <c r="SW26" s="272"/>
      <c r="SX26" s="272"/>
      <c r="SY26" s="272"/>
      <c r="SZ26" s="272"/>
      <c r="TA26" s="272"/>
      <c r="TB26" s="272"/>
      <c r="TC26" s="272"/>
      <c r="TD26" s="272"/>
      <c r="TE26" s="272"/>
      <c r="TF26" s="272"/>
      <c r="TG26" s="272"/>
      <c r="TH26" s="272"/>
      <c r="TI26" s="272"/>
      <c r="TJ26" s="272"/>
      <c r="TK26" s="272"/>
      <c r="TL26" s="272"/>
      <c r="TM26" s="272"/>
      <c r="TN26" s="272"/>
      <c r="TO26" s="272"/>
      <c r="TP26" s="272"/>
      <c r="TQ26" s="272"/>
      <c r="TR26" s="272"/>
      <c r="TS26" s="272"/>
      <c r="TT26" s="272"/>
      <c r="TU26" s="272"/>
      <c r="TV26" s="272"/>
      <c r="TW26" s="272"/>
      <c r="TX26" s="272"/>
      <c r="TY26" s="272"/>
      <c r="TZ26" s="272"/>
      <c r="UA26" s="272"/>
      <c r="UB26" s="272"/>
      <c r="UC26" s="272"/>
      <c r="UD26" s="272"/>
      <c r="UE26" s="272"/>
      <c r="UF26" s="272"/>
      <c r="UG26" s="272"/>
      <c r="UH26" s="272"/>
      <c r="UI26" s="272"/>
      <c r="UJ26" s="272"/>
      <c r="UK26" s="272"/>
      <c r="UL26" s="272"/>
      <c r="UM26" s="272"/>
      <c r="UN26" s="272"/>
      <c r="UO26" s="272"/>
      <c r="UP26" s="272"/>
      <c r="UQ26" s="272"/>
      <c r="UR26" s="272"/>
      <c r="US26" s="272"/>
      <c r="UT26" s="272"/>
      <c r="UU26" s="272"/>
      <c r="UV26" s="272"/>
      <c r="UW26" s="272"/>
      <c r="UX26" s="272"/>
      <c r="UY26" s="272"/>
      <c r="UZ26" s="272"/>
      <c r="VA26" s="272"/>
      <c r="VB26" s="272"/>
      <c r="VC26" s="272"/>
      <c r="VD26" s="272"/>
      <c r="VE26" s="272"/>
      <c r="VF26" s="272"/>
      <c r="VG26" s="272"/>
      <c r="VH26" s="272"/>
      <c r="VI26" s="272"/>
      <c r="VJ26" s="272"/>
      <c r="VK26" s="272"/>
      <c r="VL26" s="272"/>
      <c r="VM26" s="272"/>
      <c r="VN26" s="272"/>
      <c r="VO26" s="272"/>
      <c r="VP26" s="272"/>
      <c r="VQ26" s="272"/>
      <c r="VR26" s="272"/>
      <c r="VS26" s="272"/>
      <c r="VT26" s="272"/>
      <c r="VU26" s="272"/>
      <c r="VV26" s="272"/>
      <c r="VW26" s="272"/>
      <c r="VX26" s="272"/>
      <c r="VY26" s="272"/>
      <c r="VZ26" s="272"/>
      <c r="WA26" s="272"/>
      <c r="WB26" s="272"/>
      <c r="WC26" s="272"/>
      <c r="WD26" s="272"/>
      <c r="WE26" s="272"/>
      <c r="WF26" s="272"/>
      <c r="WG26" s="272"/>
      <c r="WH26" s="272"/>
      <c r="WI26" s="272"/>
      <c r="WJ26" s="272"/>
      <c r="WK26" s="272"/>
      <c r="WL26" s="272"/>
      <c r="WM26" s="272"/>
      <c r="WN26" s="272"/>
      <c r="WO26" s="272"/>
      <c r="WP26" s="272"/>
      <c r="WQ26" s="272"/>
      <c r="WR26" s="272"/>
      <c r="WS26" s="272"/>
      <c r="WT26" s="272"/>
      <c r="WU26" s="272"/>
      <c r="WV26" s="272"/>
      <c r="WW26" s="272"/>
      <c r="WX26" s="272"/>
      <c r="WY26" s="272"/>
      <c r="WZ26" s="272"/>
      <c r="XA26" s="272"/>
      <c r="XB26" s="272"/>
      <c r="XC26" s="272"/>
      <c r="XD26" s="272"/>
      <c r="XE26" s="272"/>
      <c r="XF26" s="272"/>
      <c r="XG26" s="272"/>
      <c r="XH26" s="272"/>
      <c r="XI26" s="272"/>
      <c r="XJ26" s="272"/>
      <c r="XK26" s="272"/>
      <c r="XL26" s="272"/>
      <c r="XM26" s="272"/>
      <c r="XN26" s="272"/>
      <c r="XO26" s="272"/>
      <c r="XP26" s="272"/>
      <c r="XQ26" s="272"/>
      <c r="XR26" s="272"/>
      <c r="XS26" s="272"/>
      <c r="XT26" s="272"/>
      <c r="XU26" s="272"/>
      <c r="XV26" s="272"/>
      <c r="XW26" s="272"/>
      <c r="XX26" s="272"/>
      <c r="XY26" s="272"/>
      <c r="XZ26" s="272"/>
      <c r="YA26" s="272"/>
      <c r="YB26" s="272"/>
      <c r="YC26" s="272"/>
      <c r="YD26" s="272"/>
      <c r="YE26" s="272"/>
      <c r="YF26" s="272"/>
      <c r="YG26" s="272"/>
      <c r="YH26" s="272"/>
      <c r="YI26" s="272"/>
      <c r="YJ26" s="272"/>
      <c r="YK26" s="272"/>
      <c r="YL26" s="272"/>
      <c r="YM26" s="272"/>
      <c r="YN26" s="272"/>
      <c r="YO26" s="272"/>
      <c r="YP26" s="272"/>
      <c r="YQ26" s="272"/>
      <c r="YR26" s="272"/>
      <c r="YS26" s="272"/>
      <c r="YT26" s="272"/>
      <c r="YU26" s="272"/>
      <c r="YV26" s="272"/>
      <c r="YW26" s="272"/>
      <c r="YX26" s="272"/>
      <c r="YY26" s="272"/>
      <c r="YZ26" s="272"/>
      <c r="ZA26" s="272"/>
      <c r="ZB26" s="272"/>
      <c r="ZC26" s="272"/>
      <c r="ZD26" s="272"/>
      <c r="ZE26" s="272"/>
      <c r="ZF26" s="272"/>
      <c r="ZG26" s="272"/>
      <c r="ZH26" s="272"/>
      <c r="ZI26" s="272"/>
      <c r="ZJ26" s="272"/>
      <c r="ZK26" s="272"/>
      <c r="ZL26" s="272"/>
      <c r="ZM26" s="272"/>
      <c r="ZN26" s="272"/>
      <c r="ZO26" s="272"/>
      <c r="ZP26" s="272"/>
      <c r="ZQ26" s="272"/>
      <c r="ZR26" s="272"/>
      <c r="ZS26" s="272"/>
      <c r="ZT26" s="272"/>
      <c r="ZU26" s="272"/>
      <c r="ZV26" s="272"/>
      <c r="ZW26" s="272"/>
      <c r="ZX26" s="272"/>
      <c r="ZY26" s="272"/>
      <c r="ZZ26" s="272"/>
      <c r="AAA26" s="272"/>
      <c r="AAB26" s="272"/>
      <c r="AAC26" s="272"/>
      <c r="AAD26" s="272"/>
      <c r="AAE26" s="272"/>
      <c r="AAF26" s="272"/>
      <c r="AAG26" s="272"/>
      <c r="AAH26" s="272"/>
      <c r="AAI26" s="272"/>
      <c r="AAJ26" s="272"/>
      <c r="AAK26" s="272"/>
      <c r="AAL26" s="272"/>
      <c r="AAM26" s="272"/>
      <c r="AAN26" s="272"/>
      <c r="AAO26" s="272"/>
      <c r="AAP26" s="272"/>
      <c r="AAQ26" s="272"/>
      <c r="AAR26" s="272"/>
      <c r="AAS26" s="272"/>
      <c r="AAT26" s="272"/>
      <c r="AAU26" s="272"/>
      <c r="AAV26" s="272"/>
      <c r="AAW26" s="272"/>
      <c r="AAX26" s="272"/>
      <c r="AAY26" s="272"/>
      <c r="AAZ26" s="272"/>
      <c r="ABA26" s="272"/>
      <c r="ABB26" s="272"/>
      <c r="ABC26" s="272"/>
      <c r="ABD26" s="272"/>
      <c r="ABE26" s="272"/>
      <c r="ABF26" s="272"/>
      <c r="ABG26" s="272"/>
    </row>
    <row r="27" spans="1:735" s="19" customFormat="1" ht="12.75" customHeight="1">
      <c r="A27" s="44"/>
      <c r="B27" s="597"/>
      <c r="C27" s="598"/>
      <c r="D27" s="604"/>
      <c r="E27" s="620"/>
      <c r="F27" s="627"/>
      <c r="G27" s="639"/>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c r="FT27" s="272"/>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c r="HE27" s="272"/>
      <c r="HF27" s="272"/>
      <c r="HG27" s="272"/>
      <c r="HH27" s="272"/>
      <c r="HI27" s="272"/>
      <c r="HJ27" s="272"/>
      <c r="HK27" s="272"/>
      <c r="HL27" s="272"/>
      <c r="HM27" s="272"/>
      <c r="HN27" s="272"/>
      <c r="HO27" s="272"/>
      <c r="HP27" s="272"/>
      <c r="HQ27" s="272"/>
      <c r="HR27" s="272"/>
      <c r="HS27" s="272"/>
      <c r="HT27" s="272"/>
      <c r="HU27" s="272"/>
      <c r="HV27" s="272"/>
      <c r="HW27" s="272"/>
      <c r="HX27" s="272"/>
      <c r="HY27" s="272"/>
      <c r="HZ27" s="272"/>
      <c r="IA27" s="272"/>
      <c r="IB27" s="272"/>
      <c r="IC27" s="272"/>
      <c r="ID27" s="272"/>
      <c r="IE27" s="272"/>
      <c r="IF27" s="272"/>
      <c r="IG27" s="272"/>
      <c r="IH27" s="272"/>
      <c r="II27" s="272"/>
      <c r="IJ27" s="272"/>
      <c r="IK27" s="272"/>
      <c r="IL27" s="272"/>
      <c r="IM27" s="272"/>
      <c r="IN27" s="272"/>
      <c r="IO27" s="272"/>
      <c r="IP27" s="272"/>
      <c r="IQ27" s="272"/>
      <c r="IR27" s="272"/>
      <c r="IS27" s="272"/>
      <c r="IT27" s="272"/>
      <c r="IU27" s="272"/>
      <c r="IV27" s="272"/>
      <c r="IW27" s="272"/>
      <c r="IX27" s="272"/>
      <c r="IY27" s="272"/>
      <c r="IZ27" s="272"/>
      <c r="JA27" s="272"/>
      <c r="JB27" s="272"/>
      <c r="JC27" s="272"/>
      <c r="JD27" s="272"/>
      <c r="JE27" s="272"/>
      <c r="JF27" s="272"/>
      <c r="JG27" s="272"/>
      <c r="JH27" s="272"/>
      <c r="JI27" s="272"/>
      <c r="JJ27" s="272"/>
      <c r="JK27" s="272"/>
      <c r="JL27" s="272"/>
      <c r="JM27" s="272"/>
      <c r="JN27" s="272"/>
      <c r="JO27" s="272"/>
      <c r="JP27" s="272"/>
      <c r="JQ27" s="272"/>
      <c r="JR27" s="272"/>
      <c r="JS27" s="272"/>
      <c r="JT27" s="272"/>
      <c r="JU27" s="272"/>
      <c r="JV27" s="272"/>
      <c r="JW27" s="272"/>
      <c r="JX27" s="272"/>
      <c r="JY27" s="272"/>
      <c r="JZ27" s="272"/>
      <c r="KA27" s="272"/>
      <c r="KB27" s="272"/>
      <c r="KC27" s="272"/>
      <c r="KD27" s="272"/>
      <c r="KE27" s="272"/>
      <c r="KF27" s="272"/>
      <c r="KG27" s="272"/>
      <c r="KH27" s="272"/>
      <c r="KI27" s="272"/>
      <c r="KJ27" s="272"/>
      <c r="KK27" s="272"/>
      <c r="KL27" s="272"/>
      <c r="KM27" s="272"/>
      <c r="KN27" s="272"/>
      <c r="KO27" s="272"/>
      <c r="KP27" s="272"/>
      <c r="KQ27" s="272"/>
      <c r="KR27" s="272"/>
      <c r="KS27" s="272"/>
      <c r="KT27" s="272"/>
      <c r="KU27" s="272"/>
      <c r="KV27" s="272"/>
      <c r="KW27" s="272"/>
      <c r="KX27" s="272"/>
      <c r="KY27" s="272"/>
      <c r="KZ27" s="272"/>
      <c r="LA27" s="272"/>
      <c r="LB27" s="272"/>
      <c r="LC27" s="272"/>
      <c r="LD27" s="272"/>
      <c r="LE27" s="272"/>
      <c r="LF27" s="272"/>
      <c r="LG27" s="272"/>
      <c r="LH27" s="272"/>
      <c r="LI27" s="272"/>
      <c r="LJ27" s="272"/>
      <c r="LK27" s="272"/>
      <c r="LL27" s="272"/>
      <c r="LM27" s="272"/>
      <c r="LN27" s="272"/>
      <c r="LO27" s="272"/>
      <c r="LP27" s="272"/>
      <c r="LQ27" s="272"/>
      <c r="LR27" s="272"/>
      <c r="LS27" s="272"/>
      <c r="LT27" s="272"/>
      <c r="LU27" s="272"/>
      <c r="LV27" s="272"/>
      <c r="LW27" s="272"/>
      <c r="LX27" s="272"/>
      <c r="LY27" s="272"/>
      <c r="LZ27" s="272"/>
      <c r="MA27" s="272"/>
      <c r="MB27" s="272"/>
      <c r="MC27" s="272"/>
      <c r="MD27" s="272"/>
      <c r="ME27" s="272"/>
      <c r="MF27" s="272"/>
      <c r="MG27" s="272"/>
      <c r="MH27" s="272"/>
      <c r="MI27" s="272"/>
      <c r="MJ27" s="272"/>
      <c r="MK27" s="272"/>
      <c r="ML27" s="272"/>
      <c r="MM27" s="272"/>
      <c r="MN27" s="272"/>
      <c r="MO27" s="272"/>
      <c r="MP27" s="272"/>
      <c r="MQ27" s="272"/>
      <c r="MR27" s="272"/>
      <c r="MS27" s="272"/>
      <c r="MT27" s="272"/>
      <c r="MU27" s="272"/>
      <c r="MV27" s="272"/>
      <c r="MW27" s="272"/>
      <c r="MX27" s="272"/>
      <c r="MY27" s="272"/>
      <c r="MZ27" s="272"/>
      <c r="NA27" s="272"/>
      <c r="NB27" s="272"/>
      <c r="NC27" s="272"/>
      <c r="ND27" s="272"/>
      <c r="NE27" s="272"/>
      <c r="NF27" s="272"/>
      <c r="NG27" s="272"/>
      <c r="NH27" s="272"/>
      <c r="NI27" s="272"/>
      <c r="NJ27" s="272"/>
      <c r="NK27" s="272"/>
      <c r="NL27" s="272"/>
      <c r="NM27" s="272"/>
      <c r="NN27" s="272"/>
      <c r="NO27" s="272"/>
      <c r="NP27" s="272"/>
      <c r="NQ27" s="272"/>
      <c r="NR27" s="272"/>
      <c r="NS27" s="272"/>
      <c r="NT27" s="272"/>
      <c r="NU27" s="272"/>
      <c r="NV27" s="272"/>
      <c r="NW27" s="272"/>
      <c r="NX27" s="272"/>
      <c r="NY27" s="272"/>
      <c r="NZ27" s="272"/>
      <c r="OA27" s="272"/>
      <c r="OB27" s="272"/>
      <c r="OC27" s="272"/>
      <c r="OD27" s="272"/>
      <c r="OE27" s="272"/>
      <c r="OF27" s="272"/>
      <c r="OG27" s="272"/>
      <c r="OH27" s="272"/>
      <c r="OI27" s="272"/>
      <c r="OJ27" s="272"/>
      <c r="OK27" s="272"/>
      <c r="OL27" s="272"/>
      <c r="OM27" s="272"/>
      <c r="ON27" s="272"/>
      <c r="OO27" s="272"/>
      <c r="OP27" s="272"/>
      <c r="OQ27" s="272"/>
      <c r="OR27" s="272"/>
      <c r="OS27" s="272"/>
      <c r="OT27" s="272"/>
      <c r="OU27" s="272"/>
      <c r="OV27" s="272"/>
      <c r="OW27" s="272"/>
      <c r="OX27" s="272"/>
      <c r="OY27" s="272"/>
      <c r="OZ27" s="272"/>
      <c r="PA27" s="272"/>
      <c r="PB27" s="272"/>
      <c r="PC27" s="272"/>
      <c r="PD27" s="272"/>
      <c r="PE27" s="272"/>
      <c r="PF27" s="272"/>
      <c r="PG27" s="272"/>
      <c r="PH27" s="272"/>
      <c r="PI27" s="272"/>
      <c r="PJ27" s="272"/>
      <c r="PK27" s="272"/>
      <c r="PL27" s="272"/>
      <c r="PM27" s="272"/>
      <c r="PN27" s="272"/>
      <c r="PO27" s="272"/>
      <c r="PP27" s="272"/>
      <c r="PQ27" s="272"/>
      <c r="PR27" s="272"/>
      <c r="PS27" s="272"/>
      <c r="PT27" s="272"/>
      <c r="PU27" s="272"/>
      <c r="PV27" s="272"/>
      <c r="PW27" s="272"/>
      <c r="PX27" s="272"/>
      <c r="PY27" s="272"/>
      <c r="PZ27" s="272"/>
      <c r="QA27" s="272"/>
      <c r="QB27" s="272"/>
      <c r="QC27" s="272"/>
      <c r="QD27" s="272"/>
      <c r="QE27" s="272"/>
      <c r="QF27" s="272"/>
      <c r="QG27" s="272"/>
      <c r="QH27" s="272"/>
      <c r="QI27" s="272"/>
      <c r="QJ27" s="272"/>
      <c r="QK27" s="272"/>
      <c r="QL27" s="272"/>
      <c r="QM27" s="272"/>
      <c r="QN27" s="272"/>
      <c r="QO27" s="272"/>
      <c r="QP27" s="272"/>
      <c r="QQ27" s="272"/>
      <c r="QR27" s="272"/>
      <c r="QS27" s="272"/>
      <c r="QT27" s="272"/>
      <c r="QU27" s="272"/>
      <c r="QV27" s="272"/>
      <c r="QW27" s="272"/>
      <c r="QX27" s="272"/>
      <c r="QY27" s="272"/>
      <c r="QZ27" s="272"/>
      <c r="RA27" s="272"/>
      <c r="RB27" s="272"/>
      <c r="RC27" s="272"/>
      <c r="RD27" s="272"/>
      <c r="RE27" s="272"/>
      <c r="RF27" s="272"/>
      <c r="RG27" s="272"/>
      <c r="RH27" s="272"/>
      <c r="RI27" s="272"/>
      <c r="RJ27" s="272"/>
      <c r="RK27" s="272"/>
      <c r="RL27" s="272"/>
      <c r="RM27" s="272"/>
      <c r="RN27" s="272"/>
      <c r="RO27" s="272"/>
      <c r="RP27" s="272"/>
      <c r="RQ27" s="272"/>
      <c r="RR27" s="272"/>
      <c r="RS27" s="272"/>
      <c r="RT27" s="272"/>
      <c r="RU27" s="272"/>
      <c r="RV27" s="272"/>
      <c r="RW27" s="272"/>
      <c r="RX27" s="272"/>
      <c r="RY27" s="272"/>
      <c r="RZ27" s="272"/>
      <c r="SA27" s="272"/>
      <c r="SB27" s="272"/>
      <c r="SC27" s="272"/>
      <c r="SD27" s="272"/>
      <c r="SE27" s="272"/>
      <c r="SF27" s="272"/>
      <c r="SG27" s="272"/>
      <c r="SH27" s="272"/>
      <c r="SI27" s="272"/>
      <c r="SJ27" s="272"/>
      <c r="SK27" s="272"/>
      <c r="SL27" s="272"/>
      <c r="SM27" s="272"/>
      <c r="SN27" s="272"/>
      <c r="SO27" s="272"/>
      <c r="SP27" s="272"/>
      <c r="SQ27" s="272"/>
      <c r="SR27" s="272"/>
      <c r="SS27" s="272"/>
      <c r="ST27" s="272"/>
      <c r="SU27" s="272"/>
      <c r="SV27" s="272"/>
      <c r="SW27" s="272"/>
      <c r="SX27" s="272"/>
      <c r="SY27" s="272"/>
      <c r="SZ27" s="272"/>
      <c r="TA27" s="272"/>
      <c r="TB27" s="272"/>
      <c r="TC27" s="272"/>
      <c r="TD27" s="272"/>
      <c r="TE27" s="272"/>
      <c r="TF27" s="272"/>
      <c r="TG27" s="272"/>
      <c r="TH27" s="272"/>
      <c r="TI27" s="272"/>
      <c r="TJ27" s="272"/>
      <c r="TK27" s="272"/>
      <c r="TL27" s="272"/>
      <c r="TM27" s="272"/>
      <c r="TN27" s="272"/>
      <c r="TO27" s="272"/>
      <c r="TP27" s="272"/>
      <c r="TQ27" s="272"/>
      <c r="TR27" s="272"/>
      <c r="TS27" s="272"/>
      <c r="TT27" s="272"/>
      <c r="TU27" s="272"/>
      <c r="TV27" s="272"/>
      <c r="TW27" s="272"/>
      <c r="TX27" s="272"/>
      <c r="TY27" s="272"/>
      <c r="TZ27" s="272"/>
      <c r="UA27" s="272"/>
      <c r="UB27" s="272"/>
      <c r="UC27" s="272"/>
      <c r="UD27" s="272"/>
      <c r="UE27" s="272"/>
      <c r="UF27" s="272"/>
      <c r="UG27" s="272"/>
      <c r="UH27" s="272"/>
      <c r="UI27" s="272"/>
      <c r="UJ27" s="272"/>
      <c r="UK27" s="272"/>
      <c r="UL27" s="272"/>
      <c r="UM27" s="272"/>
      <c r="UN27" s="272"/>
      <c r="UO27" s="272"/>
      <c r="UP27" s="272"/>
      <c r="UQ27" s="272"/>
      <c r="UR27" s="272"/>
      <c r="US27" s="272"/>
      <c r="UT27" s="272"/>
      <c r="UU27" s="272"/>
      <c r="UV27" s="272"/>
      <c r="UW27" s="272"/>
      <c r="UX27" s="272"/>
      <c r="UY27" s="272"/>
      <c r="UZ27" s="272"/>
      <c r="VA27" s="272"/>
      <c r="VB27" s="272"/>
      <c r="VC27" s="272"/>
      <c r="VD27" s="272"/>
      <c r="VE27" s="272"/>
      <c r="VF27" s="272"/>
      <c r="VG27" s="272"/>
      <c r="VH27" s="272"/>
      <c r="VI27" s="272"/>
      <c r="VJ27" s="272"/>
      <c r="VK27" s="272"/>
      <c r="VL27" s="272"/>
      <c r="VM27" s="272"/>
      <c r="VN27" s="272"/>
      <c r="VO27" s="272"/>
      <c r="VP27" s="272"/>
      <c r="VQ27" s="272"/>
      <c r="VR27" s="272"/>
      <c r="VS27" s="272"/>
      <c r="VT27" s="272"/>
      <c r="VU27" s="272"/>
      <c r="VV27" s="272"/>
      <c r="VW27" s="272"/>
      <c r="VX27" s="272"/>
      <c r="VY27" s="272"/>
      <c r="VZ27" s="272"/>
      <c r="WA27" s="272"/>
      <c r="WB27" s="272"/>
      <c r="WC27" s="272"/>
      <c r="WD27" s="272"/>
      <c r="WE27" s="272"/>
      <c r="WF27" s="272"/>
      <c r="WG27" s="272"/>
      <c r="WH27" s="272"/>
      <c r="WI27" s="272"/>
      <c r="WJ27" s="272"/>
      <c r="WK27" s="272"/>
      <c r="WL27" s="272"/>
      <c r="WM27" s="272"/>
      <c r="WN27" s="272"/>
      <c r="WO27" s="272"/>
      <c r="WP27" s="272"/>
      <c r="WQ27" s="272"/>
      <c r="WR27" s="272"/>
      <c r="WS27" s="272"/>
      <c r="WT27" s="272"/>
      <c r="WU27" s="272"/>
      <c r="WV27" s="272"/>
      <c r="WW27" s="272"/>
      <c r="WX27" s="272"/>
      <c r="WY27" s="272"/>
      <c r="WZ27" s="272"/>
      <c r="XA27" s="272"/>
      <c r="XB27" s="272"/>
      <c r="XC27" s="272"/>
      <c r="XD27" s="272"/>
      <c r="XE27" s="272"/>
      <c r="XF27" s="272"/>
      <c r="XG27" s="272"/>
      <c r="XH27" s="272"/>
      <c r="XI27" s="272"/>
      <c r="XJ27" s="272"/>
      <c r="XK27" s="272"/>
      <c r="XL27" s="272"/>
      <c r="XM27" s="272"/>
      <c r="XN27" s="272"/>
      <c r="XO27" s="272"/>
      <c r="XP27" s="272"/>
      <c r="XQ27" s="272"/>
      <c r="XR27" s="272"/>
      <c r="XS27" s="272"/>
      <c r="XT27" s="272"/>
      <c r="XU27" s="272"/>
      <c r="XV27" s="272"/>
      <c r="XW27" s="272"/>
      <c r="XX27" s="272"/>
      <c r="XY27" s="272"/>
      <c r="XZ27" s="272"/>
      <c r="YA27" s="272"/>
      <c r="YB27" s="272"/>
      <c r="YC27" s="272"/>
      <c r="YD27" s="272"/>
      <c r="YE27" s="272"/>
      <c r="YF27" s="272"/>
      <c r="YG27" s="272"/>
      <c r="YH27" s="272"/>
      <c r="YI27" s="272"/>
      <c r="YJ27" s="272"/>
      <c r="YK27" s="272"/>
      <c r="YL27" s="272"/>
      <c r="YM27" s="272"/>
      <c r="YN27" s="272"/>
      <c r="YO27" s="272"/>
      <c r="YP27" s="272"/>
      <c r="YQ27" s="272"/>
      <c r="YR27" s="272"/>
      <c r="YS27" s="272"/>
      <c r="YT27" s="272"/>
      <c r="YU27" s="272"/>
      <c r="YV27" s="272"/>
      <c r="YW27" s="272"/>
      <c r="YX27" s="272"/>
      <c r="YY27" s="272"/>
      <c r="YZ27" s="272"/>
      <c r="ZA27" s="272"/>
      <c r="ZB27" s="272"/>
      <c r="ZC27" s="272"/>
      <c r="ZD27" s="272"/>
      <c r="ZE27" s="272"/>
      <c r="ZF27" s="272"/>
      <c r="ZG27" s="272"/>
      <c r="ZH27" s="272"/>
      <c r="ZI27" s="272"/>
      <c r="ZJ27" s="272"/>
      <c r="ZK27" s="272"/>
      <c r="ZL27" s="272"/>
      <c r="ZM27" s="272"/>
      <c r="ZN27" s="272"/>
      <c r="ZO27" s="272"/>
      <c r="ZP27" s="272"/>
      <c r="ZQ27" s="272"/>
      <c r="ZR27" s="272"/>
      <c r="ZS27" s="272"/>
      <c r="ZT27" s="272"/>
      <c r="ZU27" s="272"/>
      <c r="ZV27" s="272"/>
      <c r="ZW27" s="272"/>
      <c r="ZX27" s="272"/>
      <c r="ZY27" s="272"/>
      <c r="ZZ27" s="272"/>
      <c r="AAA27" s="272"/>
      <c r="AAB27" s="272"/>
      <c r="AAC27" s="272"/>
      <c r="AAD27" s="272"/>
      <c r="AAE27" s="272"/>
      <c r="AAF27" s="272"/>
      <c r="AAG27" s="272"/>
      <c r="AAH27" s="272"/>
      <c r="AAI27" s="272"/>
      <c r="AAJ27" s="272"/>
      <c r="AAK27" s="272"/>
      <c r="AAL27" s="272"/>
      <c r="AAM27" s="272"/>
      <c r="AAN27" s="272"/>
      <c r="AAO27" s="272"/>
      <c r="AAP27" s="272"/>
      <c r="AAQ27" s="272"/>
      <c r="AAR27" s="272"/>
      <c r="AAS27" s="272"/>
      <c r="AAT27" s="272"/>
      <c r="AAU27" s="272"/>
      <c r="AAV27" s="272"/>
      <c r="AAW27" s="272"/>
      <c r="AAX27" s="272"/>
      <c r="AAY27" s="272"/>
      <c r="AAZ27" s="272"/>
      <c r="ABA27" s="272"/>
      <c r="ABB27" s="272"/>
      <c r="ABC27" s="272"/>
      <c r="ABD27" s="272"/>
      <c r="ABE27" s="272"/>
      <c r="ABF27" s="272"/>
      <c r="ABG27" s="272"/>
    </row>
    <row r="28" spans="1:735" s="19" customFormat="1" ht="15">
      <c r="A28" s="44"/>
      <c r="B28" s="597"/>
      <c r="C28" s="24" t="s">
        <v>53</v>
      </c>
      <c r="D28" s="508"/>
      <c r="E28" s="509"/>
      <c r="F28" s="506"/>
      <c r="G28" s="507"/>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2"/>
      <c r="DT28" s="272"/>
      <c r="DU28" s="272"/>
      <c r="DV28" s="272"/>
      <c r="DW28" s="272"/>
      <c r="DX28" s="272"/>
      <c r="DY28" s="272"/>
      <c r="DZ28" s="272"/>
      <c r="EA28" s="272"/>
      <c r="EB28" s="272"/>
      <c r="EC28" s="272"/>
      <c r="ED28" s="272"/>
      <c r="EE28" s="272"/>
      <c r="EF28" s="272"/>
      <c r="EG28" s="272"/>
      <c r="EH28" s="272"/>
      <c r="EI28" s="272"/>
      <c r="EJ28" s="272"/>
      <c r="EK28" s="272"/>
      <c r="EL28" s="272"/>
      <c r="EM28" s="272"/>
      <c r="EN28" s="272"/>
      <c r="EO28" s="272"/>
      <c r="EP28" s="272"/>
      <c r="EQ28" s="272"/>
      <c r="ER28" s="272"/>
      <c r="ES28" s="272"/>
      <c r="ET28" s="272"/>
      <c r="EU28" s="272"/>
      <c r="EV28" s="272"/>
      <c r="EW28" s="272"/>
      <c r="EX28" s="272"/>
      <c r="EY28" s="272"/>
      <c r="EZ28" s="272"/>
      <c r="FA28" s="272"/>
      <c r="FB28" s="272"/>
      <c r="FC28" s="272"/>
      <c r="FD28" s="272"/>
      <c r="FE28" s="272"/>
      <c r="FF28" s="272"/>
      <c r="FG28" s="272"/>
      <c r="FH28" s="272"/>
      <c r="FI28" s="272"/>
      <c r="FJ28" s="272"/>
      <c r="FK28" s="272"/>
      <c r="FL28" s="272"/>
      <c r="FM28" s="272"/>
      <c r="FN28" s="272"/>
      <c r="FO28" s="272"/>
      <c r="FP28" s="272"/>
      <c r="FQ28" s="272"/>
      <c r="FR28" s="272"/>
      <c r="FS28" s="272"/>
      <c r="FT28" s="272"/>
      <c r="FU28" s="272"/>
      <c r="FV28" s="272"/>
      <c r="FW28" s="272"/>
      <c r="FX28" s="272"/>
      <c r="FY28" s="272"/>
      <c r="FZ28" s="272"/>
      <c r="GA28" s="272"/>
      <c r="GB28" s="272"/>
      <c r="GC28" s="272"/>
      <c r="GD28" s="272"/>
      <c r="GE28" s="272"/>
      <c r="GF28" s="272"/>
      <c r="GG28" s="272"/>
      <c r="GH28" s="272"/>
      <c r="GI28" s="272"/>
      <c r="GJ28" s="272"/>
      <c r="GK28" s="272"/>
      <c r="GL28" s="272"/>
      <c r="GM28" s="272"/>
      <c r="GN28" s="272"/>
      <c r="GO28" s="272"/>
      <c r="GP28" s="272"/>
      <c r="GQ28" s="272"/>
      <c r="GR28" s="272"/>
      <c r="GS28" s="272"/>
      <c r="GT28" s="272"/>
      <c r="GU28" s="272"/>
      <c r="GV28" s="272"/>
      <c r="GW28" s="272"/>
      <c r="GX28" s="272"/>
      <c r="GY28" s="272"/>
      <c r="GZ28" s="272"/>
      <c r="HA28" s="272"/>
      <c r="HB28" s="272"/>
      <c r="HC28" s="272"/>
      <c r="HD28" s="272"/>
      <c r="HE28" s="272"/>
      <c r="HF28" s="272"/>
      <c r="HG28" s="272"/>
      <c r="HH28" s="272"/>
      <c r="HI28" s="272"/>
      <c r="HJ28" s="272"/>
      <c r="HK28" s="272"/>
      <c r="HL28" s="272"/>
      <c r="HM28" s="272"/>
      <c r="HN28" s="272"/>
      <c r="HO28" s="272"/>
      <c r="HP28" s="272"/>
      <c r="HQ28" s="272"/>
      <c r="HR28" s="272"/>
      <c r="HS28" s="272"/>
      <c r="HT28" s="272"/>
      <c r="HU28" s="272"/>
      <c r="HV28" s="272"/>
      <c r="HW28" s="272"/>
      <c r="HX28" s="272"/>
      <c r="HY28" s="272"/>
      <c r="HZ28" s="272"/>
      <c r="IA28" s="272"/>
      <c r="IB28" s="272"/>
      <c r="IC28" s="272"/>
      <c r="ID28" s="272"/>
      <c r="IE28" s="272"/>
      <c r="IF28" s="272"/>
      <c r="IG28" s="272"/>
      <c r="IH28" s="272"/>
      <c r="II28" s="272"/>
      <c r="IJ28" s="272"/>
      <c r="IK28" s="272"/>
      <c r="IL28" s="272"/>
      <c r="IM28" s="272"/>
      <c r="IN28" s="272"/>
      <c r="IO28" s="272"/>
      <c r="IP28" s="272"/>
      <c r="IQ28" s="272"/>
      <c r="IR28" s="272"/>
      <c r="IS28" s="272"/>
      <c r="IT28" s="272"/>
      <c r="IU28" s="272"/>
      <c r="IV28" s="272"/>
      <c r="IW28" s="272"/>
      <c r="IX28" s="272"/>
      <c r="IY28" s="272"/>
      <c r="IZ28" s="272"/>
      <c r="JA28" s="272"/>
      <c r="JB28" s="272"/>
      <c r="JC28" s="272"/>
      <c r="JD28" s="272"/>
      <c r="JE28" s="272"/>
      <c r="JF28" s="272"/>
      <c r="JG28" s="272"/>
      <c r="JH28" s="272"/>
      <c r="JI28" s="272"/>
      <c r="JJ28" s="272"/>
      <c r="JK28" s="272"/>
      <c r="JL28" s="272"/>
      <c r="JM28" s="272"/>
      <c r="JN28" s="272"/>
      <c r="JO28" s="272"/>
      <c r="JP28" s="272"/>
      <c r="JQ28" s="272"/>
      <c r="JR28" s="272"/>
      <c r="JS28" s="272"/>
      <c r="JT28" s="272"/>
      <c r="JU28" s="272"/>
      <c r="JV28" s="272"/>
      <c r="JW28" s="272"/>
      <c r="JX28" s="272"/>
      <c r="JY28" s="272"/>
      <c r="JZ28" s="272"/>
      <c r="KA28" s="272"/>
      <c r="KB28" s="272"/>
      <c r="KC28" s="272"/>
      <c r="KD28" s="272"/>
      <c r="KE28" s="272"/>
      <c r="KF28" s="272"/>
      <c r="KG28" s="272"/>
      <c r="KH28" s="272"/>
      <c r="KI28" s="272"/>
      <c r="KJ28" s="272"/>
      <c r="KK28" s="272"/>
      <c r="KL28" s="272"/>
      <c r="KM28" s="272"/>
      <c r="KN28" s="272"/>
      <c r="KO28" s="272"/>
      <c r="KP28" s="272"/>
      <c r="KQ28" s="272"/>
      <c r="KR28" s="272"/>
      <c r="KS28" s="272"/>
      <c r="KT28" s="272"/>
      <c r="KU28" s="272"/>
      <c r="KV28" s="272"/>
      <c r="KW28" s="272"/>
      <c r="KX28" s="272"/>
      <c r="KY28" s="272"/>
      <c r="KZ28" s="272"/>
      <c r="LA28" s="272"/>
      <c r="LB28" s="272"/>
      <c r="LC28" s="272"/>
      <c r="LD28" s="272"/>
      <c r="LE28" s="272"/>
      <c r="LF28" s="272"/>
      <c r="LG28" s="272"/>
      <c r="LH28" s="272"/>
      <c r="LI28" s="272"/>
      <c r="LJ28" s="272"/>
      <c r="LK28" s="272"/>
      <c r="LL28" s="272"/>
      <c r="LM28" s="272"/>
      <c r="LN28" s="272"/>
      <c r="LO28" s="272"/>
      <c r="LP28" s="272"/>
      <c r="LQ28" s="272"/>
      <c r="LR28" s="272"/>
      <c r="LS28" s="272"/>
      <c r="LT28" s="272"/>
      <c r="LU28" s="272"/>
      <c r="LV28" s="272"/>
      <c r="LW28" s="272"/>
      <c r="LX28" s="272"/>
      <c r="LY28" s="272"/>
      <c r="LZ28" s="272"/>
      <c r="MA28" s="272"/>
      <c r="MB28" s="272"/>
      <c r="MC28" s="272"/>
      <c r="MD28" s="272"/>
      <c r="ME28" s="272"/>
      <c r="MF28" s="272"/>
      <c r="MG28" s="272"/>
      <c r="MH28" s="272"/>
      <c r="MI28" s="272"/>
      <c r="MJ28" s="272"/>
      <c r="MK28" s="272"/>
      <c r="ML28" s="272"/>
      <c r="MM28" s="272"/>
      <c r="MN28" s="272"/>
      <c r="MO28" s="272"/>
      <c r="MP28" s="272"/>
      <c r="MQ28" s="272"/>
      <c r="MR28" s="272"/>
      <c r="MS28" s="272"/>
      <c r="MT28" s="272"/>
      <c r="MU28" s="272"/>
      <c r="MV28" s="272"/>
      <c r="MW28" s="272"/>
      <c r="MX28" s="272"/>
      <c r="MY28" s="272"/>
      <c r="MZ28" s="272"/>
      <c r="NA28" s="272"/>
      <c r="NB28" s="272"/>
      <c r="NC28" s="272"/>
      <c r="ND28" s="272"/>
      <c r="NE28" s="272"/>
      <c r="NF28" s="272"/>
      <c r="NG28" s="272"/>
      <c r="NH28" s="272"/>
      <c r="NI28" s="272"/>
      <c r="NJ28" s="272"/>
      <c r="NK28" s="272"/>
      <c r="NL28" s="272"/>
      <c r="NM28" s="272"/>
      <c r="NN28" s="272"/>
      <c r="NO28" s="272"/>
      <c r="NP28" s="272"/>
      <c r="NQ28" s="272"/>
      <c r="NR28" s="272"/>
      <c r="NS28" s="272"/>
      <c r="NT28" s="272"/>
      <c r="NU28" s="272"/>
      <c r="NV28" s="272"/>
      <c r="NW28" s="272"/>
      <c r="NX28" s="272"/>
      <c r="NY28" s="272"/>
      <c r="NZ28" s="272"/>
      <c r="OA28" s="272"/>
      <c r="OB28" s="272"/>
      <c r="OC28" s="272"/>
      <c r="OD28" s="272"/>
      <c r="OE28" s="272"/>
      <c r="OF28" s="272"/>
      <c r="OG28" s="272"/>
      <c r="OH28" s="272"/>
      <c r="OI28" s="272"/>
      <c r="OJ28" s="272"/>
      <c r="OK28" s="272"/>
      <c r="OL28" s="272"/>
      <c r="OM28" s="272"/>
      <c r="ON28" s="272"/>
      <c r="OO28" s="272"/>
      <c r="OP28" s="272"/>
      <c r="OQ28" s="272"/>
      <c r="OR28" s="272"/>
      <c r="OS28" s="272"/>
      <c r="OT28" s="272"/>
      <c r="OU28" s="272"/>
      <c r="OV28" s="272"/>
      <c r="OW28" s="272"/>
      <c r="OX28" s="272"/>
      <c r="OY28" s="272"/>
      <c r="OZ28" s="272"/>
      <c r="PA28" s="272"/>
      <c r="PB28" s="272"/>
      <c r="PC28" s="272"/>
      <c r="PD28" s="272"/>
      <c r="PE28" s="272"/>
      <c r="PF28" s="272"/>
      <c r="PG28" s="272"/>
      <c r="PH28" s="272"/>
      <c r="PI28" s="272"/>
      <c r="PJ28" s="272"/>
      <c r="PK28" s="272"/>
      <c r="PL28" s="272"/>
      <c r="PM28" s="272"/>
      <c r="PN28" s="272"/>
      <c r="PO28" s="272"/>
      <c r="PP28" s="272"/>
      <c r="PQ28" s="272"/>
      <c r="PR28" s="272"/>
      <c r="PS28" s="272"/>
      <c r="PT28" s="272"/>
      <c r="PU28" s="272"/>
      <c r="PV28" s="272"/>
      <c r="PW28" s="272"/>
      <c r="PX28" s="272"/>
      <c r="PY28" s="272"/>
      <c r="PZ28" s="272"/>
      <c r="QA28" s="272"/>
      <c r="QB28" s="272"/>
      <c r="QC28" s="272"/>
      <c r="QD28" s="272"/>
      <c r="QE28" s="272"/>
      <c r="QF28" s="272"/>
      <c r="QG28" s="272"/>
      <c r="QH28" s="272"/>
      <c r="QI28" s="272"/>
      <c r="QJ28" s="272"/>
      <c r="QK28" s="272"/>
      <c r="QL28" s="272"/>
      <c r="QM28" s="272"/>
      <c r="QN28" s="272"/>
      <c r="QO28" s="272"/>
      <c r="QP28" s="272"/>
      <c r="QQ28" s="272"/>
      <c r="QR28" s="272"/>
      <c r="QS28" s="272"/>
      <c r="QT28" s="272"/>
      <c r="QU28" s="272"/>
      <c r="QV28" s="272"/>
      <c r="QW28" s="272"/>
      <c r="QX28" s="272"/>
      <c r="QY28" s="272"/>
      <c r="QZ28" s="272"/>
      <c r="RA28" s="272"/>
      <c r="RB28" s="272"/>
      <c r="RC28" s="272"/>
      <c r="RD28" s="272"/>
      <c r="RE28" s="272"/>
      <c r="RF28" s="272"/>
      <c r="RG28" s="272"/>
      <c r="RH28" s="272"/>
      <c r="RI28" s="272"/>
      <c r="RJ28" s="272"/>
      <c r="RK28" s="272"/>
      <c r="RL28" s="272"/>
      <c r="RM28" s="272"/>
      <c r="RN28" s="272"/>
      <c r="RO28" s="272"/>
      <c r="RP28" s="272"/>
      <c r="RQ28" s="272"/>
      <c r="RR28" s="272"/>
      <c r="RS28" s="272"/>
      <c r="RT28" s="272"/>
      <c r="RU28" s="272"/>
      <c r="RV28" s="272"/>
      <c r="RW28" s="272"/>
      <c r="RX28" s="272"/>
      <c r="RY28" s="272"/>
      <c r="RZ28" s="272"/>
      <c r="SA28" s="272"/>
      <c r="SB28" s="272"/>
      <c r="SC28" s="272"/>
      <c r="SD28" s="272"/>
      <c r="SE28" s="272"/>
      <c r="SF28" s="272"/>
      <c r="SG28" s="272"/>
      <c r="SH28" s="272"/>
      <c r="SI28" s="272"/>
      <c r="SJ28" s="272"/>
      <c r="SK28" s="272"/>
      <c r="SL28" s="272"/>
      <c r="SM28" s="272"/>
      <c r="SN28" s="272"/>
      <c r="SO28" s="272"/>
      <c r="SP28" s="272"/>
      <c r="SQ28" s="272"/>
      <c r="SR28" s="272"/>
      <c r="SS28" s="272"/>
      <c r="ST28" s="272"/>
      <c r="SU28" s="272"/>
      <c r="SV28" s="272"/>
      <c r="SW28" s="272"/>
      <c r="SX28" s="272"/>
      <c r="SY28" s="272"/>
      <c r="SZ28" s="272"/>
      <c r="TA28" s="272"/>
      <c r="TB28" s="272"/>
      <c r="TC28" s="272"/>
      <c r="TD28" s="272"/>
      <c r="TE28" s="272"/>
      <c r="TF28" s="272"/>
      <c r="TG28" s="272"/>
      <c r="TH28" s="272"/>
      <c r="TI28" s="272"/>
      <c r="TJ28" s="272"/>
      <c r="TK28" s="272"/>
      <c r="TL28" s="272"/>
      <c r="TM28" s="272"/>
      <c r="TN28" s="272"/>
      <c r="TO28" s="272"/>
      <c r="TP28" s="272"/>
      <c r="TQ28" s="272"/>
      <c r="TR28" s="272"/>
      <c r="TS28" s="272"/>
      <c r="TT28" s="272"/>
      <c r="TU28" s="272"/>
      <c r="TV28" s="272"/>
      <c r="TW28" s="272"/>
      <c r="TX28" s="272"/>
      <c r="TY28" s="272"/>
      <c r="TZ28" s="272"/>
      <c r="UA28" s="272"/>
      <c r="UB28" s="272"/>
      <c r="UC28" s="272"/>
      <c r="UD28" s="272"/>
      <c r="UE28" s="272"/>
      <c r="UF28" s="272"/>
      <c r="UG28" s="272"/>
      <c r="UH28" s="272"/>
      <c r="UI28" s="272"/>
      <c r="UJ28" s="272"/>
      <c r="UK28" s="272"/>
      <c r="UL28" s="272"/>
      <c r="UM28" s="272"/>
      <c r="UN28" s="272"/>
      <c r="UO28" s="272"/>
      <c r="UP28" s="272"/>
      <c r="UQ28" s="272"/>
      <c r="UR28" s="272"/>
      <c r="US28" s="272"/>
      <c r="UT28" s="272"/>
      <c r="UU28" s="272"/>
      <c r="UV28" s="272"/>
      <c r="UW28" s="272"/>
      <c r="UX28" s="272"/>
      <c r="UY28" s="272"/>
      <c r="UZ28" s="272"/>
      <c r="VA28" s="272"/>
      <c r="VB28" s="272"/>
      <c r="VC28" s="272"/>
      <c r="VD28" s="272"/>
      <c r="VE28" s="272"/>
      <c r="VF28" s="272"/>
      <c r="VG28" s="272"/>
      <c r="VH28" s="272"/>
      <c r="VI28" s="272"/>
      <c r="VJ28" s="272"/>
      <c r="VK28" s="272"/>
      <c r="VL28" s="272"/>
      <c r="VM28" s="272"/>
      <c r="VN28" s="272"/>
      <c r="VO28" s="272"/>
      <c r="VP28" s="272"/>
      <c r="VQ28" s="272"/>
      <c r="VR28" s="272"/>
      <c r="VS28" s="272"/>
      <c r="VT28" s="272"/>
      <c r="VU28" s="272"/>
      <c r="VV28" s="272"/>
      <c r="VW28" s="272"/>
      <c r="VX28" s="272"/>
      <c r="VY28" s="272"/>
      <c r="VZ28" s="272"/>
      <c r="WA28" s="272"/>
      <c r="WB28" s="272"/>
      <c r="WC28" s="272"/>
      <c r="WD28" s="272"/>
      <c r="WE28" s="272"/>
      <c r="WF28" s="272"/>
      <c r="WG28" s="272"/>
      <c r="WH28" s="272"/>
      <c r="WI28" s="272"/>
      <c r="WJ28" s="272"/>
      <c r="WK28" s="272"/>
      <c r="WL28" s="272"/>
      <c r="WM28" s="272"/>
      <c r="WN28" s="272"/>
      <c r="WO28" s="272"/>
      <c r="WP28" s="272"/>
      <c r="WQ28" s="272"/>
      <c r="WR28" s="272"/>
      <c r="WS28" s="272"/>
      <c r="WT28" s="272"/>
      <c r="WU28" s="272"/>
      <c r="WV28" s="272"/>
      <c r="WW28" s="272"/>
      <c r="WX28" s="272"/>
      <c r="WY28" s="272"/>
      <c r="WZ28" s="272"/>
      <c r="XA28" s="272"/>
      <c r="XB28" s="272"/>
      <c r="XC28" s="272"/>
      <c r="XD28" s="272"/>
      <c r="XE28" s="272"/>
      <c r="XF28" s="272"/>
      <c r="XG28" s="272"/>
      <c r="XH28" s="272"/>
      <c r="XI28" s="272"/>
      <c r="XJ28" s="272"/>
      <c r="XK28" s="272"/>
      <c r="XL28" s="272"/>
      <c r="XM28" s="272"/>
      <c r="XN28" s="272"/>
      <c r="XO28" s="272"/>
      <c r="XP28" s="272"/>
      <c r="XQ28" s="272"/>
      <c r="XR28" s="272"/>
      <c r="XS28" s="272"/>
      <c r="XT28" s="272"/>
      <c r="XU28" s="272"/>
      <c r="XV28" s="272"/>
      <c r="XW28" s="272"/>
      <c r="XX28" s="272"/>
      <c r="XY28" s="272"/>
      <c r="XZ28" s="272"/>
      <c r="YA28" s="272"/>
      <c r="YB28" s="272"/>
      <c r="YC28" s="272"/>
      <c r="YD28" s="272"/>
      <c r="YE28" s="272"/>
      <c r="YF28" s="272"/>
      <c r="YG28" s="272"/>
      <c r="YH28" s="272"/>
      <c r="YI28" s="272"/>
      <c r="YJ28" s="272"/>
      <c r="YK28" s="272"/>
      <c r="YL28" s="272"/>
      <c r="YM28" s="272"/>
      <c r="YN28" s="272"/>
      <c r="YO28" s="272"/>
      <c r="YP28" s="272"/>
      <c r="YQ28" s="272"/>
      <c r="YR28" s="272"/>
      <c r="YS28" s="272"/>
      <c r="YT28" s="272"/>
      <c r="YU28" s="272"/>
      <c r="YV28" s="272"/>
      <c r="YW28" s="272"/>
      <c r="YX28" s="272"/>
      <c r="YY28" s="272"/>
      <c r="YZ28" s="272"/>
      <c r="ZA28" s="272"/>
      <c r="ZB28" s="272"/>
      <c r="ZC28" s="272"/>
      <c r="ZD28" s="272"/>
      <c r="ZE28" s="272"/>
      <c r="ZF28" s="272"/>
      <c r="ZG28" s="272"/>
      <c r="ZH28" s="272"/>
      <c r="ZI28" s="272"/>
      <c r="ZJ28" s="272"/>
      <c r="ZK28" s="272"/>
      <c r="ZL28" s="272"/>
      <c r="ZM28" s="272"/>
      <c r="ZN28" s="272"/>
      <c r="ZO28" s="272"/>
      <c r="ZP28" s="272"/>
      <c r="ZQ28" s="272"/>
      <c r="ZR28" s="272"/>
      <c r="ZS28" s="272"/>
      <c r="ZT28" s="272"/>
      <c r="ZU28" s="272"/>
      <c r="ZV28" s="272"/>
      <c r="ZW28" s="272"/>
      <c r="ZX28" s="272"/>
      <c r="ZY28" s="272"/>
      <c r="ZZ28" s="272"/>
      <c r="AAA28" s="272"/>
      <c r="AAB28" s="272"/>
      <c r="AAC28" s="272"/>
      <c r="AAD28" s="272"/>
      <c r="AAE28" s="272"/>
      <c r="AAF28" s="272"/>
      <c r="AAG28" s="272"/>
      <c r="AAH28" s="272"/>
      <c r="AAI28" s="272"/>
      <c r="AAJ28" s="272"/>
      <c r="AAK28" s="272"/>
      <c r="AAL28" s="272"/>
      <c r="AAM28" s="272"/>
      <c r="AAN28" s="272"/>
      <c r="AAO28" s="272"/>
      <c r="AAP28" s="272"/>
      <c r="AAQ28" s="272"/>
      <c r="AAR28" s="272"/>
      <c r="AAS28" s="272"/>
      <c r="AAT28" s="272"/>
      <c r="AAU28" s="272"/>
      <c r="AAV28" s="272"/>
      <c r="AAW28" s="272"/>
      <c r="AAX28" s="272"/>
      <c r="AAY28" s="272"/>
      <c r="AAZ28" s="272"/>
      <c r="ABA28" s="272"/>
      <c r="ABB28" s="272"/>
      <c r="ABC28" s="272"/>
      <c r="ABD28" s="272"/>
      <c r="ABE28" s="272"/>
      <c r="ABF28" s="272"/>
      <c r="ABG28" s="272"/>
    </row>
    <row r="29" spans="1:735" s="19" customFormat="1" ht="15">
      <c r="A29" s="44"/>
      <c r="B29" s="598"/>
      <c r="C29" s="24" t="s">
        <v>54</v>
      </c>
      <c r="D29" s="505"/>
      <c r="E29" s="509"/>
      <c r="F29" s="506"/>
      <c r="G29" s="507"/>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2"/>
      <c r="DK29" s="272"/>
      <c r="DL29" s="272"/>
      <c r="DM29" s="272"/>
      <c r="DN29" s="272"/>
      <c r="DO29" s="272"/>
      <c r="DP29" s="272"/>
      <c r="DQ29" s="272"/>
      <c r="DR29" s="272"/>
      <c r="DS29" s="272"/>
      <c r="DT29" s="272"/>
      <c r="DU29" s="272"/>
      <c r="DV29" s="272"/>
      <c r="DW29" s="272"/>
      <c r="DX29" s="272"/>
      <c r="DY29" s="272"/>
      <c r="DZ29" s="272"/>
      <c r="EA29" s="272"/>
      <c r="EB29" s="272"/>
      <c r="EC29" s="272"/>
      <c r="ED29" s="272"/>
      <c r="EE29" s="272"/>
      <c r="EF29" s="272"/>
      <c r="EG29" s="272"/>
      <c r="EH29" s="272"/>
      <c r="EI29" s="272"/>
      <c r="EJ29" s="272"/>
      <c r="EK29" s="272"/>
      <c r="EL29" s="272"/>
      <c r="EM29" s="272"/>
      <c r="EN29" s="272"/>
      <c r="EO29" s="272"/>
      <c r="EP29" s="272"/>
      <c r="EQ29" s="272"/>
      <c r="ER29" s="272"/>
      <c r="ES29" s="272"/>
      <c r="ET29" s="272"/>
      <c r="EU29" s="272"/>
      <c r="EV29" s="272"/>
      <c r="EW29" s="272"/>
      <c r="EX29" s="272"/>
      <c r="EY29" s="272"/>
      <c r="EZ29" s="272"/>
      <c r="FA29" s="272"/>
      <c r="FB29" s="272"/>
      <c r="FC29" s="272"/>
      <c r="FD29" s="272"/>
      <c r="FE29" s="272"/>
      <c r="FF29" s="272"/>
      <c r="FG29" s="272"/>
      <c r="FH29" s="272"/>
      <c r="FI29" s="272"/>
      <c r="FJ29" s="272"/>
      <c r="FK29" s="272"/>
      <c r="FL29" s="272"/>
      <c r="FM29" s="272"/>
      <c r="FN29" s="272"/>
      <c r="FO29" s="272"/>
      <c r="FP29" s="272"/>
      <c r="FQ29" s="272"/>
      <c r="FR29" s="272"/>
      <c r="FS29" s="272"/>
      <c r="FT29" s="272"/>
      <c r="FU29" s="272"/>
      <c r="FV29" s="272"/>
      <c r="FW29" s="272"/>
      <c r="FX29" s="272"/>
      <c r="FY29" s="272"/>
      <c r="FZ29" s="272"/>
      <c r="GA29" s="272"/>
      <c r="GB29" s="272"/>
      <c r="GC29" s="272"/>
      <c r="GD29" s="272"/>
      <c r="GE29" s="272"/>
      <c r="GF29" s="272"/>
      <c r="GG29" s="272"/>
      <c r="GH29" s="272"/>
      <c r="GI29" s="272"/>
      <c r="GJ29" s="272"/>
      <c r="GK29" s="272"/>
      <c r="GL29" s="272"/>
      <c r="GM29" s="272"/>
      <c r="GN29" s="272"/>
      <c r="GO29" s="272"/>
      <c r="GP29" s="272"/>
      <c r="GQ29" s="272"/>
      <c r="GR29" s="272"/>
      <c r="GS29" s="272"/>
      <c r="GT29" s="272"/>
      <c r="GU29" s="272"/>
      <c r="GV29" s="272"/>
      <c r="GW29" s="272"/>
      <c r="GX29" s="272"/>
      <c r="GY29" s="272"/>
      <c r="GZ29" s="272"/>
      <c r="HA29" s="272"/>
      <c r="HB29" s="272"/>
      <c r="HC29" s="272"/>
      <c r="HD29" s="272"/>
      <c r="HE29" s="272"/>
      <c r="HF29" s="272"/>
      <c r="HG29" s="272"/>
      <c r="HH29" s="272"/>
      <c r="HI29" s="272"/>
      <c r="HJ29" s="272"/>
      <c r="HK29" s="272"/>
      <c r="HL29" s="272"/>
      <c r="HM29" s="27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2"/>
      <c r="IX29" s="272"/>
      <c r="IY29" s="272"/>
      <c r="IZ29" s="272"/>
      <c r="JA29" s="272"/>
      <c r="JB29" s="272"/>
      <c r="JC29" s="272"/>
      <c r="JD29" s="272"/>
      <c r="JE29" s="272"/>
      <c r="JF29" s="272"/>
      <c r="JG29" s="272"/>
      <c r="JH29" s="272"/>
      <c r="JI29" s="272"/>
      <c r="JJ29" s="272"/>
      <c r="JK29" s="272"/>
      <c r="JL29" s="272"/>
      <c r="JM29" s="272"/>
      <c r="JN29" s="272"/>
      <c r="JO29" s="272"/>
      <c r="JP29" s="272"/>
      <c r="JQ29" s="272"/>
      <c r="JR29" s="272"/>
      <c r="JS29" s="272"/>
      <c r="JT29" s="272"/>
      <c r="JU29" s="272"/>
      <c r="JV29" s="272"/>
      <c r="JW29" s="272"/>
      <c r="JX29" s="272"/>
      <c r="JY29" s="272"/>
      <c r="JZ29" s="272"/>
      <c r="KA29" s="272"/>
      <c r="KB29" s="272"/>
      <c r="KC29" s="272"/>
      <c r="KD29" s="272"/>
      <c r="KE29" s="272"/>
      <c r="KF29" s="272"/>
      <c r="KG29" s="272"/>
      <c r="KH29" s="272"/>
      <c r="KI29" s="272"/>
      <c r="KJ29" s="272"/>
      <c r="KK29" s="272"/>
      <c r="KL29" s="272"/>
      <c r="KM29" s="272"/>
      <c r="KN29" s="272"/>
      <c r="KO29" s="272"/>
      <c r="KP29" s="272"/>
      <c r="KQ29" s="272"/>
      <c r="KR29" s="272"/>
      <c r="KS29" s="272"/>
      <c r="KT29" s="272"/>
      <c r="KU29" s="272"/>
      <c r="KV29" s="272"/>
      <c r="KW29" s="272"/>
      <c r="KX29" s="272"/>
      <c r="KY29" s="272"/>
      <c r="KZ29" s="272"/>
      <c r="LA29" s="272"/>
      <c r="LB29" s="272"/>
      <c r="LC29" s="272"/>
      <c r="LD29" s="272"/>
      <c r="LE29" s="272"/>
      <c r="LF29" s="272"/>
      <c r="LG29" s="272"/>
      <c r="LH29" s="272"/>
      <c r="LI29" s="272"/>
      <c r="LJ29" s="272"/>
      <c r="LK29" s="272"/>
      <c r="LL29" s="272"/>
      <c r="LM29" s="272"/>
      <c r="LN29" s="272"/>
      <c r="LO29" s="272"/>
      <c r="LP29" s="272"/>
      <c r="LQ29" s="272"/>
      <c r="LR29" s="272"/>
      <c r="LS29" s="272"/>
      <c r="LT29" s="272"/>
      <c r="LU29" s="272"/>
      <c r="LV29" s="272"/>
      <c r="LW29" s="272"/>
      <c r="LX29" s="272"/>
      <c r="LY29" s="272"/>
      <c r="LZ29" s="272"/>
      <c r="MA29" s="272"/>
      <c r="MB29" s="272"/>
      <c r="MC29" s="272"/>
      <c r="MD29" s="272"/>
      <c r="ME29" s="272"/>
      <c r="MF29" s="272"/>
      <c r="MG29" s="272"/>
      <c r="MH29" s="272"/>
      <c r="MI29" s="272"/>
      <c r="MJ29" s="272"/>
      <c r="MK29" s="272"/>
      <c r="ML29" s="272"/>
      <c r="MM29" s="272"/>
      <c r="MN29" s="272"/>
      <c r="MO29" s="272"/>
      <c r="MP29" s="272"/>
      <c r="MQ29" s="272"/>
      <c r="MR29" s="272"/>
      <c r="MS29" s="272"/>
      <c r="MT29" s="272"/>
      <c r="MU29" s="272"/>
      <c r="MV29" s="272"/>
      <c r="MW29" s="272"/>
      <c r="MX29" s="272"/>
      <c r="MY29" s="272"/>
      <c r="MZ29" s="272"/>
      <c r="NA29" s="272"/>
      <c r="NB29" s="272"/>
      <c r="NC29" s="272"/>
      <c r="ND29" s="272"/>
      <c r="NE29" s="272"/>
      <c r="NF29" s="272"/>
      <c r="NG29" s="272"/>
      <c r="NH29" s="272"/>
      <c r="NI29" s="272"/>
      <c r="NJ29" s="272"/>
      <c r="NK29" s="272"/>
      <c r="NL29" s="272"/>
      <c r="NM29" s="272"/>
      <c r="NN29" s="272"/>
      <c r="NO29" s="272"/>
      <c r="NP29" s="272"/>
      <c r="NQ29" s="272"/>
      <c r="NR29" s="272"/>
      <c r="NS29" s="272"/>
      <c r="NT29" s="272"/>
      <c r="NU29" s="272"/>
      <c r="NV29" s="272"/>
      <c r="NW29" s="272"/>
      <c r="NX29" s="272"/>
      <c r="NY29" s="272"/>
      <c r="NZ29" s="272"/>
      <c r="OA29" s="272"/>
      <c r="OB29" s="272"/>
      <c r="OC29" s="272"/>
      <c r="OD29" s="272"/>
      <c r="OE29" s="272"/>
      <c r="OF29" s="272"/>
      <c r="OG29" s="272"/>
      <c r="OH29" s="272"/>
      <c r="OI29" s="272"/>
      <c r="OJ29" s="272"/>
      <c r="OK29" s="272"/>
      <c r="OL29" s="272"/>
      <c r="OM29" s="272"/>
      <c r="ON29" s="272"/>
      <c r="OO29" s="272"/>
      <c r="OP29" s="272"/>
      <c r="OQ29" s="272"/>
      <c r="OR29" s="272"/>
      <c r="OS29" s="272"/>
      <c r="OT29" s="272"/>
      <c r="OU29" s="272"/>
      <c r="OV29" s="272"/>
      <c r="OW29" s="272"/>
      <c r="OX29" s="272"/>
      <c r="OY29" s="272"/>
      <c r="OZ29" s="272"/>
      <c r="PA29" s="272"/>
      <c r="PB29" s="272"/>
      <c r="PC29" s="272"/>
      <c r="PD29" s="272"/>
      <c r="PE29" s="272"/>
      <c r="PF29" s="272"/>
      <c r="PG29" s="272"/>
      <c r="PH29" s="272"/>
      <c r="PI29" s="272"/>
      <c r="PJ29" s="272"/>
      <c r="PK29" s="272"/>
      <c r="PL29" s="272"/>
      <c r="PM29" s="272"/>
      <c r="PN29" s="272"/>
      <c r="PO29" s="272"/>
      <c r="PP29" s="272"/>
      <c r="PQ29" s="272"/>
      <c r="PR29" s="272"/>
      <c r="PS29" s="272"/>
      <c r="PT29" s="272"/>
      <c r="PU29" s="272"/>
      <c r="PV29" s="272"/>
      <c r="PW29" s="272"/>
      <c r="PX29" s="272"/>
      <c r="PY29" s="272"/>
      <c r="PZ29" s="272"/>
      <c r="QA29" s="272"/>
      <c r="QB29" s="272"/>
      <c r="QC29" s="272"/>
      <c r="QD29" s="272"/>
      <c r="QE29" s="272"/>
      <c r="QF29" s="272"/>
      <c r="QG29" s="272"/>
      <c r="QH29" s="272"/>
      <c r="QI29" s="272"/>
      <c r="QJ29" s="272"/>
      <c r="QK29" s="272"/>
      <c r="QL29" s="272"/>
      <c r="QM29" s="272"/>
      <c r="QN29" s="272"/>
      <c r="QO29" s="272"/>
      <c r="QP29" s="272"/>
      <c r="QQ29" s="272"/>
      <c r="QR29" s="272"/>
      <c r="QS29" s="272"/>
      <c r="QT29" s="272"/>
      <c r="QU29" s="272"/>
      <c r="QV29" s="272"/>
      <c r="QW29" s="272"/>
      <c r="QX29" s="272"/>
      <c r="QY29" s="272"/>
      <c r="QZ29" s="272"/>
      <c r="RA29" s="272"/>
      <c r="RB29" s="272"/>
      <c r="RC29" s="272"/>
      <c r="RD29" s="272"/>
      <c r="RE29" s="272"/>
      <c r="RF29" s="272"/>
      <c r="RG29" s="272"/>
      <c r="RH29" s="272"/>
      <c r="RI29" s="272"/>
      <c r="RJ29" s="272"/>
      <c r="RK29" s="272"/>
      <c r="RL29" s="272"/>
      <c r="RM29" s="272"/>
      <c r="RN29" s="272"/>
      <c r="RO29" s="272"/>
      <c r="RP29" s="272"/>
      <c r="RQ29" s="272"/>
      <c r="RR29" s="272"/>
      <c r="RS29" s="272"/>
      <c r="RT29" s="272"/>
      <c r="RU29" s="272"/>
      <c r="RV29" s="272"/>
      <c r="RW29" s="272"/>
      <c r="RX29" s="272"/>
      <c r="RY29" s="272"/>
      <c r="RZ29" s="272"/>
      <c r="SA29" s="272"/>
      <c r="SB29" s="272"/>
      <c r="SC29" s="272"/>
      <c r="SD29" s="272"/>
      <c r="SE29" s="272"/>
      <c r="SF29" s="272"/>
      <c r="SG29" s="272"/>
      <c r="SH29" s="272"/>
      <c r="SI29" s="272"/>
      <c r="SJ29" s="272"/>
      <c r="SK29" s="272"/>
      <c r="SL29" s="272"/>
      <c r="SM29" s="272"/>
      <c r="SN29" s="272"/>
      <c r="SO29" s="272"/>
      <c r="SP29" s="272"/>
      <c r="SQ29" s="272"/>
      <c r="SR29" s="272"/>
      <c r="SS29" s="272"/>
      <c r="ST29" s="272"/>
      <c r="SU29" s="272"/>
      <c r="SV29" s="272"/>
      <c r="SW29" s="272"/>
      <c r="SX29" s="272"/>
      <c r="SY29" s="272"/>
      <c r="SZ29" s="272"/>
      <c r="TA29" s="272"/>
      <c r="TB29" s="272"/>
      <c r="TC29" s="272"/>
      <c r="TD29" s="272"/>
      <c r="TE29" s="272"/>
      <c r="TF29" s="272"/>
      <c r="TG29" s="272"/>
      <c r="TH29" s="272"/>
      <c r="TI29" s="272"/>
      <c r="TJ29" s="272"/>
      <c r="TK29" s="272"/>
      <c r="TL29" s="272"/>
      <c r="TM29" s="272"/>
      <c r="TN29" s="272"/>
      <c r="TO29" s="272"/>
      <c r="TP29" s="272"/>
      <c r="TQ29" s="272"/>
      <c r="TR29" s="272"/>
      <c r="TS29" s="272"/>
      <c r="TT29" s="272"/>
      <c r="TU29" s="272"/>
      <c r="TV29" s="272"/>
      <c r="TW29" s="272"/>
      <c r="TX29" s="272"/>
      <c r="TY29" s="272"/>
      <c r="TZ29" s="272"/>
      <c r="UA29" s="272"/>
      <c r="UB29" s="272"/>
      <c r="UC29" s="272"/>
      <c r="UD29" s="272"/>
      <c r="UE29" s="272"/>
      <c r="UF29" s="272"/>
      <c r="UG29" s="272"/>
      <c r="UH29" s="272"/>
      <c r="UI29" s="272"/>
      <c r="UJ29" s="272"/>
      <c r="UK29" s="272"/>
      <c r="UL29" s="272"/>
      <c r="UM29" s="272"/>
      <c r="UN29" s="272"/>
      <c r="UO29" s="272"/>
      <c r="UP29" s="272"/>
      <c r="UQ29" s="272"/>
      <c r="UR29" s="272"/>
      <c r="US29" s="272"/>
      <c r="UT29" s="272"/>
      <c r="UU29" s="272"/>
      <c r="UV29" s="272"/>
      <c r="UW29" s="272"/>
      <c r="UX29" s="272"/>
      <c r="UY29" s="272"/>
      <c r="UZ29" s="272"/>
      <c r="VA29" s="272"/>
      <c r="VB29" s="272"/>
      <c r="VC29" s="272"/>
      <c r="VD29" s="272"/>
      <c r="VE29" s="272"/>
      <c r="VF29" s="272"/>
      <c r="VG29" s="272"/>
      <c r="VH29" s="272"/>
      <c r="VI29" s="272"/>
      <c r="VJ29" s="272"/>
      <c r="VK29" s="272"/>
      <c r="VL29" s="272"/>
      <c r="VM29" s="272"/>
      <c r="VN29" s="272"/>
      <c r="VO29" s="272"/>
      <c r="VP29" s="272"/>
      <c r="VQ29" s="272"/>
      <c r="VR29" s="272"/>
      <c r="VS29" s="272"/>
      <c r="VT29" s="272"/>
      <c r="VU29" s="272"/>
      <c r="VV29" s="272"/>
      <c r="VW29" s="272"/>
      <c r="VX29" s="272"/>
      <c r="VY29" s="272"/>
      <c r="VZ29" s="272"/>
      <c r="WA29" s="272"/>
      <c r="WB29" s="272"/>
      <c r="WC29" s="272"/>
      <c r="WD29" s="272"/>
      <c r="WE29" s="272"/>
      <c r="WF29" s="272"/>
      <c r="WG29" s="272"/>
      <c r="WH29" s="272"/>
      <c r="WI29" s="272"/>
      <c r="WJ29" s="272"/>
      <c r="WK29" s="272"/>
      <c r="WL29" s="272"/>
      <c r="WM29" s="272"/>
      <c r="WN29" s="272"/>
      <c r="WO29" s="272"/>
      <c r="WP29" s="272"/>
      <c r="WQ29" s="272"/>
      <c r="WR29" s="272"/>
      <c r="WS29" s="272"/>
      <c r="WT29" s="272"/>
      <c r="WU29" s="272"/>
      <c r="WV29" s="272"/>
      <c r="WW29" s="272"/>
      <c r="WX29" s="272"/>
      <c r="WY29" s="272"/>
      <c r="WZ29" s="272"/>
      <c r="XA29" s="272"/>
      <c r="XB29" s="272"/>
      <c r="XC29" s="272"/>
      <c r="XD29" s="272"/>
      <c r="XE29" s="272"/>
      <c r="XF29" s="272"/>
      <c r="XG29" s="272"/>
      <c r="XH29" s="272"/>
      <c r="XI29" s="272"/>
      <c r="XJ29" s="272"/>
      <c r="XK29" s="272"/>
      <c r="XL29" s="272"/>
      <c r="XM29" s="272"/>
      <c r="XN29" s="272"/>
      <c r="XO29" s="272"/>
      <c r="XP29" s="272"/>
      <c r="XQ29" s="272"/>
      <c r="XR29" s="272"/>
      <c r="XS29" s="272"/>
      <c r="XT29" s="272"/>
      <c r="XU29" s="272"/>
      <c r="XV29" s="272"/>
      <c r="XW29" s="272"/>
      <c r="XX29" s="272"/>
      <c r="XY29" s="272"/>
      <c r="XZ29" s="272"/>
      <c r="YA29" s="272"/>
      <c r="YB29" s="272"/>
      <c r="YC29" s="272"/>
      <c r="YD29" s="272"/>
      <c r="YE29" s="272"/>
      <c r="YF29" s="272"/>
      <c r="YG29" s="272"/>
      <c r="YH29" s="272"/>
      <c r="YI29" s="272"/>
      <c r="YJ29" s="272"/>
      <c r="YK29" s="272"/>
      <c r="YL29" s="272"/>
      <c r="YM29" s="272"/>
      <c r="YN29" s="272"/>
      <c r="YO29" s="272"/>
      <c r="YP29" s="272"/>
      <c r="YQ29" s="272"/>
      <c r="YR29" s="272"/>
      <c r="YS29" s="272"/>
      <c r="YT29" s="272"/>
      <c r="YU29" s="272"/>
      <c r="YV29" s="272"/>
      <c r="YW29" s="272"/>
      <c r="YX29" s="272"/>
      <c r="YY29" s="272"/>
      <c r="YZ29" s="272"/>
      <c r="ZA29" s="272"/>
      <c r="ZB29" s="272"/>
      <c r="ZC29" s="272"/>
      <c r="ZD29" s="272"/>
      <c r="ZE29" s="272"/>
      <c r="ZF29" s="272"/>
      <c r="ZG29" s="272"/>
      <c r="ZH29" s="272"/>
      <c r="ZI29" s="272"/>
      <c r="ZJ29" s="272"/>
      <c r="ZK29" s="272"/>
      <c r="ZL29" s="272"/>
      <c r="ZM29" s="272"/>
      <c r="ZN29" s="272"/>
      <c r="ZO29" s="272"/>
      <c r="ZP29" s="272"/>
      <c r="ZQ29" s="272"/>
      <c r="ZR29" s="272"/>
      <c r="ZS29" s="272"/>
      <c r="ZT29" s="272"/>
      <c r="ZU29" s="272"/>
      <c r="ZV29" s="272"/>
      <c r="ZW29" s="272"/>
      <c r="ZX29" s="272"/>
      <c r="ZY29" s="272"/>
      <c r="ZZ29" s="272"/>
      <c r="AAA29" s="272"/>
      <c r="AAB29" s="272"/>
      <c r="AAC29" s="272"/>
      <c r="AAD29" s="272"/>
      <c r="AAE29" s="272"/>
      <c r="AAF29" s="272"/>
      <c r="AAG29" s="272"/>
      <c r="AAH29" s="272"/>
      <c r="AAI29" s="272"/>
      <c r="AAJ29" s="272"/>
      <c r="AAK29" s="272"/>
      <c r="AAL29" s="272"/>
      <c r="AAM29" s="272"/>
      <c r="AAN29" s="272"/>
      <c r="AAO29" s="272"/>
      <c r="AAP29" s="272"/>
      <c r="AAQ29" s="272"/>
      <c r="AAR29" s="272"/>
      <c r="AAS29" s="272"/>
      <c r="AAT29" s="272"/>
      <c r="AAU29" s="272"/>
      <c r="AAV29" s="272"/>
      <c r="AAW29" s="272"/>
      <c r="AAX29" s="272"/>
      <c r="AAY29" s="272"/>
      <c r="AAZ29" s="272"/>
      <c r="ABA29" s="272"/>
      <c r="ABB29" s="272"/>
      <c r="ABC29" s="272"/>
      <c r="ABD29" s="272"/>
      <c r="ABE29" s="272"/>
      <c r="ABF29" s="272"/>
      <c r="ABG29" s="272"/>
    </row>
    <row r="30" spans="1:735" s="19" customFormat="1" ht="38.25" customHeight="1">
      <c r="A30" s="44"/>
      <c r="B30" s="596" t="s">
        <v>71</v>
      </c>
      <c r="C30" s="596" t="s">
        <v>52</v>
      </c>
      <c r="D30" s="599"/>
      <c r="E30" s="621"/>
      <c r="F30" s="624"/>
      <c r="G30" s="637"/>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2"/>
      <c r="EK30" s="272"/>
      <c r="EL30" s="272"/>
      <c r="EM30" s="272"/>
      <c r="EN30" s="272"/>
      <c r="EO30" s="272"/>
      <c r="EP30" s="272"/>
      <c r="EQ30" s="272"/>
      <c r="ER30" s="272"/>
      <c r="ES30" s="272"/>
      <c r="ET30" s="272"/>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c r="FT30" s="272"/>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c r="GS30" s="272"/>
      <c r="GT30" s="272"/>
      <c r="GU30" s="272"/>
      <c r="GV30" s="272"/>
      <c r="GW30" s="272"/>
      <c r="GX30" s="272"/>
      <c r="GY30" s="272"/>
      <c r="GZ30" s="272"/>
      <c r="HA30" s="272"/>
      <c r="HB30" s="272"/>
      <c r="HC30" s="272"/>
      <c r="HD30" s="272"/>
      <c r="HE30" s="272"/>
      <c r="HF30" s="272"/>
      <c r="HG30" s="272"/>
      <c r="HH30" s="272"/>
      <c r="HI30" s="272"/>
      <c r="HJ30" s="272"/>
      <c r="HK30" s="272"/>
      <c r="HL30" s="272"/>
      <c r="HM30" s="27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2"/>
      <c r="IX30" s="272"/>
      <c r="IY30" s="272"/>
      <c r="IZ30" s="272"/>
      <c r="JA30" s="272"/>
      <c r="JB30" s="272"/>
      <c r="JC30" s="272"/>
      <c r="JD30" s="272"/>
      <c r="JE30" s="272"/>
      <c r="JF30" s="272"/>
      <c r="JG30" s="272"/>
      <c r="JH30" s="272"/>
      <c r="JI30" s="272"/>
      <c r="JJ30" s="272"/>
      <c r="JK30" s="272"/>
      <c r="JL30" s="272"/>
      <c r="JM30" s="272"/>
      <c r="JN30" s="272"/>
      <c r="JO30" s="272"/>
      <c r="JP30" s="272"/>
      <c r="JQ30" s="272"/>
      <c r="JR30" s="272"/>
      <c r="JS30" s="272"/>
      <c r="JT30" s="272"/>
      <c r="JU30" s="272"/>
      <c r="JV30" s="272"/>
      <c r="JW30" s="272"/>
      <c r="JX30" s="272"/>
      <c r="JY30" s="272"/>
      <c r="JZ30" s="272"/>
      <c r="KA30" s="272"/>
      <c r="KB30" s="272"/>
      <c r="KC30" s="272"/>
      <c r="KD30" s="272"/>
      <c r="KE30" s="272"/>
      <c r="KF30" s="272"/>
      <c r="KG30" s="272"/>
      <c r="KH30" s="272"/>
      <c r="KI30" s="272"/>
      <c r="KJ30" s="272"/>
      <c r="KK30" s="272"/>
      <c r="KL30" s="272"/>
      <c r="KM30" s="272"/>
      <c r="KN30" s="272"/>
      <c r="KO30" s="272"/>
      <c r="KP30" s="272"/>
      <c r="KQ30" s="272"/>
      <c r="KR30" s="272"/>
      <c r="KS30" s="272"/>
      <c r="KT30" s="272"/>
      <c r="KU30" s="272"/>
      <c r="KV30" s="272"/>
      <c r="KW30" s="272"/>
      <c r="KX30" s="272"/>
      <c r="KY30" s="272"/>
      <c r="KZ30" s="272"/>
      <c r="LA30" s="272"/>
      <c r="LB30" s="272"/>
      <c r="LC30" s="272"/>
      <c r="LD30" s="272"/>
      <c r="LE30" s="272"/>
      <c r="LF30" s="272"/>
      <c r="LG30" s="272"/>
      <c r="LH30" s="272"/>
      <c r="LI30" s="272"/>
      <c r="LJ30" s="272"/>
      <c r="LK30" s="272"/>
      <c r="LL30" s="272"/>
      <c r="LM30" s="272"/>
      <c r="LN30" s="272"/>
      <c r="LO30" s="272"/>
      <c r="LP30" s="272"/>
      <c r="LQ30" s="272"/>
      <c r="LR30" s="272"/>
      <c r="LS30" s="272"/>
      <c r="LT30" s="272"/>
      <c r="LU30" s="272"/>
      <c r="LV30" s="272"/>
      <c r="LW30" s="272"/>
      <c r="LX30" s="272"/>
      <c r="LY30" s="272"/>
      <c r="LZ30" s="272"/>
      <c r="MA30" s="272"/>
      <c r="MB30" s="272"/>
      <c r="MC30" s="272"/>
      <c r="MD30" s="272"/>
      <c r="ME30" s="272"/>
      <c r="MF30" s="272"/>
      <c r="MG30" s="272"/>
      <c r="MH30" s="272"/>
      <c r="MI30" s="272"/>
      <c r="MJ30" s="272"/>
      <c r="MK30" s="272"/>
      <c r="ML30" s="272"/>
      <c r="MM30" s="272"/>
      <c r="MN30" s="272"/>
      <c r="MO30" s="272"/>
      <c r="MP30" s="272"/>
      <c r="MQ30" s="272"/>
      <c r="MR30" s="272"/>
      <c r="MS30" s="272"/>
      <c r="MT30" s="272"/>
      <c r="MU30" s="272"/>
      <c r="MV30" s="272"/>
      <c r="MW30" s="272"/>
      <c r="MX30" s="272"/>
      <c r="MY30" s="272"/>
      <c r="MZ30" s="272"/>
      <c r="NA30" s="272"/>
      <c r="NB30" s="272"/>
      <c r="NC30" s="272"/>
      <c r="ND30" s="272"/>
      <c r="NE30" s="272"/>
      <c r="NF30" s="272"/>
      <c r="NG30" s="272"/>
      <c r="NH30" s="272"/>
      <c r="NI30" s="272"/>
      <c r="NJ30" s="272"/>
      <c r="NK30" s="272"/>
      <c r="NL30" s="272"/>
      <c r="NM30" s="272"/>
      <c r="NN30" s="272"/>
      <c r="NO30" s="272"/>
      <c r="NP30" s="272"/>
      <c r="NQ30" s="272"/>
      <c r="NR30" s="272"/>
      <c r="NS30" s="272"/>
      <c r="NT30" s="272"/>
      <c r="NU30" s="272"/>
      <c r="NV30" s="272"/>
      <c r="NW30" s="272"/>
      <c r="NX30" s="272"/>
      <c r="NY30" s="272"/>
      <c r="NZ30" s="272"/>
      <c r="OA30" s="272"/>
      <c r="OB30" s="272"/>
      <c r="OC30" s="272"/>
      <c r="OD30" s="272"/>
      <c r="OE30" s="272"/>
      <c r="OF30" s="272"/>
      <c r="OG30" s="272"/>
      <c r="OH30" s="272"/>
      <c r="OI30" s="272"/>
      <c r="OJ30" s="272"/>
      <c r="OK30" s="272"/>
      <c r="OL30" s="272"/>
      <c r="OM30" s="272"/>
      <c r="ON30" s="272"/>
      <c r="OO30" s="272"/>
      <c r="OP30" s="272"/>
      <c r="OQ30" s="272"/>
      <c r="OR30" s="272"/>
      <c r="OS30" s="272"/>
      <c r="OT30" s="272"/>
      <c r="OU30" s="272"/>
      <c r="OV30" s="272"/>
      <c r="OW30" s="272"/>
      <c r="OX30" s="272"/>
      <c r="OY30" s="272"/>
      <c r="OZ30" s="272"/>
      <c r="PA30" s="272"/>
      <c r="PB30" s="272"/>
      <c r="PC30" s="272"/>
      <c r="PD30" s="272"/>
      <c r="PE30" s="272"/>
      <c r="PF30" s="272"/>
      <c r="PG30" s="272"/>
      <c r="PH30" s="272"/>
      <c r="PI30" s="272"/>
      <c r="PJ30" s="272"/>
      <c r="PK30" s="272"/>
      <c r="PL30" s="272"/>
      <c r="PM30" s="272"/>
      <c r="PN30" s="272"/>
      <c r="PO30" s="272"/>
      <c r="PP30" s="272"/>
      <c r="PQ30" s="272"/>
      <c r="PR30" s="272"/>
      <c r="PS30" s="272"/>
      <c r="PT30" s="272"/>
      <c r="PU30" s="272"/>
      <c r="PV30" s="272"/>
      <c r="PW30" s="272"/>
      <c r="PX30" s="272"/>
      <c r="PY30" s="272"/>
      <c r="PZ30" s="272"/>
      <c r="QA30" s="272"/>
      <c r="QB30" s="272"/>
      <c r="QC30" s="272"/>
      <c r="QD30" s="272"/>
      <c r="QE30" s="272"/>
      <c r="QF30" s="272"/>
      <c r="QG30" s="272"/>
      <c r="QH30" s="272"/>
      <c r="QI30" s="272"/>
      <c r="QJ30" s="272"/>
      <c r="QK30" s="272"/>
      <c r="QL30" s="272"/>
      <c r="QM30" s="272"/>
      <c r="QN30" s="272"/>
      <c r="QO30" s="272"/>
      <c r="QP30" s="272"/>
      <c r="QQ30" s="272"/>
      <c r="QR30" s="272"/>
      <c r="QS30" s="272"/>
      <c r="QT30" s="272"/>
      <c r="QU30" s="272"/>
      <c r="QV30" s="272"/>
      <c r="QW30" s="272"/>
      <c r="QX30" s="272"/>
      <c r="QY30" s="272"/>
      <c r="QZ30" s="272"/>
      <c r="RA30" s="272"/>
      <c r="RB30" s="272"/>
      <c r="RC30" s="272"/>
      <c r="RD30" s="272"/>
      <c r="RE30" s="272"/>
      <c r="RF30" s="272"/>
      <c r="RG30" s="272"/>
      <c r="RH30" s="272"/>
      <c r="RI30" s="272"/>
      <c r="RJ30" s="272"/>
      <c r="RK30" s="272"/>
      <c r="RL30" s="272"/>
      <c r="RM30" s="272"/>
      <c r="RN30" s="272"/>
      <c r="RO30" s="272"/>
      <c r="RP30" s="272"/>
      <c r="RQ30" s="272"/>
      <c r="RR30" s="272"/>
      <c r="RS30" s="272"/>
      <c r="RT30" s="272"/>
      <c r="RU30" s="272"/>
      <c r="RV30" s="272"/>
      <c r="RW30" s="272"/>
      <c r="RX30" s="272"/>
      <c r="RY30" s="272"/>
      <c r="RZ30" s="272"/>
      <c r="SA30" s="272"/>
      <c r="SB30" s="272"/>
      <c r="SC30" s="272"/>
      <c r="SD30" s="272"/>
      <c r="SE30" s="272"/>
      <c r="SF30" s="272"/>
      <c r="SG30" s="272"/>
      <c r="SH30" s="272"/>
      <c r="SI30" s="272"/>
      <c r="SJ30" s="272"/>
      <c r="SK30" s="272"/>
      <c r="SL30" s="272"/>
      <c r="SM30" s="272"/>
      <c r="SN30" s="272"/>
      <c r="SO30" s="272"/>
      <c r="SP30" s="272"/>
      <c r="SQ30" s="272"/>
      <c r="SR30" s="272"/>
      <c r="SS30" s="272"/>
      <c r="ST30" s="272"/>
      <c r="SU30" s="272"/>
      <c r="SV30" s="272"/>
      <c r="SW30" s="272"/>
      <c r="SX30" s="272"/>
      <c r="SY30" s="272"/>
      <c r="SZ30" s="272"/>
      <c r="TA30" s="272"/>
      <c r="TB30" s="272"/>
      <c r="TC30" s="272"/>
      <c r="TD30" s="272"/>
      <c r="TE30" s="272"/>
      <c r="TF30" s="272"/>
      <c r="TG30" s="272"/>
      <c r="TH30" s="272"/>
      <c r="TI30" s="272"/>
      <c r="TJ30" s="272"/>
      <c r="TK30" s="272"/>
      <c r="TL30" s="272"/>
      <c r="TM30" s="272"/>
      <c r="TN30" s="272"/>
      <c r="TO30" s="272"/>
      <c r="TP30" s="272"/>
      <c r="TQ30" s="272"/>
      <c r="TR30" s="272"/>
      <c r="TS30" s="272"/>
      <c r="TT30" s="272"/>
      <c r="TU30" s="272"/>
      <c r="TV30" s="272"/>
      <c r="TW30" s="272"/>
      <c r="TX30" s="272"/>
      <c r="TY30" s="272"/>
      <c r="TZ30" s="272"/>
      <c r="UA30" s="272"/>
      <c r="UB30" s="272"/>
      <c r="UC30" s="272"/>
      <c r="UD30" s="272"/>
      <c r="UE30" s="272"/>
      <c r="UF30" s="272"/>
      <c r="UG30" s="272"/>
      <c r="UH30" s="272"/>
      <c r="UI30" s="272"/>
      <c r="UJ30" s="272"/>
      <c r="UK30" s="272"/>
      <c r="UL30" s="272"/>
      <c r="UM30" s="272"/>
      <c r="UN30" s="272"/>
      <c r="UO30" s="272"/>
      <c r="UP30" s="272"/>
      <c r="UQ30" s="272"/>
      <c r="UR30" s="272"/>
      <c r="US30" s="272"/>
      <c r="UT30" s="272"/>
      <c r="UU30" s="272"/>
      <c r="UV30" s="272"/>
      <c r="UW30" s="272"/>
      <c r="UX30" s="272"/>
      <c r="UY30" s="272"/>
      <c r="UZ30" s="272"/>
      <c r="VA30" s="272"/>
      <c r="VB30" s="272"/>
      <c r="VC30" s="272"/>
      <c r="VD30" s="272"/>
      <c r="VE30" s="272"/>
      <c r="VF30" s="272"/>
      <c r="VG30" s="272"/>
      <c r="VH30" s="272"/>
      <c r="VI30" s="272"/>
      <c r="VJ30" s="272"/>
      <c r="VK30" s="272"/>
      <c r="VL30" s="272"/>
      <c r="VM30" s="272"/>
      <c r="VN30" s="272"/>
      <c r="VO30" s="272"/>
      <c r="VP30" s="272"/>
      <c r="VQ30" s="272"/>
      <c r="VR30" s="272"/>
      <c r="VS30" s="272"/>
      <c r="VT30" s="272"/>
      <c r="VU30" s="272"/>
      <c r="VV30" s="272"/>
      <c r="VW30" s="272"/>
      <c r="VX30" s="272"/>
      <c r="VY30" s="272"/>
      <c r="VZ30" s="272"/>
      <c r="WA30" s="272"/>
      <c r="WB30" s="272"/>
      <c r="WC30" s="272"/>
      <c r="WD30" s="272"/>
      <c r="WE30" s="272"/>
      <c r="WF30" s="272"/>
      <c r="WG30" s="272"/>
      <c r="WH30" s="272"/>
      <c r="WI30" s="272"/>
      <c r="WJ30" s="272"/>
      <c r="WK30" s="272"/>
      <c r="WL30" s="272"/>
      <c r="WM30" s="272"/>
      <c r="WN30" s="272"/>
      <c r="WO30" s="272"/>
      <c r="WP30" s="272"/>
      <c r="WQ30" s="272"/>
      <c r="WR30" s="272"/>
      <c r="WS30" s="272"/>
      <c r="WT30" s="272"/>
      <c r="WU30" s="272"/>
      <c r="WV30" s="272"/>
      <c r="WW30" s="272"/>
      <c r="WX30" s="272"/>
      <c r="WY30" s="272"/>
      <c r="WZ30" s="272"/>
      <c r="XA30" s="272"/>
      <c r="XB30" s="272"/>
      <c r="XC30" s="272"/>
      <c r="XD30" s="272"/>
      <c r="XE30" s="272"/>
      <c r="XF30" s="272"/>
      <c r="XG30" s="272"/>
      <c r="XH30" s="272"/>
      <c r="XI30" s="272"/>
      <c r="XJ30" s="272"/>
      <c r="XK30" s="272"/>
      <c r="XL30" s="272"/>
      <c r="XM30" s="272"/>
      <c r="XN30" s="272"/>
      <c r="XO30" s="272"/>
      <c r="XP30" s="272"/>
      <c r="XQ30" s="272"/>
      <c r="XR30" s="272"/>
      <c r="XS30" s="272"/>
      <c r="XT30" s="272"/>
      <c r="XU30" s="272"/>
      <c r="XV30" s="272"/>
      <c r="XW30" s="272"/>
      <c r="XX30" s="272"/>
      <c r="XY30" s="272"/>
      <c r="XZ30" s="272"/>
      <c r="YA30" s="272"/>
      <c r="YB30" s="272"/>
      <c r="YC30" s="272"/>
      <c r="YD30" s="272"/>
      <c r="YE30" s="272"/>
      <c r="YF30" s="272"/>
      <c r="YG30" s="272"/>
      <c r="YH30" s="272"/>
      <c r="YI30" s="272"/>
      <c r="YJ30" s="272"/>
      <c r="YK30" s="272"/>
      <c r="YL30" s="272"/>
      <c r="YM30" s="272"/>
      <c r="YN30" s="272"/>
      <c r="YO30" s="272"/>
      <c r="YP30" s="272"/>
      <c r="YQ30" s="272"/>
      <c r="YR30" s="272"/>
      <c r="YS30" s="272"/>
      <c r="YT30" s="272"/>
      <c r="YU30" s="272"/>
      <c r="YV30" s="272"/>
      <c r="YW30" s="272"/>
      <c r="YX30" s="272"/>
      <c r="YY30" s="272"/>
      <c r="YZ30" s="272"/>
      <c r="ZA30" s="272"/>
      <c r="ZB30" s="272"/>
      <c r="ZC30" s="272"/>
      <c r="ZD30" s="272"/>
      <c r="ZE30" s="272"/>
      <c r="ZF30" s="272"/>
      <c r="ZG30" s="272"/>
      <c r="ZH30" s="272"/>
      <c r="ZI30" s="272"/>
      <c r="ZJ30" s="272"/>
      <c r="ZK30" s="272"/>
      <c r="ZL30" s="272"/>
      <c r="ZM30" s="272"/>
      <c r="ZN30" s="272"/>
      <c r="ZO30" s="272"/>
      <c r="ZP30" s="272"/>
      <c r="ZQ30" s="272"/>
      <c r="ZR30" s="272"/>
      <c r="ZS30" s="272"/>
      <c r="ZT30" s="272"/>
      <c r="ZU30" s="272"/>
      <c r="ZV30" s="272"/>
      <c r="ZW30" s="272"/>
      <c r="ZX30" s="272"/>
      <c r="ZY30" s="272"/>
      <c r="ZZ30" s="272"/>
      <c r="AAA30" s="272"/>
      <c r="AAB30" s="272"/>
      <c r="AAC30" s="272"/>
      <c r="AAD30" s="272"/>
      <c r="AAE30" s="272"/>
      <c r="AAF30" s="272"/>
      <c r="AAG30" s="272"/>
      <c r="AAH30" s="272"/>
      <c r="AAI30" s="272"/>
      <c r="AAJ30" s="272"/>
      <c r="AAK30" s="272"/>
      <c r="AAL30" s="272"/>
      <c r="AAM30" s="272"/>
      <c r="AAN30" s="272"/>
      <c r="AAO30" s="272"/>
      <c r="AAP30" s="272"/>
      <c r="AAQ30" s="272"/>
      <c r="AAR30" s="272"/>
      <c r="AAS30" s="272"/>
      <c r="AAT30" s="272"/>
      <c r="AAU30" s="272"/>
      <c r="AAV30" s="272"/>
      <c r="AAW30" s="272"/>
      <c r="AAX30" s="272"/>
      <c r="AAY30" s="272"/>
      <c r="AAZ30" s="272"/>
      <c r="ABA30" s="272"/>
      <c r="ABB30" s="272"/>
      <c r="ABC30" s="272"/>
      <c r="ABD30" s="272"/>
      <c r="ABE30" s="272"/>
      <c r="ABF30" s="272"/>
      <c r="ABG30" s="272"/>
    </row>
    <row r="31" spans="1:735" s="19" customFormat="1" ht="12.75" customHeight="1">
      <c r="A31" s="44"/>
      <c r="B31" s="597"/>
      <c r="C31" s="597"/>
      <c r="D31" s="600"/>
      <c r="E31" s="619"/>
      <c r="F31" s="626"/>
      <c r="G31" s="636"/>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72"/>
      <c r="HK31" s="272"/>
      <c r="HL31" s="272"/>
      <c r="HM31" s="27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2"/>
      <c r="IX31" s="272"/>
      <c r="IY31" s="272"/>
      <c r="IZ31" s="272"/>
      <c r="JA31" s="272"/>
      <c r="JB31" s="272"/>
      <c r="JC31" s="272"/>
      <c r="JD31" s="272"/>
      <c r="JE31" s="272"/>
      <c r="JF31" s="272"/>
      <c r="JG31" s="272"/>
      <c r="JH31" s="272"/>
      <c r="JI31" s="272"/>
      <c r="JJ31" s="272"/>
      <c r="JK31" s="272"/>
      <c r="JL31" s="272"/>
      <c r="JM31" s="272"/>
      <c r="JN31" s="272"/>
      <c r="JO31" s="272"/>
      <c r="JP31" s="272"/>
      <c r="JQ31" s="272"/>
      <c r="JR31" s="272"/>
      <c r="JS31" s="272"/>
      <c r="JT31" s="272"/>
      <c r="JU31" s="272"/>
      <c r="JV31" s="272"/>
      <c r="JW31" s="272"/>
      <c r="JX31" s="272"/>
      <c r="JY31" s="272"/>
      <c r="JZ31" s="272"/>
      <c r="KA31" s="272"/>
      <c r="KB31" s="272"/>
      <c r="KC31" s="272"/>
      <c r="KD31" s="272"/>
      <c r="KE31" s="272"/>
      <c r="KF31" s="272"/>
      <c r="KG31" s="272"/>
      <c r="KH31" s="272"/>
      <c r="KI31" s="272"/>
      <c r="KJ31" s="272"/>
      <c r="KK31" s="272"/>
      <c r="KL31" s="272"/>
      <c r="KM31" s="272"/>
      <c r="KN31" s="272"/>
      <c r="KO31" s="272"/>
      <c r="KP31" s="272"/>
      <c r="KQ31" s="272"/>
      <c r="KR31" s="272"/>
      <c r="KS31" s="272"/>
      <c r="KT31" s="272"/>
      <c r="KU31" s="272"/>
      <c r="KV31" s="272"/>
      <c r="KW31" s="272"/>
      <c r="KX31" s="272"/>
      <c r="KY31" s="272"/>
      <c r="KZ31" s="272"/>
      <c r="LA31" s="272"/>
      <c r="LB31" s="272"/>
      <c r="LC31" s="272"/>
      <c r="LD31" s="272"/>
      <c r="LE31" s="272"/>
      <c r="LF31" s="272"/>
      <c r="LG31" s="272"/>
      <c r="LH31" s="272"/>
      <c r="LI31" s="272"/>
      <c r="LJ31" s="272"/>
      <c r="LK31" s="272"/>
      <c r="LL31" s="272"/>
      <c r="LM31" s="272"/>
      <c r="LN31" s="272"/>
      <c r="LO31" s="272"/>
      <c r="LP31" s="272"/>
      <c r="LQ31" s="272"/>
      <c r="LR31" s="272"/>
      <c r="LS31" s="272"/>
      <c r="LT31" s="272"/>
      <c r="LU31" s="272"/>
      <c r="LV31" s="272"/>
      <c r="LW31" s="272"/>
      <c r="LX31" s="272"/>
      <c r="LY31" s="272"/>
      <c r="LZ31" s="272"/>
      <c r="MA31" s="272"/>
      <c r="MB31" s="272"/>
      <c r="MC31" s="272"/>
      <c r="MD31" s="272"/>
      <c r="ME31" s="272"/>
      <c r="MF31" s="272"/>
      <c r="MG31" s="272"/>
      <c r="MH31" s="272"/>
      <c r="MI31" s="272"/>
      <c r="MJ31" s="272"/>
      <c r="MK31" s="272"/>
      <c r="ML31" s="272"/>
      <c r="MM31" s="272"/>
      <c r="MN31" s="272"/>
      <c r="MO31" s="272"/>
      <c r="MP31" s="272"/>
      <c r="MQ31" s="272"/>
      <c r="MR31" s="272"/>
      <c r="MS31" s="272"/>
      <c r="MT31" s="272"/>
      <c r="MU31" s="272"/>
      <c r="MV31" s="272"/>
      <c r="MW31" s="272"/>
      <c r="MX31" s="272"/>
      <c r="MY31" s="272"/>
      <c r="MZ31" s="272"/>
      <c r="NA31" s="272"/>
      <c r="NB31" s="272"/>
      <c r="NC31" s="272"/>
      <c r="ND31" s="272"/>
      <c r="NE31" s="272"/>
      <c r="NF31" s="272"/>
      <c r="NG31" s="272"/>
      <c r="NH31" s="272"/>
      <c r="NI31" s="272"/>
      <c r="NJ31" s="272"/>
      <c r="NK31" s="272"/>
      <c r="NL31" s="272"/>
      <c r="NM31" s="272"/>
      <c r="NN31" s="272"/>
      <c r="NO31" s="272"/>
      <c r="NP31" s="272"/>
      <c r="NQ31" s="272"/>
      <c r="NR31" s="272"/>
      <c r="NS31" s="272"/>
      <c r="NT31" s="272"/>
      <c r="NU31" s="272"/>
      <c r="NV31" s="272"/>
      <c r="NW31" s="272"/>
      <c r="NX31" s="272"/>
      <c r="NY31" s="272"/>
      <c r="NZ31" s="272"/>
      <c r="OA31" s="272"/>
      <c r="OB31" s="272"/>
      <c r="OC31" s="272"/>
      <c r="OD31" s="272"/>
      <c r="OE31" s="272"/>
      <c r="OF31" s="272"/>
      <c r="OG31" s="272"/>
      <c r="OH31" s="272"/>
      <c r="OI31" s="272"/>
      <c r="OJ31" s="272"/>
      <c r="OK31" s="272"/>
      <c r="OL31" s="272"/>
      <c r="OM31" s="272"/>
      <c r="ON31" s="272"/>
      <c r="OO31" s="272"/>
      <c r="OP31" s="272"/>
      <c r="OQ31" s="272"/>
      <c r="OR31" s="272"/>
      <c r="OS31" s="272"/>
      <c r="OT31" s="272"/>
      <c r="OU31" s="272"/>
      <c r="OV31" s="272"/>
      <c r="OW31" s="272"/>
      <c r="OX31" s="272"/>
      <c r="OY31" s="272"/>
      <c r="OZ31" s="272"/>
      <c r="PA31" s="272"/>
      <c r="PB31" s="272"/>
      <c r="PC31" s="272"/>
      <c r="PD31" s="272"/>
      <c r="PE31" s="272"/>
      <c r="PF31" s="272"/>
      <c r="PG31" s="272"/>
      <c r="PH31" s="272"/>
      <c r="PI31" s="272"/>
      <c r="PJ31" s="272"/>
      <c r="PK31" s="272"/>
      <c r="PL31" s="272"/>
      <c r="PM31" s="272"/>
      <c r="PN31" s="272"/>
      <c r="PO31" s="272"/>
      <c r="PP31" s="272"/>
      <c r="PQ31" s="272"/>
      <c r="PR31" s="272"/>
      <c r="PS31" s="272"/>
      <c r="PT31" s="272"/>
      <c r="PU31" s="272"/>
      <c r="PV31" s="272"/>
      <c r="PW31" s="272"/>
      <c r="PX31" s="272"/>
      <c r="PY31" s="272"/>
      <c r="PZ31" s="272"/>
      <c r="QA31" s="272"/>
      <c r="QB31" s="272"/>
      <c r="QC31" s="272"/>
      <c r="QD31" s="272"/>
      <c r="QE31" s="272"/>
      <c r="QF31" s="272"/>
      <c r="QG31" s="272"/>
      <c r="QH31" s="272"/>
      <c r="QI31" s="272"/>
      <c r="QJ31" s="272"/>
      <c r="QK31" s="272"/>
      <c r="QL31" s="272"/>
      <c r="QM31" s="272"/>
      <c r="QN31" s="272"/>
      <c r="QO31" s="272"/>
      <c r="QP31" s="272"/>
      <c r="QQ31" s="272"/>
      <c r="QR31" s="272"/>
      <c r="QS31" s="272"/>
      <c r="QT31" s="272"/>
      <c r="QU31" s="272"/>
      <c r="QV31" s="272"/>
      <c r="QW31" s="272"/>
      <c r="QX31" s="272"/>
      <c r="QY31" s="272"/>
      <c r="QZ31" s="272"/>
      <c r="RA31" s="272"/>
      <c r="RB31" s="272"/>
      <c r="RC31" s="272"/>
      <c r="RD31" s="272"/>
      <c r="RE31" s="272"/>
      <c r="RF31" s="272"/>
      <c r="RG31" s="272"/>
      <c r="RH31" s="272"/>
      <c r="RI31" s="272"/>
      <c r="RJ31" s="272"/>
      <c r="RK31" s="272"/>
      <c r="RL31" s="272"/>
      <c r="RM31" s="272"/>
      <c r="RN31" s="272"/>
      <c r="RO31" s="272"/>
      <c r="RP31" s="272"/>
      <c r="RQ31" s="272"/>
      <c r="RR31" s="272"/>
      <c r="RS31" s="272"/>
      <c r="RT31" s="272"/>
      <c r="RU31" s="272"/>
      <c r="RV31" s="272"/>
      <c r="RW31" s="272"/>
      <c r="RX31" s="272"/>
      <c r="RY31" s="272"/>
      <c r="RZ31" s="272"/>
      <c r="SA31" s="272"/>
      <c r="SB31" s="272"/>
      <c r="SC31" s="272"/>
      <c r="SD31" s="272"/>
      <c r="SE31" s="272"/>
      <c r="SF31" s="272"/>
      <c r="SG31" s="272"/>
      <c r="SH31" s="272"/>
      <c r="SI31" s="272"/>
      <c r="SJ31" s="272"/>
      <c r="SK31" s="272"/>
      <c r="SL31" s="272"/>
      <c r="SM31" s="272"/>
      <c r="SN31" s="272"/>
      <c r="SO31" s="272"/>
      <c r="SP31" s="272"/>
      <c r="SQ31" s="272"/>
      <c r="SR31" s="272"/>
      <c r="SS31" s="272"/>
      <c r="ST31" s="272"/>
      <c r="SU31" s="272"/>
      <c r="SV31" s="272"/>
      <c r="SW31" s="272"/>
      <c r="SX31" s="272"/>
      <c r="SY31" s="272"/>
      <c r="SZ31" s="272"/>
      <c r="TA31" s="272"/>
      <c r="TB31" s="272"/>
      <c r="TC31" s="272"/>
      <c r="TD31" s="272"/>
      <c r="TE31" s="272"/>
      <c r="TF31" s="272"/>
      <c r="TG31" s="272"/>
      <c r="TH31" s="272"/>
      <c r="TI31" s="272"/>
      <c r="TJ31" s="272"/>
      <c r="TK31" s="272"/>
      <c r="TL31" s="272"/>
      <c r="TM31" s="272"/>
      <c r="TN31" s="272"/>
      <c r="TO31" s="272"/>
      <c r="TP31" s="272"/>
      <c r="TQ31" s="272"/>
      <c r="TR31" s="272"/>
      <c r="TS31" s="272"/>
      <c r="TT31" s="272"/>
      <c r="TU31" s="272"/>
      <c r="TV31" s="272"/>
      <c r="TW31" s="272"/>
      <c r="TX31" s="272"/>
      <c r="TY31" s="272"/>
      <c r="TZ31" s="272"/>
      <c r="UA31" s="272"/>
      <c r="UB31" s="272"/>
      <c r="UC31" s="272"/>
      <c r="UD31" s="272"/>
      <c r="UE31" s="272"/>
      <c r="UF31" s="272"/>
      <c r="UG31" s="272"/>
      <c r="UH31" s="272"/>
      <c r="UI31" s="272"/>
      <c r="UJ31" s="272"/>
      <c r="UK31" s="272"/>
      <c r="UL31" s="272"/>
      <c r="UM31" s="272"/>
      <c r="UN31" s="272"/>
      <c r="UO31" s="272"/>
      <c r="UP31" s="272"/>
      <c r="UQ31" s="272"/>
      <c r="UR31" s="272"/>
      <c r="US31" s="272"/>
      <c r="UT31" s="272"/>
      <c r="UU31" s="272"/>
      <c r="UV31" s="272"/>
      <c r="UW31" s="272"/>
      <c r="UX31" s="272"/>
      <c r="UY31" s="272"/>
      <c r="UZ31" s="272"/>
      <c r="VA31" s="272"/>
      <c r="VB31" s="272"/>
      <c r="VC31" s="272"/>
      <c r="VD31" s="272"/>
      <c r="VE31" s="272"/>
      <c r="VF31" s="272"/>
      <c r="VG31" s="272"/>
      <c r="VH31" s="272"/>
      <c r="VI31" s="272"/>
      <c r="VJ31" s="272"/>
      <c r="VK31" s="272"/>
      <c r="VL31" s="272"/>
      <c r="VM31" s="272"/>
      <c r="VN31" s="272"/>
      <c r="VO31" s="272"/>
      <c r="VP31" s="272"/>
      <c r="VQ31" s="272"/>
      <c r="VR31" s="272"/>
      <c r="VS31" s="272"/>
      <c r="VT31" s="272"/>
      <c r="VU31" s="272"/>
      <c r="VV31" s="272"/>
      <c r="VW31" s="272"/>
      <c r="VX31" s="272"/>
      <c r="VY31" s="272"/>
      <c r="VZ31" s="272"/>
      <c r="WA31" s="272"/>
      <c r="WB31" s="272"/>
      <c r="WC31" s="272"/>
      <c r="WD31" s="272"/>
      <c r="WE31" s="272"/>
      <c r="WF31" s="272"/>
      <c r="WG31" s="272"/>
      <c r="WH31" s="272"/>
      <c r="WI31" s="272"/>
      <c r="WJ31" s="272"/>
      <c r="WK31" s="272"/>
      <c r="WL31" s="272"/>
      <c r="WM31" s="272"/>
      <c r="WN31" s="272"/>
      <c r="WO31" s="272"/>
      <c r="WP31" s="272"/>
      <c r="WQ31" s="272"/>
      <c r="WR31" s="272"/>
      <c r="WS31" s="272"/>
      <c r="WT31" s="272"/>
      <c r="WU31" s="272"/>
      <c r="WV31" s="272"/>
      <c r="WW31" s="272"/>
      <c r="WX31" s="272"/>
      <c r="WY31" s="272"/>
      <c r="WZ31" s="272"/>
      <c r="XA31" s="272"/>
      <c r="XB31" s="272"/>
      <c r="XC31" s="272"/>
      <c r="XD31" s="272"/>
      <c r="XE31" s="272"/>
      <c r="XF31" s="272"/>
      <c r="XG31" s="272"/>
      <c r="XH31" s="272"/>
      <c r="XI31" s="272"/>
      <c r="XJ31" s="272"/>
      <c r="XK31" s="272"/>
      <c r="XL31" s="272"/>
      <c r="XM31" s="272"/>
      <c r="XN31" s="272"/>
      <c r="XO31" s="272"/>
      <c r="XP31" s="272"/>
      <c r="XQ31" s="272"/>
      <c r="XR31" s="272"/>
      <c r="XS31" s="272"/>
      <c r="XT31" s="272"/>
      <c r="XU31" s="272"/>
      <c r="XV31" s="272"/>
      <c r="XW31" s="272"/>
      <c r="XX31" s="272"/>
      <c r="XY31" s="272"/>
      <c r="XZ31" s="272"/>
      <c r="YA31" s="272"/>
      <c r="YB31" s="272"/>
      <c r="YC31" s="272"/>
      <c r="YD31" s="272"/>
      <c r="YE31" s="272"/>
      <c r="YF31" s="272"/>
      <c r="YG31" s="272"/>
      <c r="YH31" s="272"/>
      <c r="YI31" s="272"/>
      <c r="YJ31" s="272"/>
      <c r="YK31" s="272"/>
      <c r="YL31" s="272"/>
      <c r="YM31" s="272"/>
      <c r="YN31" s="272"/>
      <c r="YO31" s="272"/>
      <c r="YP31" s="272"/>
      <c r="YQ31" s="272"/>
      <c r="YR31" s="272"/>
      <c r="YS31" s="272"/>
      <c r="YT31" s="272"/>
      <c r="YU31" s="272"/>
      <c r="YV31" s="272"/>
      <c r="YW31" s="272"/>
      <c r="YX31" s="272"/>
      <c r="YY31" s="272"/>
      <c r="YZ31" s="272"/>
      <c r="ZA31" s="272"/>
      <c r="ZB31" s="272"/>
      <c r="ZC31" s="272"/>
      <c r="ZD31" s="272"/>
      <c r="ZE31" s="272"/>
      <c r="ZF31" s="272"/>
      <c r="ZG31" s="272"/>
      <c r="ZH31" s="272"/>
      <c r="ZI31" s="272"/>
      <c r="ZJ31" s="272"/>
      <c r="ZK31" s="272"/>
      <c r="ZL31" s="272"/>
      <c r="ZM31" s="272"/>
      <c r="ZN31" s="272"/>
      <c r="ZO31" s="272"/>
      <c r="ZP31" s="272"/>
      <c r="ZQ31" s="272"/>
      <c r="ZR31" s="272"/>
      <c r="ZS31" s="272"/>
      <c r="ZT31" s="272"/>
      <c r="ZU31" s="272"/>
      <c r="ZV31" s="272"/>
      <c r="ZW31" s="272"/>
      <c r="ZX31" s="272"/>
      <c r="ZY31" s="272"/>
      <c r="ZZ31" s="272"/>
      <c r="AAA31" s="272"/>
      <c r="AAB31" s="272"/>
      <c r="AAC31" s="272"/>
      <c r="AAD31" s="272"/>
      <c r="AAE31" s="272"/>
      <c r="AAF31" s="272"/>
      <c r="AAG31" s="272"/>
      <c r="AAH31" s="272"/>
      <c r="AAI31" s="272"/>
      <c r="AAJ31" s="272"/>
      <c r="AAK31" s="272"/>
      <c r="AAL31" s="272"/>
      <c r="AAM31" s="272"/>
      <c r="AAN31" s="272"/>
      <c r="AAO31" s="272"/>
      <c r="AAP31" s="272"/>
      <c r="AAQ31" s="272"/>
      <c r="AAR31" s="272"/>
      <c r="AAS31" s="272"/>
      <c r="AAT31" s="272"/>
      <c r="AAU31" s="272"/>
      <c r="AAV31" s="272"/>
      <c r="AAW31" s="272"/>
      <c r="AAX31" s="272"/>
      <c r="AAY31" s="272"/>
      <c r="AAZ31" s="272"/>
      <c r="ABA31" s="272"/>
      <c r="ABB31" s="272"/>
      <c r="ABC31" s="272"/>
      <c r="ABD31" s="272"/>
      <c r="ABE31" s="272"/>
      <c r="ABF31" s="272"/>
      <c r="ABG31" s="272"/>
    </row>
    <row r="32" spans="1:735" s="19" customFormat="1" ht="12.75" customHeight="1">
      <c r="A32" s="44"/>
      <c r="B32" s="597"/>
      <c r="C32" s="597"/>
      <c r="D32" s="600"/>
      <c r="E32" s="619"/>
      <c r="F32" s="626"/>
      <c r="G32" s="636"/>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2"/>
      <c r="DQ32" s="272"/>
      <c r="DR32" s="272"/>
      <c r="DS32" s="272"/>
      <c r="DT32" s="272"/>
      <c r="DU32" s="272"/>
      <c r="DV32" s="272"/>
      <c r="DW32" s="272"/>
      <c r="DX32" s="272"/>
      <c r="DY32" s="272"/>
      <c r="DZ32" s="272"/>
      <c r="EA32" s="272"/>
      <c r="EB32" s="272"/>
      <c r="EC32" s="272"/>
      <c r="ED32" s="272"/>
      <c r="EE32" s="272"/>
      <c r="EF32" s="272"/>
      <c r="EG32" s="272"/>
      <c r="EH32" s="272"/>
      <c r="EI32" s="272"/>
      <c r="EJ32" s="272"/>
      <c r="EK32" s="272"/>
      <c r="EL32" s="272"/>
      <c r="EM32" s="272"/>
      <c r="EN32" s="272"/>
      <c r="EO32" s="272"/>
      <c r="EP32" s="272"/>
      <c r="EQ32" s="272"/>
      <c r="ER32" s="272"/>
      <c r="ES32" s="272"/>
      <c r="ET32" s="272"/>
      <c r="EU32" s="272"/>
      <c r="EV32" s="272"/>
      <c r="EW32" s="272"/>
      <c r="EX32" s="272"/>
      <c r="EY32" s="272"/>
      <c r="EZ32" s="272"/>
      <c r="FA32" s="272"/>
      <c r="FB32" s="272"/>
      <c r="FC32" s="272"/>
      <c r="FD32" s="272"/>
      <c r="FE32" s="272"/>
      <c r="FF32" s="272"/>
      <c r="FG32" s="272"/>
      <c r="FH32" s="272"/>
      <c r="FI32" s="272"/>
      <c r="FJ32" s="272"/>
      <c r="FK32" s="272"/>
      <c r="FL32" s="272"/>
      <c r="FM32" s="272"/>
      <c r="FN32" s="272"/>
      <c r="FO32" s="272"/>
      <c r="FP32" s="272"/>
      <c r="FQ32" s="272"/>
      <c r="FR32" s="272"/>
      <c r="FS32" s="272"/>
      <c r="FT32" s="272"/>
      <c r="FU32" s="272"/>
      <c r="FV32" s="272"/>
      <c r="FW32" s="272"/>
      <c r="FX32" s="272"/>
      <c r="FY32" s="272"/>
      <c r="FZ32" s="272"/>
      <c r="GA32" s="272"/>
      <c r="GB32" s="272"/>
      <c r="GC32" s="272"/>
      <c r="GD32" s="272"/>
      <c r="GE32" s="272"/>
      <c r="GF32" s="272"/>
      <c r="GG32" s="272"/>
      <c r="GH32" s="272"/>
      <c r="GI32" s="272"/>
      <c r="GJ32" s="272"/>
      <c r="GK32" s="272"/>
      <c r="GL32" s="272"/>
      <c r="GM32" s="272"/>
      <c r="GN32" s="272"/>
      <c r="GO32" s="272"/>
      <c r="GP32" s="272"/>
      <c r="GQ32" s="272"/>
      <c r="GR32" s="272"/>
      <c r="GS32" s="272"/>
      <c r="GT32" s="272"/>
      <c r="GU32" s="272"/>
      <c r="GV32" s="272"/>
      <c r="GW32" s="272"/>
      <c r="GX32" s="272"/>
      <c r="GY32" s="272"/>
      <c r="GZ32" s="272"/>
      <c r="HA32" s="272"/>
      <c r="HB32" s="272"/>
      <c r="HC32" s="272"/>
      <c r="HD32" s="272"/>
      <c r="HE32" s="272"/>
      <c r="HF32" s="272"/>
      <c r="HG32" s="272"/>
      <c r="HH32" s="272"/>
      <c r="HI32" s="272"/>
      <c r="HJ32" s="272"/>
      <c r="HK32" s="272"/>
      <c r="HL32" s="272"/>
      <c r="HM32" s="272"/>
      <c r="HN32" s="272"/>
      <c r="HO32" s="272"/>
      <c r="HP32" s="272"/>
      <c r="HQ32" s="272"/>
      <c r="HR32" s="272"/>
      <c r="HS32" s="272"/>
      <c r="HT32" s="272"/>
      <c r="HU32" s="272"/>
      <c r="HV32" s="272"/>
      <c r="HW32" s="272"/>
      <c r="HX32" s="272"/>
      <c r="HY32" s="272"/>
      <c r="HZ32" s="272"/>
      <c r="IA32" s="272"/>
      <c r="IB32" s="272"/>
      <c r="IC32" s="272"/>
      <c r="ID32" s="272"/>
      <c r="IE32" s="272"/>
      <c r="IF32" s="272"/>
      <c r="IG32" s="272"/>
      <c r="IH32" s="272"/>
      <c r="II32" s="272"/>
      <c r="IJ32" s="272"/>
      <c r="IK32" s="272"/>
      <c r="IL32" s="272"/>
      <c r="IM32" s="272"/>
      <c r="IN32" s="272"/>
      <c r="IO32" s="272"/>
      <c r="IP32" s="272"/>
      <c r="IQ32" s="272"/>
      <c r="IR32" s="272"/>
      <c r="IS32" s="272"/>
      <c r="IT32" s="272"/>
      <c r="IU32" s="272"/>
      <c r="IV32" s="272"/>
      <c r="IW32" s="272"/>
      <c r="IX32" s="272"/>
      <c r="IY32" s="272"/>
      <c r="IZ32" s="272"/>
      <c r="JA32" s="272"/>
      <c r="JB32" s="272"/>
      <c r="JC32" s="272"/>
      <c r="JD32" s="272"/>
      <c r="JE32" s="272"/>
      <c r="JF32" s="272"/>
      <c r="JG32" s="272"/>
      <c r="JH32" s="272"/>
      <c r="JI32" s="272"/>
      <c r="JJ32" s="272"/>
      <c r="JK32" s="272"/>
      <c r="JL32" s="272"/>
      <c r="JM32" s="272"/>
      <c r="JN32" s="272"/>
      <c r="JO32" s="272"/>
      <c r="JP32" s="272"/>
      <c r="JQ32" s="272"/>
      <c r="JR32" s="272"/>
      <c r="JS32" s="272"/>
      <c r="JT32" s="272"/>
      <c r="JU32" s="272"/>
      <c r="JV32" s="272"/>
      <c r="JW32" s="272"/>
      <c r="JX32" s="272"/>
      <c r="JY32" s="272"/>
      <c r="JZ32" s="272"/>
      <c r="KA32" s="272"/>
      <c r="KB32" s="272"/>
      <c r="KC32" s="272"/>
      <c r="KD32" s="272"/>
      <c r="KE32" s="272"/>
      <c r="KF32" s="272"/>
      <c r="KG32" s="272"/>
      <c r="KH32" s="272"/>
      <c r="KI32" s="272"/>
      <c r="KJ32" s="272"/>
      <c r="KK32" s="272"/>
      <c r="KL32" s="272"/>
      <c r="KM32" s="272"/>
      <c r="KN32" s="272"/>
      <c r="KO32" s="272"/>
      <c r="KP32" s="272"/>
      <c r="KQ32" s="272"/>
      <c r="KR32" s="272"/>
      <c r="KS32" s="272"/>
      <c r="KT32" s="272"/>
      <c r="KU32" s="272"/>
      <c r="KV32" s="272"/>
      <c r="KW32" s="272"/>
      <c r="KX32" s="272"/>
      <c r="KY32" s="272"/>
      <c r="KZ32" s="272"/>
      <c r="LA32" s="272"/>
      <c r="LB32" s="272"/>
      <c r="LC32" s="272"/>
      <c r="LD32" s="272"/>
      <c r="LE32" s="272"/>
      <c r="LF32" s="272"/>
      <c r="LG32" s="272"/>
      <c r="LH32" s="272"/>
      <c r="LI32" s="272"/>
      <c r="LJ32" s="272"/>
      <c r="LK32" s="272"/>
      <c r="LL32" s="272"/>
      <c r="LM32" s="272"/>
      <c r="LN32" s="272"/>
      <c r="LO32" s="272"/>
      <c r="LP32" s="272"/>
      <c r="LQ32" s="272"/>
      <c r="LR32" s="272"/>
      <c r="LS32" s="272"/>
      <c r="LT32" s="272"/>
      <c r="LU32" s="272"/>
      <c r="LV32" s="272"/>
      <c r="LW32" s="272"/>
      <c r="LX32" s="272"/>
      <c r="LY32" s="272"/>
      <c r="LZ32" s="272"/>
      <c r="MA32" s="272"/>
      <c r="MB32" s="272"/>
      <c r="MC32" s="272"/>
      <c r="MD32" s="272"/>
      <c r="ME32" s="272"/>
      <c r="MF32" s="272"/>
      <c r="MG32" s="272"/>
      <c r="MH32" s="272"/>
      <c r="MI32" s="272"/>
      <c r="MJ32" s="272"/>
      <c r="MK32" s="272"/>
      <c r="ML32" s="272"/>
      <c r="MM32" s="272"/>
      <c r="MN32" s="272"/>
      <c r="MO32" s="272"/>
      <c r="MP32" s="272"/>
      <c r="MQ32" s="272"/>
      <c r="MR32" s="272"/>
      <c r="MS32" s="272"/>
      <c r="MT32" s="272"/>
      <c r="MU32" s="272"/>
      <c r="MV32" s="272"/>
      <c r="MW32" s="272"/>
      <c r="MX32" s="272"/>
      <c r="MY32" s="272"/>
      <c r="MZ32" s="272"/>
      <c r="NA32" s="272"/>
      <c r="NB32" s="272"/>
      <c r="NC32" s="272"/>
      <c r="ND32" s="272"/>
      <c r="NE32" s="272"/>
      <c r="NF32" s="272"/>
      <c r="NG32" s="272"/>
      <c r="NH32" s="272"/>
      <c r="NI32" s="272"/>
      <c r="NJ32" s="272"/>
      <c r="NK32" s="272"/>
      <c r="NL32" s="272"/>
      <c r="NM32" s="272"/>
      <c r="NN32" s="272"/>
      <c r="NO32" s="272"/>
      <c r="NP32" s="272"/>
      <c r="NQ32" s="272"/>
      <c r="NR32" s="272"/>
      <c r="NS32" s="272"/>
      <c r="NT32" s="272"/>
      <c r="NU32" s="272"/>
      <c r="NV32" s="272"/>
      <c r="NW32" s="272"/>
      <c r="NX32" s="272"/>
      <c r="NY32" s="272"/>
      <c r="NZ32" s="272"/>
      <c r="OA32" s="272"/>
      <c r="OB32" s="272"/>
      <c r="OC32" s="272"/>
      <c r="OD32" s="272"/>
      <c r="OE32" s="272"/>
      <c r="OF32" s="272"/>
      <c r="OG32" s="272"/>
      <c r="OH32" s="272"/>
      <c r="OI32" s="272"/>
      <c r="OJ32" s="272"/>
      <c r="OK32" s="272"/>
      <c r="OL32" s="272"/>
      <c r="OM32" s="272"/>
      <c r="ON32" s="272"/>
      <c r="OO32" s="272"/>
      <c r="OP32" s="272"/>
      <c r="OQ32" s="272"/>
      <c r="OR32" s="272"/>
      <c r="OS32" s="272"/>
      <c r="OT32" s="272"/>
      <c r="OU32" s="272"/>
      <c r="OV32" s="272"/>
      <c r="OW32" s="272"/>
      <c r="OX32" s="272"/>
      <c r="OY32" s="272"/>
      <c r="OZ32" s="272"/>
      <c r="PA32" s="272"/>
      <c r="PB32" s="272"/>
      <c r="PC32" s="272"/>
      <c r="PD32" s="272"/>
      <c r="PE32" s="272"/>
      <c r="PF32" s="272"/>
      <c r="PG32" s="272"/>
      <c r="PH32" s="272"/>
      <c r="PI32" s="272"/>
      <c r="PJ32" s="272"/>
      <c r="PK32" s="272"/>
      <c r="PL32" s="272"/>
      <c r="PM32" s="272"/>
      <c r="PN32" s="272"/>
      <c r="PO32" s="272"/>
      <c r="PP32" s="272"/>
      <c r="PQ32" s="272"/>
      <c r="PR32" s="272"/>
      <c r="PS32" s="272"/>
      <c r="PT32" s="272"/>
      <c r="PU32" s="272"/>
      <c r="PV32" s="272"/>
      <c r="PW32" s="272"/>
      <c r="PX32" s="272"/>
      <c r="PY32" s="272"/>
      <c r="PZ32" s="272"/>
      <c r="QA32" s="272"/>
      <c r="QB32" s="272"/>
      <c r="QC32" s="272"/>
      <c r="QD32" s="272"/>
      <c r="QE32" s="272"/>
      <c r="QF32" s="272"/>
      <c r="QG32" s="272"/>
      <c r="QH32" s="272"/>
      <c r="QI32" s="272"/>
      <c r="QJ32" s="272"/>
      <c r="QK32" s="272"/>
      <c r="QL32" s="272"/>
      <c r="QM32" s="272"/>
      <c r="QN32" s="272"/>
      <c r="QO32" s="272"/>
      <c r="QP32" s="272"/>
      <c r="QQ32" s="272"/>
      <c r="QR32" s="272"/>
      <c r="QS32" s="272"/>
      <c r="QT32" s="272"/>
      <c r="QU32" s="272"/>
      <c r="QV32" s="272"/>
      <c r="QW32" s="272"/>
      <c r="QX32" s="272"/>
      <c r="QY32" s="272"/>
      <c r="QZ32" s="272"/>
      <c r="RA32" s="272"/>
      <c r="RB32" s="272"/>
      <c r="RC32" s="272"/>
      <c r="RD32" s="272"/>
      <c r="RE32" s="272"/>
      <c r="RF32" s="272"/>
      <c r="RG32" s="272"/>
      <c r="RH32" s="272"/>
      <c r="RI32" s="272"/>
      <c r="RJ32" s="272"/>
      <c r="RK32" s="272"/>
      <c r="RL32" s="272"/>
      <c r="RM32" s="272"/>
      <c r="RN32" s="272"/>
      <c r="RO32" s="272"/>
      <c r="RP32" s="272"/>
      <c r="RQ32" s="272"/>
      <c r="RR32" s="272"/>
      <c r="RS32" s="272"/>
      <c r="RT32" s="272"/>
      <c r="RU32" s="272"/>
      <c r="RV32" s="272"/>
      <c r="RW32" s="272"/>
      <c r="RX32" s="272"/>
      <c r="RY32" s="272"/>
      <c r="RZ32" s="272"/>
      <c r="SA32" s="272"/>
      <c r="SB32" s="272"/>
      <c r="SC32" s="272"/>
      <c r="SD32" s="272"/>
      <c r="SE32" s="272"/>
      <c r="SF32" s="272"/>
      <c r="SG32" s="272"/>
      <c r="SH32" s="272"/>
      <c r="SI32" s="272"/>
      <c r="SJ32" s="272"/>
      <c r="SK32" s="272"/>
      <c r="SL32" s="272"/>
      <c r="SM32" s="272"/>
      <c r="SN32" s="272"/>
      <c r="SO32" s="272"/>
      <c r="SP32" s="272"/>
      <c r="SQ32" s="272"/>
      <c r="SR32" s="272"/>
      <c r="SS32" s="272"/>
      <c r="ST32" s="272"/>
      <c r="SU32" s="272"/>
      <c r="SV32" s="272"/>
      <c r="SW32" s="272"/>
      <c r="SX32" s="272"/>
      <c r="SY32" s="272"/>
      <c r="SZ32" s="272"/>
      <c r="TA32" s="272"/>
      <c r="TB32" s="272"/>
      <c r="TC32" s="272"/>
      <c r="TD32" s="272"/>
      <c r="TE32" s="272"/>
      <c r="TF32" s="272"/>
      <c r="TG32" s="272"/>
      <c r="TH32" s="272"/>
      <c r="TI32" s="272"/>
      <c r="TJ32" s="272"/>
      <c r="TK32" s="272"/>
      <c r="TL32" s="272"/>
      <c r="TM32" s="272"/>
      <c r="TN32" s="272"/>
      <c r="TO32" s="272"/>
      <c r="TP32" s="272"/>
      <c r="TQ32" s="272"/>
      <c r="TR32" s="272"/>
      <c r="TS32" s="272"/>
      <c r="TT32" s="272"/>
      <c r="TU32" s="272"/>
      <c r="TV32" s="272"/>
      <c r="TW32" s="272"/>
      <c r="TX32" s="272"/>
      <c r="TY32" s="272"/>
      <c r="TZ32" s="272"/>
      <c r="UA32" s="272"/>
      <c r="UB32" s="272"/>
      <c r="UC32" s="272"/>
      <c r="UD32" s="272"/>
      <c r="UE32" s="272"/>
      <c r="UF32" s="272"/>
      <c r="UG32" s="272"/>
      <c r="UH32" s="272"/>
      <c r="UI32" s="272"/>
      <c r="UJ32" s="272"/>
      <c r="UK32" s="272"/>
      <c r="UL32" s="272"/>
      <c r="UM32" s="272"/>
      <c r="UN32" s="272"/>
      <c r="UO32" s="272"/>
      <c r="UP32" s="272"/>
      <c r="UQ32" s="272"/>
      <c r="UR32" s="272"/>
      <c r="US32" s="272"/>
      <c r="UT32" s="272"/>
      <c r="UU32" s="272"/>
      <c r="UV32" s="272"/>
      <c r="UW32" s="272"/>
      <c r="UX32" s="272"/>
      <c r="UY32" s="272"/>
      <c r="UZ32" s="272"/>
      <c r="VA32" s="272"/>
      <c r="VB32" s="272"/>
      <c r="VC32" s="272"/>
      <c r="VD32" s="272"/>
      <c r="VE32" s="272"/>
      <c r="VF32" s="272"/>
      <c r="VG32" s="272"/>
      <c r="VH32" s="272"/>
      <c r="VI32" s="272"/>
      <c r="VJ32" s="272"/>
      <c r="VK32" s="272"/>
      <c r="VL32" s="272"/>
      <c r="VM32" s="272"/>
      <c r="VN32" s="272"/>
      <c r="VO32" s="272"/>
      <c r="VP32" s="272"/>
      <c r="VQ32" s="272"/>
      <c r="VR32" s="272"/>
      <c r="VS32" s="272"/>
      <c r="VT32" s="272"/>
      <c r="VU32" s="272"/>
      <c r="VV32" s="272"/>
      <c r="VW32" s="272"/>
      <c r="VX32" s="272"/>
      <c r="VY32" s="272"/>
      <c r="VZ32" s="272"/>
      <c r="WA32" s="272"/>
      <c r="WB32" s="272"/>
      <c r="WC32" s="272"/>
      <c r="WD32" s="272"/>
      <c r="WE32" s="272"/>
      <c r="WF32" s="272"/>
      <c r="WG32" s="272"/>
      <c r="WH32" s="272"/>
      <c r="WI32" s="272"/>
      <c r="WJ32" s="272"/>
      <c r="WK32" s="272"/>
      <c r="WL32" s="272"/>
      <c r="WM32" s="272"/>
      <c r="WN32" s="272"/>
      <c r="WO32" s="272"/>
      <c r="WP32" s="272"/>
      <c r="WQ32" s="272"/>
      <c r="WR32" s="272"/>
      <c r="WS32" s="272"/>
      <c r="WT32" s="272"/>
      <c r="WU32" s="272"/>
      <c r="WV32" s="272"/>
      <c r="WW32" s="272"/>
      <c r="WX32" s="272"/>
      <c r="WY32" s="272"/>
      <c r="WZ32" s="272"/>
      <c r="XA32" s="272"/>
      <c r="XB32" s="272"/>
      <c r="XC32" s="272"/>
      <c r="XD32" s="272"/>
      <c r="XE32" s="272"/>
      <c r="XF32" s="272"/>
      <c r="XG32" s="272"/>
      <c r="XH32" s="272"/>
      <c r="XI32" s="272"/>
      <c r="XJ32" s="272"/>
      <c r="XK32" s="272"/>
      <c r="XL32" s="272"/>
      <c r="XM32" s="272"/>
      <c r="XN32" s="272"/>
      <c r="XO32" s="272"/>
      <c r="XP32" s="272"/>
      <c r="XQ32" s="272"/>
      <c r="XR32" s="272"/>
      <c r="XS32" s="272"/>
      <c r="XT32" s="272"/>
      <c r="XU32" s="272"/>
      <c r="XV32" s="272"/>
      <c r="XW32" s="272"/>
      <c r="XX32" s="272"/>
      <c r="XY32" s="272"/>
      <c r="XZ32" s="272"/>
      <c r="YA32" s="272"/>
      <c r="YB32" s="272"/>
      <c r="YC32" s="272"/>
      <c r="YD32" s="272"/>
      <c r="YE32" s="272"/>
      <c r="YF32" s="272"/>
      <c r="YG32" s="272"/>
      <c r="YH32" s="272"/>
      <c r="YI32" s="272"/>
      <c r="YJ32" s="272"/>
      <c r="YK32" s="272"/>
      <c r="YL32" s="272"/>
      <c r="YM32" s="272"/>
      <c r="YN32" s="272"/>
      <c r="YO32" s="272"/>
      <c r="YP32" s="272"/>
      <c r="YQ32" s="272"/>
      <c r="YR32" s="272"/>
      <c r="YS32" s="272"/>
      <c r="YT32" s="272"/>
      <c r="YU32" s="272"/>
      <c r="YV32" s="272"/>
      <c r="YW32" s="272"/>
      <c r="YX32" s="272"/>
      <c r="YY32" s="272"/>
      <c r="YZ32" s="272"/>
      <c r="ZA32" s="272"/>
      <c r="ZB32" s="272"/>
      <c r="ZC32" s="272"/>
      <c r="ZD32" s="272"/>
      <c r="ZE32" s="272"/>
      <c r="ZF32" s="272"/>
      <c r="ZG32" s="272"/>
      <c r="ZH32" s="272"/>
      <c r="ZI32" s="272"/>
      <c r="ZJ32" s="272"/>
      <c r="ZK32" s="272"/>
      <c r="ZL32" s="272"/>
      <c r="ZM32" s="272"/>
      <c r="ZN32" s="272"/>
      <c r="ZO32" s="272"/>
      <c r="ZP32" s="272"/>
      <c r="ZQ32" s="272"/>
      <c r="ZR32" s="272"/>
      <c r="ZS32" s="272"/>
      <c r="ZT32" s="272"/>
      <c r="ZU32" s="272"/>
      <c r="ZV32" s="272"/>
      <c r="ZW32" s="272"/>
      <c r="ZX32" s="272"/>
      <c r="ZY32" s="272"/>
      <c r="ZZ32" s="272"/>
      <c r="AAA32" s="272"/>
      <c r="AAB32" s="272"/>
      <c r="AAC32" s="272"/>
      <c r="AAD32" s="272"/>
      <c r="AAE32" s="272"/>
      <c r="AAF32" s="272"/>
      <c r="AAG32" s="272"/>
      <c r="AAH32" s="272"/>
      <c r="AAI32" s="272"/>
      <c r="AAJ32" s="272"/>
      <c r="AAK32" s="272"/>
      <c r="AAL32" s="272"/>
      <c r="AAM32" s="272"/>
      <c r="AAN32" s="272"/>
      <c r="AAO32" s="272"/>
      <c r="AAP32" s="272"/>
      <c r="AAQ32" s="272"/>
      <c r="AAR32" s="272"/>
      <c r="AAS32" s="272"/>
      <c r="AAT32" s="272"/>
      <c r="AAU32" s="272"/>
      <c r="AAV32" s="272"/>
      <c r="AAW32" s="272"/>
      <c r="AAX32" s="272"/>
      <c r="AAY32" s="272"/>
      <c r="AAZ32" s="272"/>
      <c r="ABA32" s="272"/>
      <c r="ABB32" s="272"/>
      <c r="ABC32" s="272"/>
      <c r="ABD32" s="272"/>
      <c r="ABE32" s="272"/>
      <c r="ABF32" s="272"/>
      <c r="ABG32" s="272"/>
    </row>
    <row r="33" spans="1:735" s="19" customFormat="1" ht="12.75" customHeight="1">
      <c r="A33" s="44"/>
      <c r="B33" s="597"/>
      <c r="C33" s="597"/>
      <c r="D33" s="600"/>
      <c r="E33" s="619"/>
      <c r="F33" s="626"/>
      <c r="G33" s="636"/>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c r="IO33" s="272"/>
      <c r="IP33" s="272"/>
      <c r="IQ33" s="272"/>
      <c r="IR33" s="272"/>
      <c r="IS33" s="272"/>
      <c r="IT33" s="272"/>
      <c r="IU33" s="272"/>
      <c r="IV33" s="272"/>
      <c r="IW33" s="272"/>
      <c r="IX33" s="272"/>
      <c r="IY33" s="272"/>
      <c r="IZ33" s="272"/>
      <c r="JA33" s="272"/>
      <c r="JB33" s="272"/>
      <c r="JC33" s="272"/>
      <c r="JD33" s="272"/>
      <c r="JE33" s="272"/>
      <c r="JF33" s="272"/>
      <c r="JG33" s="272"/>
      <c r="JH33" s="272"/>
      <c r="JI33" s="272"/>
      <c r="JJ33" s="272"/>
      <c r="JK33" s="272"/>
      <c r="JL33" s="272"/>
      <c r="JM33" s="272"/>
      <c r="JN33" s="272"/>
      <c r="JO33" s="272"/>
      <c r="JP33" s="272"/>
      <c r="JQ33" s="272"/>
      <c r="JR33" s="272"/>
      <c r="JS33" s="272"/>
      <c r="JT33" s="272"/>
      <c r="JU33" s="272"/>
      <c r="JV33" s="272"/>
      <c r="JW33" s="272"/>
      <c r="JX33" s="272"/>
      <c r="JY33" s="272"/>
      <c r="JZ33" s="272"/>
      <c r="KA33" s="272"/>
      <c r="KB33" s="272"/>
      <c r="KC33" s="272"/>
      <c r="KD33" s="272"/>
      <c r="KE33" s="272"/>
      <c r="KF33" s="272"/>
      <c r="KG33" s="272"/>
      <c r="KH33" s="272"/>
      <c r="KI33" s="272"/>
      <c r="KJ33" s="272"/>
      <c r="KK33" s="272"/>
      <c r="KL33" s="272"/>
      <c r="KM33" s="272"/>
      <c r="KN33" s="272"/>
      <c r="KO33" s="272"/>
      <c r="KP33" s="272"/>
      <c r="KQ33" s="272"/>
      <c r="KR33" s="272"/>
      <c r="KS33" s="272"/>
      <c r="KT33" s="272"/>
      <c r="KU33" s="272"/>
      <c r="KV33" s="272"/>
      <c r="KW33" s="272"/>
      <c r="KX33" s="272"/>
      <c r="KY33" s="272"/>
      <c r="KZ33" s="272"/>
      <c r="LA33" s="272"/>
      <c r="LB33" s="272"/>
      <c r="LC33" s="272"/>
      <c r="LD33" s="272"/>
      <c r="LE33" s="272"/>
      <c r="LF33" s="272"/>
      <c r="LG33" s="272"/>
      <c r="LH33" s="272"/>
      <c r="LI33" s="272"/>
      <c r="LJ33" s="272"/>
      <c r="LK33" s="272"/>
      <c r="LL33" s="272"/>
      <c r="LM33" s="272"/>
      <c r="LN33" s="272"/>
      <c r="LO33" s="272"/>
      <c r="LP33" s="272"/>
      <c r="LQ33" s="272"/>
      <c r="LR33" s="272"/>
      <c r="LS33" s="272"/>
      <c r="LT33" s="272"/>
      <c r="LU33" s="272"/>
      <c r="LV33" s="272"/>
      <c r="LW33" s="272"/>
      <c r="LX33" s="272"/>
      <c r="LY33" s="272"/>
      <c r="LZ33" s="272"/>
      <c r="MA33" s="272"/>
      <c r="MB33" s="272"/>
      <c r="MC33" s="272"/>
      <c r="MD33" s="272"/>
      <c r="ME33" s="272"/>
      <c r="MF33" s="272"/>
      <c r="MG33" s="272"/>
      <c r="MH33" s="272"/>
      <c r="MI33" s="272"/>
      <c r="MJ33" s="272"/>
      <c r="MK33" s="272"/>
      <c r="ML33" s="272"/>
      <c r="MM33" s="272"/>
      <c r="MN33" s="272"/>
      <c r="MO33" s="272"/>
      <c r="MP33" s="272"/>
      <c r="MQ33" s="272"/>
      <c r="MR33" s="272"/>
      <c r="MS33" s="272"/>
      <c r="MT33" s="272"/>
      <c r="MU33" s="272"/>
      <c r="MV33" s="272"/>
      <c r="MW33" s="272"/>
      <c r="MX33" s="272"/>
      <c r="MY33" s="272"/>
      <c r="MZ33" s="272"/>
      <c r="NA33" s="272"/>
      <c r="NB33" s="272"/>
      <c r="NC33" s="272"/>
      <c r="ND33" s="272"/>
      <c r="NE33" s="272"/>
      <c r="NF33" s="272"/>
      <c r="NG33" s="272"/>
      <c r="NH33" s="272"/>
      <c r="NI33" s="272"/>
      <c r="NJ33" s="272"/>
      <c r="NK33" s="272"/>
      <c r="NL33" s="272"/>
      <c r="NM33" s="272"/>
      <c r="NN33" s="272"/>
      <c r="NO33" s="272"/>
      <c r="NP33" s="272"/>
      <c r="NQ33" s="272"/>
      <c r="NR33" s="272"/>
      <c r="NS33" s="272"/>
      <c r="NT33" s="272"/>
      <c r="NU33" s="272"/>
      <c r="NV33" s="272"/>
      <c r="NW33" s="272"/>
      <c r="NX33" s="272"/>
      <c r="NY33" s="272"/>
      <c r="NZ33" s="272"/>
      <c r="OA33" s="272"/>
      <c r="OB33" s="272"/>
      <c r="OC33" s="272"/>
      <c r="OD33" s="272"/>
      <c r="OE33" s="272"/>
      <c r="OF33" s="272"/>
      <c r="OG33" s="272"/>
      <c r="OH33" s="272"/>
      <c r="OI33" s="272"/>
      <c r="OJ33" s="272"/>
      <c r="OK33" s="272"/>
      <c r="OL33" s="272"/>
      <c r="OM33" s="272"/>
      <c r="ON33" s="272"/>
      <c r="OO33" s="272"/>
      <c r="OP33" s="272"/>
      <c r="OQ33" s="272"/>
      <c r="OR33" s="272"/>
      <c r="OS33" s="272"/>
      <c r="OT33" s="272"/>
      <c r="OU33" s="272"/>
      <c r="OV33" s="272"/>
      <c r="OW33" s="272"/>
      <c r="OX33" s="272"/>
      <c r="OY33" s="272"/>
      <c r="OZ33" s="272"/>
      <c r="PA33" s="272"/>
      <c r="PB33" s="272"/>
      <c r="PC33" s="272"/>
      <c r="PD33" s="272"/>
      <c r="PE33" s="272"/>
      <c r="PF33" s="272"/>
      <c r="PG33" s="272"/>
      <c r="PH33" s="272"/>
      <c r="PI33" s="272"/>
      <c r="PJ33" s="272"/>
      <c r="PK33" s="272"/>
      <c r="PL33" s="272"/>
      <c r="PM33" s="272"/>
      <c r="PN33" s="272"/>
      <c r="PO33" s="272"/>
      <c r="PP33" s="272"/>
      <c r="PQ33" s="272"/>
      <c r="PR33" s="272"/>
      <c r="PS33" s="272"/>
      <c r="PT33" s="272"/>
      <c r="PU33" s="272"/>
      <c r="PV33" s="272"/>
      <c r="PW33" s="272"/>
      <c r="PX33" s="272"/>
      <c r="PY33" s="272"/>
      <c r="PZ33" s="272"/>
      <c r="QA33" s="272"/>
      <c r="QB33" s="272"/>
      <c r="QC33" s="272"/>
      <c r="QD33" s="272"/>
      <c r="QE33" s="272"/>
      <c r="QF33" s="272"/>
      <c r="QG33" s="272"/>
      <c r="QH33" s="272"/>
      <c r="QI33" s="272"/>
      <c r="QJ33" s="272"/>
      <c r="QK33" s="272"/>
      <c r="QL33" s="272"/>
      <c r="QM33" s="272"/>
      <c r="QN33" s="272"/>
      <c r="QO33" s="272"/>
      <c r="QP33" s="272"/>
      <c r="QQ33" s="272"/>
      <c r="QR33" s="272"/>
      <c r="QS33" s="272"/>
      <c r="QT33" s="272"/>
      <c r="QU33" s="272"/>
      <c r="QV33" s="272"/>
      <c r="QW33" s="272"/>
      <c r="QX33" s="272"/>
      <c r="QY33" s="272"/>
      <c r="QZ33" s="272"/>
      <c r="RA33" s="272"/>
      <c r="RB33" s="272"/>
      <c r="RC33" s="272"/>
      <c r="RD33" s="272"/>
      <c r="RE33" s="272"/>
      <c r="RF33" s="272"/>
      <c r="RG33" s="272"/>
      <c r="RH33" s="272"/>
      <c r="RI33" s="272"/>
      <c r="RJ33" s="272"/>
      <c r="RK33" s="272"/>
      <c r="RL33" s="272"/>
      <c r="RM33" s="272"/>
      <c r="RN33" s="272"/>
      <c r="RO33" s="272"/>
      <c r="RP33" s="272"/>
      <c r="RQ33" s="272"/>
      <c r="RR33" s="272"/>
      <c r="RS33" s="272"/>
      <c r="RT33" s="272"/>
      <c r="RU33" s="272"/>
      <c r="RV33" s="272"/>
      <c r="RW33" s="272"/>
      <c r="RX33" s="272"/>
      <c r="RY33" s="272"/>
      <c r="RZ33" s="272"/>
      <c r="SA33" s="272"/>
      <c r="SB33" s="272"/>
      <c r="SC33" s="272"/>
      <c r="SD33" s="272"/>
      <c r="SE33" s="272"/>
      <c r="SF33" s="272"/>
      <c r="SG33" s="272"/>
      <c r="SH33" s="272"/>
      <c r="SI33" s="272"/>
      <c r="SJ33" s="272"/>
      <c r="SK33" s="272"/>
      <c r="SL33" s="272"/>
      <c r="SM33" s="272"/>
      <c r="SN33" s="272"/>
      <c r="SO33" s="272"/>
      <c r="SP33" s="272"/>
      <c r="SQ33" s="272"/>
      <c r="SR33" s="272"/>
      <c r="SS33" s="272"/>
      <c r="ST33" s="272"/>
      <c r="SU33" s="272"/>
      <c r="SV33" s="272"/>
      <c r="SW33" s="272"/>
      <c r="SX33" s="272"/>
      <c r="SY33" s="272"/>
      <c r="SZ33" s="272"/>
      <c r="TA33" s="272"/>
      <c r="TB33" s="272"/>
      <c r="TC33" s="272"/>
      <c r="TD33" s="272"/>
      <c r="TE33" s="272"/>
      <c r="TF33" s="272"/>
      <c r="TG33" s="272"/>
      <c r="TH33" s="272"/>
      <c r="TI33" s="272"/>
      <c r="TJ33" s="272"/>
      <c r="TK33" s="272"/>
      <c r="TL33" s="272"/>
      <c r="TM33" s="272"/>
      <c r="TN33" s="272"/>
      <c r="TO33" s="272"/>
      <c r="TP33" s="272"/>
      <c r="TQ33" s="272"/>
      <c r="TR33" s="272"/>
      <c r="TS33" s="272"/>
      <c r="TT33" s="272"/>
      <c r="TU33" s="272"/>
      <c r="TV33" s="272"/>
      <c r="TW33" s="272"/>
      <c r="TX33" s="272"/>
      <c r="TY33" s="272"/>
      <c r="TZ33" s="272"/>
      <c r="UA33" s="272"/>
      <c r="UB33" s="272"/>
      <c r="UC33" s="272"/>
      <c r="UD33" s="272"/>
      <c r="UE33" s="272"/>
      <c r="UF33" s="272"/>
      <c r="UG33" s="272"/>
      <c r="UH33" s="272"/>
      <c r="UI33" s="272"/>
      <c r="UJ33" s="272"/>
      <c r="UK33" s="272"/>
      <c r="UL33" s="272"/>
      <c r="UM33" s="272"/>
      <c r="UN33" s="272"/>
      <c r="UO33" s="272"/>
      <c r="UP33" s="272"/>
      <c r="UQ33" s="272"/>
      <c r="UR33" s="272"/>
      <c r="US33" s="272"/>
      <c r="UT33" s="272"/>
      <c r="UU33" s="272"/>
      <c r="UV33" s="272"/>
      <c r="UW33" s="272"/>
      <c r="UX33" s="272"/>
      <c r="UY33" s="272"/>
      <c r="UZ33" s="272"/>
      <c r="VA33" s="272"/>
      <c r="VB33" s="272"/>
      <c r="VC33" s="272"/>
      <c r="VD33" s="272"/>
      <c r="VE33" s="272"/>
      <c r="VF33" s="272"/>
      <c r="VG33" s="272"/>
      <c r="VH33" s="272"/>
      <c r="VI33" s="272"/>
      <c r="VJ33" s="272"/>
      <c r="VK33" s="272"/>
      <c r="VL33" s="272"/>
      <c r="VM33" s="272"/>
      <c r="VN33" s="272"/>
      <c r="VO33" s="272"/>
      <c r="VP33" s="272"/>
      <c r="VQ33" s="272"/>
      <c r="VR33" s="272"/>
      <c r="VS33" s="272"/>
      <c r="VT33" s="272"/>
      <c r="VU33" s="272"/>
      <c r="VV33" s="272"/>
      <c r="VW33" s="272"/>
      <c r="VX33" s="272"/>
      <c r="VY33" s="272"/>
      <c r="VZ33" s="272"/>
      <c r="WA33" s="272"/>
      <c r="WB33" s="272"/>
      <c r="WC33" s="272"/>
      <c r="WD33" s="272"/>
      <c r="WE33" s="272"/>
      <c r="WF33" s="272"/>
      <c r="WG33" s="272"/>
      <c r="WH33" s="272"/>
      <c r="WI33" s="272"/>
      <c r="WJ33" s="272"/>
      <c r="WK33" s="272"/>
      <c r="WL33" s="272"/>
      <c r="WM33" s="272"/>
      <c r="WN33" s="272"/>
      <c r="WO33" s="272"/>
      <c r="WP33" s="272"/>
      <c r="WQ33" s="272"/>
      <c r="WR33" s="272"/>
      <c r="WS33" s="272"/>
      <c r="WT33" s="272"/>
      <c r="WU33" s="272"/>
      <c r="WV33" s="272"/>
      <c r="WW33" s="272"/>
      <c r="WX33" s="272"/>
      <c r="WY33" s="272"/>
      <c r="WZ33" s="272"/>
      <c r="XA33" s="272"/>
      <c r="XB33" s="272"/>
      <c r="XC33" s="272"/>
      <c r="XD33" s="272"/>
      <c r="XE33" s="272"/>
      <c r="XF33" s="272"/>
      <c r="XG33" s="272"/>
      <c r="XH33" s="272"/>
      <c r="XI33" s="272"/>
      <c r="XJ33" s="272"/>
      <c r="XK33" s="272"/>
      <c r="XL33" s="272"/>
      <c r="XM33" s="272"/>
      <c r="XN33" s="272"/>
      <c r="XO33" s="272"/>
      <c r="XP33" s="272"/>
      <c r="XQ33" s="272"/>
      <c r="XR33" s="272"/>
      <c r="XS33" s="272"/>
      <c r="XT33" s="272"/>
      <c r="XU33" s="272"/>
      <c r="XV33" s="272"/>
      <c r="XW33" s="272"/>
      <c r="XX33" s="272"/>
      <c r="XY33" s="272"/>
      <c r="XZ33" s="272"/>
      <c r="YA33" s="272"/>
      <c r="YB33" s="272"/>
      <c r="YC33" s="272"/>
      <c r="YD33" s="272"/>
      <c r="YE33" s="272"/>
      <c r="YF33" s="272"/>
      <c r="YG33" s="272"/>
      <c r="YH33" s="272"/>
      <c r="YI33" s="272"/>
      <c r="YJ33" s="272"/>
      <c r="YK33" s="272"/>
      <c r="YL33" s="272"/>
      <c r="YM33" s="272"/>
      <c r="YN33" s="272"/>
      <c r="YO33" s="272"/>
      <c r="YP33" s="272"/>
      <c r="YQ33" s="272"/>
      <c r="YR33" s="272"/>
      <c r="YS33" s="272"/>
      <c r="YT33" s="272"/>
      <c r="YU33" s="272"/>
      <c r="YV33" s="272"/>
      <c r="YW33" s="272"/>
      <c r="YX33" s="272"/>
      <c r="YY33" s="272"/>
      <c r="YZ33" s="272"/>
      <c r="ZA33" s="272"/>
      <c r="ZB33" s="272"/>
      <c r="ZC33" s="272"/>
      <c r="ZD33" s="272"/>
      <c r="ZE33" s="272"/>
      <c r="ZF33" s="272"/>
      <c r="ZG33" s="272"/>
      <c r="ZH33" s="272"/>
      <c r="ZI33" s="272"/>
      <c r="ZJ33" s="272"/>
      <c r="ZK33" s="272"/>
      <c r="ZL33" s="272"/>
      <c r="ZM33" s="272"/>
      <c r="ZN33" s="272"/>
      <c r="ZO33" s="272"/>
      <c r="ZP33" s="272"/>
      <c r="ZQ33" s="272"/>
      <c r="ZR33" s="272"/>
      <c r="ZS33" s="272"/>
      <c r="ZT33" s="272"/>
      <c r="ZU33" s="272"/>
      <c r="ZV33" s="272"/>
      <c r="ZW33" s="272"/>
      <c r="ZX33" s="272"/>
      <c r="ZY33" s="272"/>
      <c r="ZZ33" s="272"/>
      <c r="AAA33" s="272"/>
      <c r="AAB33" s="272"/>
      <c r="AAC33" s="272"/>
      <c r="AAD33" s="272"/>
      <c r="AAE33" s="272"/>
      <c r="AAF33" s="272"/>
      <c r="AAG33" s="272"/>
      <c r="AAH33" s="272"/>
      <c r="AAI33" s="272"/>
      <c r="AAJ33" s="272"/>
      <c r="AAK33" s="272"/>
      <c r="AAL33" s="272"/>
      <c r="AAM33" s="272"/>
      <c r="AAN33" s="272"/>
      <c r="AAO33" s="272"/>
      <c r="AAP33" s="272"/>
      <c r="AAQ33" s="272"/>
      <c r="AAR33" s="272"/>
      <c r="AAS33" s="272"/>
      <c r="AAT33" s="272"/>
      <c r="AAU33" s="272"/>
      <c r="AAV33" s="272"/>
      <c r="AAW33" s="272"/>
      <c r="AAX33" s="272"/>
      <c r="AAY33" s="272"/>
      <c r="AAZ33" s="272"/>
      <c r="ABA33" s="272"/>
      <c r="ABB33" s="272"/>
      <c r="ABC33" s="272"/>
      <c r="ABD33" s="272"/>
      <c r="ABE33" s="272"/>
      <c r="ABF33" s="272"/>
      <c r="ABG33" s="272"/>
    </row>
    <row r="34" spans="1:735" s="19" customFormat="1" ht="64.5" customHeight="1">
      <c r="A34" s="44"/>
      <c r="B34" s="597"/>
      <c r="C34" s="598"/>
      <c r="D34" s="601"/>
      <c r="E34" s="620"/>
      <c r="F34" s="627"/>
      <c r="G34" s="635"/>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c r="EY34" s="272"/>
      <c r="EZ34" s="272"/>
      <c r="FA34" s="272"/>
      <c r="FB34" s="272"/>
      <c r="FC34" s="272"/>
      <c r="FD34" s="272"/>
      <c r="FE34" s="272"/>
      <c r="FF34" s="272"/>
      <c r="FG34" s="272"/>
      <c r="FH34" s="272"/>
      <c r="FI34" s="272"/>
      <c r="FJ34" s="272"/>
      <c r="FK34" s="272"/>
      <c r="FL34" s="272"/>
      <c r="FM34" s="272"/>
      <c r="FN34" s="272"/>
      <c r="FO34" s="272"/>
      <c r="FP34" s="272"/>
      <c r="FQ34" s="272"/>
      <c r="FR34" s="272"/>
      <c r="FS34" s="272"/>
      <c r="FT34" s="272"/>
      <c r="FU34" s="272"/>
      <c r="FV34" s="272"/>
      <c r="FW34" s="272"/>
      <c r="FX34" s="272"/>
      <c r="FY34" s="272"/>
      <c r="FZ34" s="272"/>
      <c r="GA34" s="272"/>
      <c r="GB34" s="272"/>
      <c r="GC34" s="272"/>
      <c r="GD34" s="272"/>
      <c r="GE34" s="272"/>
      <c r="GF34" s="272"/>
      <c r="GG34" s="272"/>
      <c r="GH34" s="272"/>
      <c r="GI34" s="272"/>
      <c r="GJ34" s="272"/>
      <c r="GK34" s="272"/>
      <c r="GL34" s="272"/>
      <c r="GM34" s="272"/>
      <c r="GN34" s="272"/>
      <c r="GO34" s="272"/>
      <c r="GP34" s="272"/>
      <c r="GQ34" s="272"/>
      <c r="GR34" s="272"/>
      <c r="GS34" s="272"/>
      <c r="GT34" s="272"/>
      <c r="GU34" s="272"/>
      <c r="GV34" s="272"/>
      <c r="GW34" s="272"/>
      <c r="GX34" s="272"/>
      <c r="GY34" s="272"/>
      <c r="GZ34" s="272"/>
      <c r="HA34" s="272"/>
      <c r="HB34" s="272"/>
      <c r="HC34" s="272"/>
      <c r="HD34" s="272"/>
      <c r="HE34" s="272"/>
      <c r="HF34" s="272"/>
      <c r="HG34" s="272"/>
      <c r="HH34" s="272"/>
      <c r="HI34" s="272"/>
      <c r="HJ34" s="272"/>
      <c r="HK34" s="272"/>
      <c r="HL34" s="272"/>
      <c r="HM34" s="272"/>
      <c r="HN34" s="272"/>
      <c r="HO34" s="272"/>
      <c r="HP34" s="272"/>
      <c r="HQ34" s="272"/>
      <c r="HR34" s="272"/>
      <c r="HS34" s="272"/>
      <c r="HT34" s="272"/>
      <c r="HU34" s="272"/>
      <c r="HV34" s="272"/>
      <c r="HW34" s="272"/>
      <c r="HX34" s="272"/>
      <c r="HY34" s="272"/>
      <c r="HZ34" s="272"/>
      <c r="IA34" s="272"/>
      <c r="IB34" s="272"/>
      <c r="IC34" s="272"/>
      <c r="ID34" s="272"/>
      <c r="IE34" s="272"/>
      <c r="IF34" s="272"/>
      <c r="IG34" s="272"/>
      <c r="IH34" s="272"/>
      <c r="II34" s="272"/>
      <c r="IJ34" s="272"/>
      <c r="IK34" s="272"/>
      <c r="IL34" s="272"/>
      <c r="IM34" s="272"/>
      <c r="IN34" s="272"/>
      <c r="IO34" s="272"/>
      <c r="IP34" s="272"/>
      <c r="IQ34" s="272"/>
      <c r="IR34" s="272"/>
      <c r="IS34" s="272"/>
      <c r="IT34" s="272"/>
      <c r="IU34" s="272"/>
      <c r="IV34" s="272"/>
      <c r="IW34" s="272"/>
      <c r="IX34" s="272"/>
      <c r="IY34" s="272"/>
      <c r="IZ34" s="272"/>
      <c r="JA34" s="272"/>
      <c r="JB34" s="272"/>
      <c r="JC34" s="272"/>
      <c r="JD34" s="272"/>
      <c r="JE34" s="272"/>
      <c r="JF34" s="272"/>
      <c r="JG34" s="272"/>
      <c r="JH34" s="272"/>
      <c r="JI34" s="272"/>
      <c r="JJ34" s="272"/>
      <c r="JK34" s="272"/>
      <c r="JL34" s="272"/>
      <c r="JM34" s="272"/>
      <c r="JN34" s="272"/>
      <c r="JO34" s="272"/>
      <c r="JP34" s="272"/>
      <c r="JQ34" s="272"/>
      <c r="JR34" s="272"/>
      <c r="JS34" s="272"/>
      <c r="JT34" s="272"/>
      <c r="JU34" s="272"/>
      <c r="JV34" s="272"/>
      <c r="JW34" s="272"/>
      <c r="JX34" s="272"/>
      <c r="JY34" s="272"/>
      <c r="JZ34" s="272"/>
      <c r="KA34" s="272"/>
      <c r="KB34" s="272"/>
      <c r="KC34" s="272"/>
      <c r="KD34" s="272"/>
      <c r="KE34" s="272"/>
      <c r="KF34" s="272"/>
      <c r="KG34" s="272"/>
      <c r="KH34" s="272"/>
      <c r="KI34" s="272"/>
      <c r="KJ34" s="272"/>
      <c r="KK34" s="272"/>
      <c r="KL34" s="272"/>
      <c r="KM34" s="272"/>
      <c r="KN34" s="272"/>
      <c r="KO34" s="272"/>
      <c r="KP34" s="272"/>
      <c r="KQ34" s="272"/>
      <c r="KR34" s="272"/>
      <c r="KS34" s="272"/>
      <c r="KT34" s="272"/>
      <c r="KU34" s="272"/>
      <c r="KV34" s="272"/>
      <c r="KW34" s="272"/>
      <c r="KX34" s="272"/>
      <c r="KY34" s="272"/>
      <c r="KZ34" s="272"/>
      <c r="LA34" s="272"/>
      <c r="LB34" s="272"/>
      <c r="LC34" s="272"/>
      <c r="LD34" s="272"/>
      <c r="LE34" s="272"/>
      <c r="LF34" s="272"/>
      <c r="LG34" s="272"/>
      <c r="LH34" s="272"/>
      <c r="LI34" s="272"/>
      <c r="LJ34" s="272"/>
      <c r="LK34" s="272"/>
      <c r="LL34" s="272"/>
      <c r="LM34" s="272"/>
      <c r="LN34" s="272"/>
      <c r="LO34" s="272"/>
      <c r="LP34" s="272"/>
      <c r="LQ34" s="272"/>
      <c r="LR34" s="272"/>
      <c r="LS34" s="272"/>
      <c r="LT34" s="272"/>
      <c r="LU34" s="272"/>
      <c r="LV34" s="272"/>
      <c r="LW34" s="272"/>
      <c r="LX34" s="272"/>
      <c r="LY34" s="272"/>
      <c r="LZ34" s="272"/>
      <c r="MA34" s="272"/>
      <c r="MB34" s="272"/>
      <c r="MC34" s="272"/>
      <c r="MD34" s="272"/>
      <c r="ME34" s="272"/>
      <c r="MF34" s="272"/>
      <c r="MG34" s="272"/>
      <c r="MH34" s="272"/>
      <c r="MI34" s="272"/>
      <c r="MJ34" s="272"/>
      <c r="MK34" s="272"/>
      <c r="ML34" s="272"/>
      <c r="MM34" s="272"/>
      <c r="MN34" s="272"/>
      <c r="MO34" s="272"/>
      <c r="MP34" s="272"/>
      <c r="MQ34" s="272"/>
      <c r="MR34" s="272"/>
      <c r="MS34" s="272"/>
      <c r="MT34" s="272"/>
      <c r="MU34" s="272"/>
      <c r="MV34" s="272"/>
      <c r="MW34" s="272"/>
      <c r="MX34" s="272"/>
      <c r="MY34" s="272"/>
      <c r="MZ34" s="272"/>
      <c r="NA34" s="272"/>
      <c r="NB34" s="272"/>
      <c r="NC34" s="272"/>
      <c r="ND34" s="272"/>
      <c r="NE34" s="272"/>
      <c r="NF34" s="272"/>
      <c r="NG34" s="272"/>
      <c r="NH34" s="272"/>
      <c r="NI34" s="272"/>
      <c r="NJ34" s="272"/>
      <c r="NK34" s="272"/>
      <c r="NL34" s="272"/>
      <c r="NM34" s="272"/>
      <c r="NN34" s="272"/>
      <c r="NO34" s="272"/>
      <c r="NP34" s="272"/>
      <c r="NQ34" s="272"/>
      <c r="NR34" s="272"/>
      <c r="NS34" s="272"/>
      <c r="NT34" s="272"/>
      <c r="NU34" s="272"/>
      <c r="NV34" s="272"/>
      <c r="NW34" s="272"/>
      <c r="NX34" s="272"/>
      <c r="NY34" s="272"/>
      <c r="NZ34" s="272"/>
      <c r="OA34" s="272"/>
      <c r="OB34" s="272"/>
      <c r="OC34" s="272"/>
      <c r="OD34" s="272"/>
      <c r="OE34" s="272"/>
      <c r="OF34" s="272"/>
      <c r="OG34" s="272"/>
      <c r="OH34" s="272"/>
      <c r="OI34" s="272"/>
      <c r="OJ34" s="272"/>
      <c r="OK34" s="272"/>
      <c r="OL34" s="272"/>
      <c r="OM34" s="272"/>
      <c r="ON34" s="272"/>
      <c r="OO34" s="272"/>
      <c r="OP34" s="272"/>
      <c r="OQ34" s="272"/>
      <c r="OR34" s="272"/>
      <c r="OS34" s="272"/>
      <c r="OT34" s="272"/>
      <c r="OU34" s="272"/>
      <c r="OV34" s="272"/>
      <c r="OW34" s="272"/>
      <c r="OX34" s="272"/>
      <c r="OY34" s="272"/>
      <c r="OZ34" s="272"/>
      <c r="PA34" s="272"/>
      <c r="PB34" s="272"/>
      <c r="PC34" s="272"/>
      <c r="PD34" s="272"/>
      <c r="PE34" s="272"/>
      <c r="PF34" s="272"/>
      <c r="PG34" s="272"/>
      <c r="PH34" s="272"/>
      <c r="PI34" s="272"/>
      <c r="PJ34" s="272"/>
      <c r="PK34" s="272"/>
      <c r="PL34" s="272"/>
      <c r="PM34" s="272"/>
      <c r="PN34" s="272"/>
      <c r="PO34" s="272"/>
      <c r="PP34" s="272"/>
      <c r="PQ34" s="272"/>
      <c r="PR34" s="272"/>
      <c r="PS34" s="272"/>
      <c r="PT34" s="272"/>
      <c r="PU34" s="272"/>
      <c r="PV34" s="272"/>
      <c r="PW34" s="272"/>
      <c r="PX34" s="272"/>
      <c r="PY34" s="272"/>
      <c r="PZ34" s="272"/>
      <c r="QA34" s="272"/>
      <c r="QB34" s="272"/>
      <c r="QC34" s="272"/>
      <c r="QD34" s="272"/>
      <c r="QE34" s="272"/>
      <c r="QF34" s="272"/>
      <c r="QG34" s="272"/>
      <c r="QH34" s="272"/>
      <c r="QI34" s="272"/>
      <c r="QJ34" s="272"/>
      <c r="QK34" s="272"/>
      <c r="QL34" s="272"/>
      <c r="QM34" s="272"/>
      <c r="QN34" s="272"/>
      <c r="QO34" s="272"/>
      <c r="QP34" s="272"/>
      <c r="QQ34" s="272"/>
      <c r="QR34" s="272"/>
      <c r="QS34" s="272"/>
      <c r="QT34" s="272"/>
      <c r="QU34" s="272"/>
      <c r="QV34" s="272"/>
      <c r="QW34" s="272"/>
      <c r="QX34" s="272"/>
      <c r="QY34" s="272"/>
      <c r="QZ34" s="272"/>
      <c r="RA34" s="272"/>
      <c r="RB34" s="272"/>
      <c r="RC34" s="272"/>
      <c r="RD34" s="272"/>
      <c r="RE34" s="272"/>
      <c r="RF34" s="272"/>
      <c r="RG34" s="272"/>
      <c r="RH34" s="272"/>
      <c r="RI34" s="272"/>
      <c r="RJ34" s="272"/>
      <c r="RK34" s="272"/>
      <c r="RL34" s="272"/>
      <c r="RM34" s="272"/>
      <c r="RN34" s="272"/>
      <c r="RO34" s="272"/>
      <c r="RP34" s="272"/>
      <c r="RQ34" s="272"/>
      <c r="RR34" s="272"/>
      <c r="RS34" s="272"/>
      <c r="RT34" s="272"/>
      <c r="RU34" s="272"/>
      <c r="RV34" s="272"/>
      <c r="RW34" s="272"/>
      <c r="RX34" s="272"/>
      <c r="RY34" s="272"/>
      <c r="RZ34" s="272"/>
      <c r="SA34" s="272"/>
      <c r="SB34" s="272"/>
      <c r="SC34" s="272"/>
      <c r="SD34" s="272"/>
      <c r="SE34" s="272"/>
      <c r="SF34" s="272"/>
      <c r="SG34" s="272"/>
      <c r="SH34" s="272"/>
      <c r="SI34" s="272"/>
      <c r="SJ34" s="272"/>
      <c r="SK34" s="272"/>
      <c r="SL34" s="272"/>
      <c r="SM34" s="272"/>
      <c r="SN34" s="272"/>
      <c r="SO34" s="272"/>
      <c r="SP34" s="272"/>
      <c r="SQ34" s="272"/>
      <c r="SR34" s="272"/>
      <c r="SS34" s="272"/>
      <c r="ST34" s="272"/>
      <c r="SU34" s="272"/>
      <c r="SV34" s="272"/>
      <c r="SW34" s="272"/>
      <c r="SX34" s="272"/>
      <c r="SY34" s="272"/>
      <c r="SZ34" s="272"/>
      <c r="TA34" s="272"/>
      <c r="TB34" s="272"/>
      <c r="TC34" s="272"/>
      <c r="TD34" s="272"/>
      <c r="TE34" s="272"/>
      <c r="TF34" s="272"/>
      <c r="TG34" s="272"/>
      <c r="TH34" s="272"/>
      <c r="TI34" s="272"/>
      <c r="TJ34" s="272"/>
      <c r="TK34" s="272"/>
      <c r="TL34" s="272"/>
      <c r="TM34" s="272"/>
      <c r="TN34" s="272"/>
      <c r="TO34" s="272"/>
      <c r="TP34" s="272"/>
      <c r="TQ34" s="272"/>
      <c r="TR34" s="272"/>
      <c r="TS34" s="272"/>
      <c r="TT34" s="272"/>
      <c r="TU34" s="272"/>
      <c r="TV34" s="272"/>
      <c r="TW34" s="272"/>
      <c r="TX34" s="272"/>
      <c r="TY34" s="272"/>
      <c r="TZ34" s="272"/>
      <c r="UA34" s="272"/>
      <c r="UB34" s="272"/>
      <c r="UC34" s="272"/>
      <c r="UD34" s="272"/>
      <c r="UE34" s="272"/>
      <c r="UF34" s="272"/>
      <c r="UG34" s="272"/>
      <c r="UH34" s="272"/>
      <c r="UI34" s="272"/>
      <c r="UJ34" s="272"/>
      <c r="UK34" s="272"/>
      <c r="UL34" s="272"/>
      <c r="UM34" s="272"/>
      <c r="UN34" s="272"/>
      <c r="UO34" s="272"/>
      <c r="UP34" s="272"/>
      <c r="UQ34" s="272"/>
      <c r="UR34" s="272"/>
      <c r="US34" s="272"/>
      <c r="UT34" s="272"/>
      <c r="UU34" s="272"/>
      <c r="UV34" s="272"/>
      <c r="UW34" s="272"/>
      <c r="UX34" s="272"/>
      <c r="UY34" s="272"/>
      <c r="UZ34" s="272"/>
      <c r="VA34" s="272"/>
      <c r="VB34" s="272"/>
      <c r="VC34" s="272"/>
      <c r="VD34" s="272"/>
      <c r="VE34" s="272"/>
      <c r="VF34" s="272"/>
      <c r="VG34" s="272"/>
      <c r="VH34" s="272"/>
      <c r="VI34" s="272"/>
      <c r="VJ34" s="272"/>
      <c r="VK34" s="272"/>
      <c r="VL34" s="272"/>
      <c r="VM34" s="272"/>
      <c r="VN34" s="272"/>
      <c r="VO34" s="272"/>
      <c r="VP34" s="272"/>
      <c r="VQ34" s="272"/>
      <c r="VR34" s="272"/>
      <c r="VS34" s="272"/>
      <c r="VT34" s="272"/>
      <c r="VU34" s="272"/>
      <c r="VV34" s="272"/>
      <c r="VW34" s="272"/>
      <c r="VX34" s="272"/>
      <c r="VY34" s="272"/>
      <c r="VZ34" s="272"/>
      <c r="WA34" s="272"/>
      <c r="WB34" s="272"/>
      <c r="WC34" s="272"/>
      <c r="WD34" s="272"/>
      <c r="WE34" s="272"/>
      <c r="WF34" s="272"/>
      <c r="WG34" s="272"/>
      <c r="WH34" s="272"/>
      <c r="WI34" s="272"/>
      <c r="WJ34" s="272"/>
      <c r="WK34" s="272"/>
      <c r="WL34" s="272"/>
      <c r="WM34" s="272"/>
      <c r="WN34" s="272"/>
      <c r="WO34" s="272"/>
      <c r="WP34" s="272"/>
      <c r="WQ34" s="272"/>
      <c r="WR34" s="272"/>
      <c r="WS34" s="272"/>
      <c r="WT34" s="272"/>
      <c r="WU34" s="272"/>
      <c r="WV34" s="272"/>
      <c r="WW34" s="272"/>
      <c r="WX34" s="272"/>
      <c r="WY34" s="272"/>
      <c r="WZ34" s="272"/>
      <c r="XA34" s="272"/>
      <c r="XB34" s="272"/>
      <c r="XC34" s="272"/>
      <c r="XD34" s="272"/>
      <c r="XE34" s="272"/>
      <c r="XF34" s="272"/>
      <c r="XG34" s="272"/>
      <c r="XH34" s="272"/>
      <c r="XI34" s="272"/>
      <c r="XJ34" s="272"/>
      <c r="XK34" s="272"/>
      <c r="XL34" s="272"/>
      <c r="XM34" s="272"/>
      <c r="XN34" s="272"/>
      <c r="XO34" s="272"/>
      <c r="XP34" s="272"/>
      <c r="XQ34" s="272"/>
      <c r="XR34" s="272"/>
      <c r="XS34" s="272"/>
      <c r="XT34" s="272"/>
      <c r="XU34" s="272"/>
      <c r="XV34" s="272"/>
      <c r="XW34" s="272"/>
      <c r="XX34" s="272"/>
      <c r="XY34" s="272"/>
      <c r="XZ34" s="272"/>
      <c r="YA34" s="272"/>
      <c r="YB34" s="272"/>
      <c r="YC34" s="272"/>
      <c r="YD34" s="272"/>
      <c r="YE34" s="272"/>
      <c r="YF34" s="272"/>
      <c r="YG34" s="272"/>
      <c r="YH34" s="272"/>
      <c r="YI34" s="272"/>
      <c r="YJ34" s="272"/>
      <c r="YK34" s="272"/>
      <c r="YL34" s="272"/>
      <c r="YM34" s="272"/>
      <c r="YN34" s="272"/>
      <c r="YO34" s="272"/>
      <c r="YP34" s="272"/>
      <c r="YQ34" s="272"/>
      <c r="YR34" s="272"/>
      <c r="YS34" s="272"/>
      <c r="YT34" s="272"/>
      <c r="YU34" s="272"/>
      <c r="YV34" s="272"/>
      <c r="YW34" s="272"/>
      <c r="YX34" s="272"/>
      <c r="YY34" s="272"/>
      <c r="YZ34" s="272"/>
      <c r="ZA34" s="272"/>
      <c r="ZB34" s="272"/>
      <c r="ZC34" s="272"/>
      <c r="ZD34" s="272"/>
      <c r="ZE34" s="272"/>
      <c r="ZF34" s="272"/>
      <c r="ZG34" s="272"/>
      <c r="ZH34" s="272"/>
      <c r="ZI34" s="272"/>
      <c r="ZJ34" s="272"/>
      <c r="ZK34" s="272"/>
      <c r="ZL34" s="272"/>
      <c r="ZM34" s="272"/>
      <c r="ZN34" s="272"/>
      <c r="ZO34" s="272"/>
      <c r="ZP34" s="272"/>
      <c r="ZQ34" s="272"/>
      <c r="ZR34" s="272"/>
      <c r="ZS34" s="272"/>
      <c r="ZT34" s="272"/>
      <c r="ZU34" s="272"/>
      <c r="ZV34" s="272"/>
      <c r="ZW34" s="272"/>
      <c r="ZX34" s="272"/>
      <c r="ZY34" s="272"/>
      <c r="ZZ34" s="272"/>
      <c r="AAA34" s="272"/>
      <c r="AAB34" s="272"/>
      <c r="AAC34" s="272"/>
      <c r="AAD34" s="272"/>
      <c r="AAE34" s="272"/>
      <c r="AAF34" s="272"/>
      <c r="AAG34" s="272"/>
      <c r="AAH34" s="272"/>
      <c r="AAI34" s="272"/>
      <c r="AAJ34" s="272"/>
      <c r="AAK34" s="272"/>
      <c r="AAL34" s="272"/>
      <c r="AAM34" s="272"/>
      <c r="AAN34" s="272"/>
      <c r="AAO34" s="272"/>
      <c r="AAP34" s="272"/>
      <c r="AAQ34" s="272"/>
      <c r="AAR34" s="272"/>
      <c r="AAS34" s="272"/>
      <c r="AAT34" s="272"/>
      <c r="AAU34" s="272"/>
      <c r="AAV34" s="272"/>
      <c r="AAW34" s="272"/>
      <c r="AAX34" s="272"/>
      <c r="AAY34" s="272"/>
      <c r="AAZ34" s="272"/>
      <c r="ABA34" s="272"/>
      <c r="ABB34" s="272"/>
      <c r="ABC34" s="272"/>
      <c r="ABD34" s="272"/>
      <c r="ABE34" s="272"/>
      <c r="ABF34" s="272"/>
      <c r="ABG34" s="272"/>
    </row>
    <row r="35" spans="1:735" s="19" customFormat="1" ht="15">
      <c r="A35" s="44"/>
      <c r="B35" s="597"/>
      <c r="C35" s="24" t="s">
        <v>53</v>
      </c>
      <c r="D35" s="508"/>
      <c r="E35" s="509"/>
      <c r="F35" s="506"/>
      <c r="G35" s="507"/>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72"/>
      <c r="HK35" s="272"/>
      <c r="HL35" s="272"/>
      <c r="HM35" s="27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72"/>
      <c r="IX35" s="272"/>
      <c r="IY35" s="272"/>
      <c r="IZ35" s="272"/>
      <c r="JA35" s="272"/>
      <c r="JB35" s="272"/>
      <c r="JC35" s="272"/>
      <c r="JD35" s="272"/>
      <c r="JE35" s="272"/>
      <c r="JF35" s="272"/>
      <c r="JG35" s="272"/>
      <c r="JH35" s="272"/>
      <c r="JI35" s="272"/>
      <c r="JJ35" s="272"/>
      <c r="JK35" s="272"/>
      <c r="JL35" s="272"/>
      <c r="JM35" s="272"/>
      <c r="JN35" s="272"/>
      <c r="JO35" s="272"/>
      <c r="JP35" s="272"/>
      <c r="JQ35" s="272"/>
      <c r="JR35" s="272"/>
      <c r="JS35" s="272"/>
      <c r="JT35" s="272"/>
      <c r="JU35" s="272"/>
      <c r="JV35" s="272"/>
      <c r="JW35" s="272"/>
      <c r="JX35" s="272"/>
      <c r="JY35" s="272"/>
      <c r="JZ35" s="272"/>
      <c r="KA35" s="272"/>
      <c r="KB35" s="272"/>
      <c r="KC35" s="272"/>
      <c r="KD35" s="272"/>
      <c r="KE35" s="272"/>
      <c r="KF35" s="272"/>
      <c r="KG35" s="272"/>
      <c r="KH35" s="272"/>
      <c r="KI35" s="272"/>
      <c r="KJ35" s="272"/>
      <c r="KK35" s="272"/>
      <c r="KL35" s="272"/>
      <c r="KM35" s="272"/>
      <c r="KN35" s="272"/>
      <c r="KO35" s="272"/>
      <c r="KP35" s="272"/>
      <c r="KQ35" s="272"/>
      <c r="KR35" s="272"/>
      <c r="KS35" s="272"/>
      <c r="KT35" s="272"/>
      <c r="KU35" s="272"/>
      <c r="KV35" s="272"/>
      <c r="KW35" s="272"/>
      <c r="KX35" s="272"/>
      <c r="KY35" s="272"/>
      <c r="KZ35" s="272"/>
      <c r="LA35" s="272"/>
      <c r="LB35" s="272"/>
      <c r="LC35" s="272"/>
      <c r="LD35" s="272"/>
      <c r="LE35" s="272"/>
      <c r="LF35" s="272"/>
      <c r="LG35" s="272"/>
      <c r="LH35" s="272"/>
      <c r="LI35" s="272"/>
      <c r="LJ35" s="272"/>
      <c r="LK35" s="272"/>
      <c r="LL35" s="272"/>
      <c r="LM35" s="272"/>
      <c r="LN35" s="272"/>
      <c r="LO35" s="272"/>
      <c r="LP35" s="272"/>
      <c r="LQ35" s="272"/>
      <c r="LR35" s="272"/>
      <c r="LS35" s="272"/>
      <c r="LT35" s="272"/>
      <c r="LU35" s="272"/>
      <c r="LV35" s="272"/>
      <c r="LW35" s="272"/>
      <c r="LX35" s="272"/>
      <c r="LY35" s="272"/>
      <c r="LZ35" s="272"/>
      <c r="MA35" s="272"/>
      <c r="MB35" s="272"/>
      <c r="MC35" s="272"/>
      <c r="MD35" s="272"/>
      <c r="ME35" s="272"/>
      <c r="MF35" s="272"/>
      <c r="MG35" s="272"/>
      <c r="MH35" s="272"/>
      <c r="MI35" s="272"/>
      <c r="MJ35" s="272"/>
      <c r="MK35" s="272"/>
      <c r="ML35" s="272"/>
      <c r="MM35" s="272"/>
      <c r="MN35" s="272"/>
      <c r="MO35" s="272"/>
      <c r="MP35" s="272"/>
      <c r="MQ35" s="272"/>
      <c r="MR35" s="272"/>
      <c r="MS35" s="272"/>
      <c r="MT35" s="272"/>
      <c r="MU35" s="272"/>
      <c r="MV35" s="272"/>
      <c r="MW35" s="272"/>
      <c r="MX35" s="272"/>
      <c r="MY35" s="272"/>
      <c r="MZ35" s="272"/>
      <c r="NA35" s="272"/>
      <c r="NB35" s="272"/>
      <c r="NC35" s="272"/>
      <c r="ND35" s="272"/>
      <c r="NE35" s="272"/>
      <c r="NF35" s="272"/>
      <c r="NG35" s="272"/>
      <c r="NH35" s="272"/>
      <c r="NI35" s="272"/>
      <c r="NJ35" s="272"/>
      <c r="NK35" s="272"/>
      <c r="NL35" s="272"/>
      <c r="NM35" s="272"/>
      <c r="NN35" s="272"/>
      <c r="NO35" s="272"/>
      <c r="NP35" s="272"/>
      <c r="NQ35" s="272"/>
      <c r="NR35" s="272"/>
      <c r="NS35" s="272"/>
      <c r="NT35" s="272"/>
      <c r="NU35" s="272"/>
      <c r="NV35" s="272"/>
      <c r="NW35" s="272"/>
      <c r="NX35" s="272"/>
      <c r="NY35" s="272"/>
      <c r="NZ35" s="272"/>
      <c r="OA35" s="272"/>
      <c r="OB35" s="272"/>
      <c r="OC35" s="272"/>
      <c r="OD35" s="272"/>
      <c r="OE35" s="272"/>
      <c r="OF35" s="272"/>
      <c r="OG35" s="272"/>
      <c r="OH35" s="272"/>
      <c r="OI35" s="272"/>
      <c r="OJ35" s="272"/>
      <c r="OK35" s="272"/>
      <c r="OL35" s="272"/>
      <c r="OM35" s="272"/>
      <c r="ON35" s="272"/>
      <c r="OO35" s="272"/>
      <c r="OP35" s="272"/>
      <c r="OQ35" s="272"/>
      <c r="OR35" s="272"/>
      <c r="OS35" s="272"/>
      <c r="OT35" s="272"/>
      <c r="OU35" s="272"/>
      <c r="OV35" s="272"/>
      <c r="OW35" s="272"/>
      <c r="OX35" s="272"/>
      <c r="OY35" s="272"/>
      <c r="OZ35" s="272"/>
      <c r="PA35" s="272"/>
      <c r="PB35" s="272"/>
      <c r="PC35" s="272"/>
      <c r="PD35" s="272"/>
      <c r="PE35" s="272"/>
      <c r="PF35" s="272"/>
      <c r="PG35" s="272"/>
      <c r="PH35" s="272"/>
      <c r="PI35" s="272"/>
      <c r="PJ35" s="272"/>
      <c r="PK35" s="272"/>
      <c r="PL35" s="272"/>
      <c r="PM35" s="272"/>
      <c r="PN35" s="272"/>
      <c r="PO35" s="272"/>
      <c r="PP35" s="272"/>
      <c r="PQ35" s="272"/>
      <c r="PR35" s="272"/>
      <c r="PS35" s="272"/>
      <c r="PT35" s="272"/>
      <c r="PU35" s="272"/>
      <c r="PV35" s="272"/>
      <c r="PW35" s="272"/>
      <c r="PX35" s="272"/>
      <c r="PY35" s="272"/>
      <c r="PZ35" s="272"/>
      <c r="QA35" s="272"/>
      <c r="QB35" s="272"/>
      <c r="QC35" s="272"/>
      <c r="QD35" s="272"/>
      <c r="QE35" s="272"/>
      <c r="QF35" s="272"/>
      <c r="QG35" s="272"/>
      <c r="QH35" s="272"/>
      <c r="QI35" s="272"/>
      <c r="QJ35" s="272"/>
      <c r="QK35" s="272"/>
      <c r="QL35" s="272"/>
      <c r="QM35" s="272"/>
      <c r="QN35" s="272"/>
      <c r="QO35" s="272"/>
      <c r="QP35" s="272"/>
      <c r="QQ35" s="272"/>
      <c r="QR35" s="272"/>
      <c r="QS35" s="272"/>
      <c r="QT35" s="272"/>
      <c r="QU35" s="272"/>
      <c r="QV35" s="272"/>
      <c r="QW35" s="272"/>
      <c r="QX35" s="272"/>
      <c r="QY35" s="272"/>
      <c r="QZ35" s="272"/>
      <c r="RA35" s="272"/>
      <c r="RB35" s="272"/>
      <c r="RC35" s="272"/>
      <c r="RD35" s="272"/>
      <c r="RE35" s="272"/>
      <c r="RF35" s="272"/>
      <c r="RG35" s="272"/>
      <c r="RH35" s="272"/>
      <c r="RI35" s="272"/>
      <c r="RJ35" s="272"/>
      <c r="RK35" s="272"/>
      <c r="RL35" s="272"/>
      <c r="RM35" s="272"/>
      <c r="RN35" s="272"/>
      <c r="RO35" s="272"/>
      <c r="RP35" s="272"/>
      <c r="RQ35" s="272"/>
      <c r="RR35" s="272"/>
      <c r="RS35" s="272"/>
      <c r="RT35" s="272"/>
      <c r="RU35" s="272"/>
      <c r="RV35" s="272"/>
      <c r="RW35" s="272"/>
      <c r="RX35" s="272"/>
      <c r="RY35" s="272"/>
      <c r="RZ35" s="272"/>
      <c r="SA35" s="272"/>
      <c r="SB35" s="272"/>
      <c r="SC35" s="272"/>
      <c r="SD35" s="272"/>
      <c r="SE35" s="272"/>
      <c r="SF35" s="272"/>
      <c r="SG35" s="272"/>
      <c r="SH35" s="272"/>
      <c r="SI35" s="272"/>
      <c r="SJ35" s="272"/>
      <c r="SK35" s="272"/>
      <c r="SL35" s="272"/>
      <c r="SM35" s="272"/>
      <c r="SN35" s="272"/>
      <c r="SO35" s="272"/>
      <c r="SP35" s="272"/>
      <c r="SQ35" s="272"/>
      <c r="SR35" s="272"/>
      <c r="SS35" s="272"/>
      <c r="ST35" s="272"/>
      <c r="SU35" s="272"/>
      <c r="SV35" s="272"/>
      <c r="SW35" s="272"/>
      <c r="SX35" s="272"/>
      <c r="SY35" s="272"/>
      <c r="SZ35" s="272"/>
      <c r="TA35" s="272"/>
      <c r="TB35" s="272"/>
      <c r="TC35" s="272"/>
      <c r="TD35" s="272"/>
      <c r="TE35" s="272"/>
      <c r="TF35" s="272"/>
      <c r="TG35" s="272"/>
      <c r="TH35" s="272"/>
      <c r="TI35" s="272"/>
      <c r="TJ35" s="272"/>
      <c r="TK35" s="272"/>
      <c r="TL35" s="272"/>
      <c r="TM35" s="272"/>
      <c r="TN35" s="272"/>
      <c r="TO35" s="272"/>
      <c r="TP35" s="272"/>
      <c r="TQ35" s="272"/>
      <c r="TR35" s="272"/>
      <c r="TS35" s="272"/>
      <c r="TT35" s="272"/>
      <c r="TU35" s="272"/>
      <c r="TV35" s="272"/>
      <c r="TW35" s="272"/>
      <c r="TX35" s="272"/>
      <c r="TY35" s="272"/>
      <c r="TZ35" s="272"/>
      <c r="UA35" s="272"/>
      <c r="UB35" s="272"/>
      <c r="UC35" s="272"/>
      <c r="UD35" s="272"/>
      <c r="UE35" s="272"/>
      <c r="UF35" s="272"/>
      <c r="UG35" s="272"/>
      <c r="UH35" s="272"/>
      <c r="UI35" s="272"/>
      <c r="UJ35" s="272"/>
      <c r="UK35" s="272"/>
      <c r="UL35" s="272"/>
      <c r="UM35" s="272"/>
      <c r="UN35" s="272"/>
      <c r="UO35" s="272"/>
      <c r="UP35" s="272"/>
      <c r="UQ35" s="272"/>
      <c r="UR35" s="272"/>
      <c r="US35" s="272"/>
      <c r="UT35" s="272"/>
      <c r="UU35" s="272"/>
      <c r="UV35" s="272"/>
      <c r="UW35" s="272"/>
      <c r="UX35" s="272"/>
      <c r="UY35" s="272"/>
      <c r="UZ35" s="272"/>
      <c r="VA35" s="272"/>
      <c r="VB35" s="272"/>
      <c r="VC35" s="272"/>
      <c r="VD35" s="272"/>
      <c r="VE35" s="272"/>
      <c r="VF35" s="272"/>
      <c r="VG35" s="272"/>
      <c r="VH35" s="272"/>
      <c r="VI35" s="272"/>
      <c r="VJ35" s="272"/>
      <c r="VK35" s="272"/>
      <c r="VL35" s="272"/>
      <c r="VM35" s="272"/>
      <c r="VN35" s="272"/>
      <c r="VO35" s="272"/>
      <c r="VP35" s="272"/>
      <c r="VQ35" s="272"/>
      <c r="VR35" s="272"/>
      <c r="VS35" s="272"/>
      <c r="VT35" s="272"/>
      <c r="VU35" s="272"/>
      <c r="VV35" s="272"/>
      <c r="VW35" s="272"/>
      <c r="VX35" s="272"/>
      <c r="VY35" s="272"/>
      <c r="VZ35" s="272"/>
      <c r="WA35" s="272"/>
      <c r="WB35" s="272"/>
      <c r="WC35" s="272"/>
      <c r="WD35" s="272"/>
      <c r="WE35" s="272"/>
      <c r="WF35" s="272"/>
      <c r="WG35" s="272"/>
      <c r="WH35" s="272"/>
      <c r="WI35" s="272"/>
      <c r="WJ35" s="272"/>
      <c r="WK35" s="272"/>
      <c r="WL35" s="272"/>
      <c r="WM35" s="272"/>
      <c r="WN35" s="272"/>
      <c r="WO35" s="272"/>
      <c r="WP35" s="272"/>
      <c r="WQ35" s="272"/>
      <c r="WR35" s="272"/>
      <c r="WS35" s="272"/>
      <c r="WT35" s="272"/>
      <c r="WU35" s="272"/>
      <c r="WV35" s="272"/>
      <c r="WW35" s="272"/>
      <c r="WX35" s="272"/>
      <c r="WY35" s="272"/>
      <c r="WZ35" s="272"/>
      <c r="XA35" s="272"/>
      <c r="XB35" s="272"/>
      <c r="XC35" s="272"/>
      <c r="XD35" s="272"/>
      <c r="XE35" s="272"/>
      <c r="XF35" s="272"/>
      <c r="XG35" s="272"/>
      <c r="XH35" s="272"/>
      <c r="XI35" s="272"/>
      <c r="XJ35" s="272"/>
      <c r="XK35" s="272"/>
      <c r="XL35" s="272"/>
      <c r="XM35" s="272"/>
      <c r="XN35" s="272"/>
      <c r="XO35" s="272"/>
      <c r="XP35" s="272"/>
      <c r="XQ35" s="272"/>
      <c r="XR35" s="272"/>
      <c r="XS35" s="272"/>
      <c r="XT35" s="272"/>
      <c r="XU35" s="272"/>
      <c r="XV35" s="272"/>
      <c r="XW35" s="272"/>
      <c r="XX35" s="272"/>
      <c r="XY35" s="272"/>
      <c r="XZ35" s="272"/>
      <c r="YA35" s="272"/>
      <c r="YB35" s="272"/>
      <c r="YC35" s="272"/>
      <c r="YD35" s="272"/>
      <c r="YE35" s="272"/>
      <c r="YF35" s="272"/>
      <c r="YG35" s="272"/>
      <c r="YH35" s="272"/>
      <c r="YI35" s="272"/>
      <c r="YJ35" s="272"/>
      <c r="YK35" s="272"/>
      <c r="YL35" s="272"/>
      <c r="YM35" s="272"/>
      <c r="YN35" s="272"/>
      <c r="YO35" s="272"/>
      <c r="YP35" s="272"/>
      <c r="YQ35" s="272"/>
      <c r="YR35" s="272"/>
      <c r="YS35" s="272"/>
      <c r="YT35" s="272"/>
      <c r="YU35" s="272"/>
      <c r="YV35" s="272"/>
      <c r="YW35" s="272"/>
      <c r="YX35" s="272"/>
      <c r="YY35" s="272"/>
      <c r="YZ35" s="272"/>
      <c r="ZA35" s="272"/>
      <c r="ZB35" s="272"/>
      <c r="ZC35" s="272"/>
      <c r="ZD35" s="272"/>
      <c r="ZE35" s="272"/>
      <c r="ZF35" s="272"/>
      <c r="ZG35" s="272"/>
      <c r="ZH35" s="272"/>
      <c r="ZI35" s="272"/>
      <c r="ZJ35" s="272"/>
      <c r="ZK35" s="272"/>
      <c r="ZL35" s="272"/>
      <c r="ZM35" s="272"/>
      <c r="ZN35" s="272"/>
      <c r="ZO35" s="272"/>
      <c r="ZP35" s="272"/>
      <c r="ZQ35" s="272"/>
      <c r="ZR35" s="272"/>
      <c r="ZS35" s="272"/>
      <c r="ZT35" s="272"/>
      <c r="ZU35" s="272"/>
      <c r="ZV35" s="272"/>
      <c r="ZW35" s="272"/>
      <c r="ZX35" s="272"/>
      <c r="ZY35" s="272"/>
      <c r="ZZ35" s="272"/>
      <c r="AAA35" s="272"/>
      <c r="AAB35" s="272"/>
      <c r="AAC35" s="272"/>
      <c r="AAD35" s="272"/>
      <c r="AAE35" s="272"/>
      <c r="AAF35" s="272"/>
      <c r="AAG35" s="272"/>
      <c r="AAH35" s="272"/>
      <c r="AAI35" s="272"/>
      <c r="AAJ35" s="272"/>
      <c r="AAK35" s="272"/>
      <c r="AAL35" s="272"/>
      <c r="AAM35" s="272"/>
      <c r="AAN35" s="272"/>
      <c r="AAO35" s="272"/>
      <c r="AAP35" s="272"/>
      <c r="AAQ35" s="272"/>
      <c r="AAR35" s="272"/>
      <c r="AAS35" s="272"/>
      <c r="AAT35" s="272"/>
      <c r="AAU35" s="272"/>
      <c r="AAV35" s="272"/>
      <c r="AAW35" s="272"/>
      <c r="AAX35" s="272"/>
      <c r="AAY35" s="272"/>
      <c r="AAZ35" s="272"/>
      <c r="ABA35" s="272"/>
      <c r="ABB35" s="272"/>
      <c r="ABC35" s="272"/>
      <c r="ABD35" s="272"/>
      <c r="ABE35" s="272"/>
      <c r="ABF35" s="272"/>
      <c r="ABG35" s="272"/>
    </row>
    <row r="36" spans="1:735" s="19" customFormat="1" ht="15">
      <c r="A36" s="44"/>
      <c r="B36" s="598"/>
      <c r="C36" s="24" t="s">
        <v>54</v>
      </c>
      <c r="D36" s="508"/>
      <c r="E36" s="509"/>
      <c r="F36" s="506"/>
      <c r="G36" s="507"/>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72"/>
      <c r="HK36" s="272"/>
      <c r="HL36" s="272"/>
      <c r="HM36" s="27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72"/>
      <c r="IX36" s="272"/>
      <c r="IY36" s="272"/>
      <c r="IZ36" s="272"/>
      <c r="JA36" s="272"/>
      <c r="JB36" s="272"/>
      <c r="JC36" s="272"/>
      <c r="JD36" s="272"/>
      <c r="JE36" s="272"/>
      <c r="JF36" s="272"/>
      <c r="JG36" s="272"/>
      <c r="JH36" s="272"/>
      <c r="JI36" s="272"/>
      <c r="JJ36" s="272"/>
      <c r="JK36" s="272"/>
      <c r="JL36" s="272"/>
      <c r="JM36" s="272"/>
      <c r="JN36" s="272"/>
      <c r="JO36" s="272"/>
      <c r="JP36" s="272"/>
      <c r="JQ36" s="272"/>
      <c r="JR36" s="272"/>
      <c r="JS36" s="272"/>
      <c r="JT36" s="272"/>
      <c r="JU36" s="272"/>
      <c r="JV36" s="272"/>
      <c r="JW36" s="272"/>
      <c r="JX36" s="272"/>
      <c r="JY36" s="272"/>
      <c r="JZ36" s="272"/>
      <c r="KA36" s="272"/>
      <c r="KB36" s="272"/>
      <c r="KC36" s="272"/>
      <c r="KD36" s="272"/>
      <c r="KE36" s="272"/>
      <c r="KF36" s="272"/>
      <c r="KG36" s="272"/>
      <c r="KH36" s="272"/>
      <c r="KI36" s="272"/>
      <c r="KJ36" s="272"/>
      <c r="KK36" s="272"/>
      <c r="KL36" s="272"/>
      <c r="KM36" s="272"/>
      <c r="KN36" s="272"/>
      <c r="KO36" s="272"/>
      <c r="KP36" s="272"/>
      <c r="KQ36" s="272"/>
      <c r="KR36" s="272"/>
      <c r="KS36" s="272"/>
      <c r="KT36" s="272"/>
      <c r="KU36" s="272"/>
      <c r="KV36" s="272"/>
      <c r="KW36" s="272"/>
      <c r="KX36" s="272"/>
      <c r="KY36" s="272"/>
      <c r="KZ36" s="272"/>
      <c r="LA36" s="272"/>
      <c r="LB36" s="272"/>
      <c r="LC36" s="272"/>
      <c r="LD36" s="272"/>
      <c r="LE36" s="272"/>
      <c r="LF36" s="272"/>
      <c r="LG36" s="272"/>
      <c r="LH36" s="272"/>
      <c r="LI36" s="272"/>
      <c r="LJ36" s="272"/>
      <c r="LK36" s="272"/>
      <c r="LL36" s="272"/>
      <c r="LM36" s="272"/>
      <c r="LN36" s="272"/>
      <c r="LO36" s="272"/>
      <c r="LP36" s="272"/>
      <c r="LQ36" s="272"/>
      <c r="LR36" s="272"/>
      <c r="LS36" s="272"/>
      <c r="LT36" s="272"/>
      <c r="LU36" s="272"/>
      <c r="LV36" s="272"/>
      <c r="LW36" s="272"/>
      <c r="LX36" s="272"/>
      <c r="LY36" s="272"/>
      <c r="LZ36" s="272"/>
      <c r="MA36" s="272"/>
      <c r="MB36" s="272"/>
      <c r="MC36" s="272"/>
      <c r="MD36" s="272"/>
      <c r="ME36" s="272"/>
      <c r="MF36" s="272"/>
      <c r="MG36" s="272"/>
      <c r="MH36" s="272"/>
      <c r="MI36" s="272"/>
      <c r="MJ36" s="272"/>
      <c r="MK36" s="272"/>
      <c r="ML36" s="272"/>
      <c r="MM36" s="272"/>
      <c r="MN36" s="272"/>
      <c r="MO36" s="272"/>
      <c r="MP36" s="272"/>
      <c r="MQ36" s="272"/>
      <c r="MR36" s="272"/>
      <c r="MS36" s="272"/>
      <c r="MT36" s="272"/>
      <c r="MU36" s="272"/>
      <c r="MV36" s="272"/>
      <c r="MW36" s="272"/>
      <c r="MX36" s="272"/>
      <c r="MY36" s="272"/>
      <c r="MZ36" s="272"/>
      <c r="NA36" s="272"/>
      <c r="NB36" s="272"/>
      <c r="NC36" s="272"/>
      <c r="ND36" s="272"/>
      <c r="NE36" s="272"/>
      <c r="NF36" s="272"/>
      <c r="NG36" s="272"/>
      <c r="NH36" s="272"/>
      <c r="NI36" s="272"/>
      <c r="NJ36" s="272"/>
      <c r="NK36" s="272"/>
      <c r="NL36" s="272"/>
      <c r="NM36" s="272"/>
      <c r="NN36" s="272"/>
      <c r="NO36" s="272"/>
      <c r="NP36" s="272"/>
      <c r="NQ36" s="272"/>
      <c r="NR36" s="272"/>
      <c r="NS36" s="272"/>
      <c r="NT36" s="272"/>
      <c r="NU36" s="272"/>
      <c r="NV36" s="272"/>
      <c r="NW36" s="272"/>
      <c r="NX36" s="272"/>
      <c r="NY36" s="272"/>
      <c r="NZ36" s="272"/>
      <c r="OA36" s="272"/>
      <c r="OB36" s="272"/>
      <c r="OC36" s="272"/>
      <c r="OD36" s="272"/>
      <c r="OE36" s="272"/>
      <c r="OF36" s="272"/>
      <c r="OG36" s="272"/>
      <c r="OH36" s="272"/>
      <c r="OI36" s="272"/>
      <c r="OJ36" s="272"/>
      <c r="OK36" s="272"/>
      <c r="OL36" s="272"/>
      <c r="OM36" s="272"/>
      <c r="ON36" s="272"/>
      <c r="OO36" s="272"/>
      <c r="OP36" s="272"/>
      <c r="OQ36" s="272"/>
      <c r="OR36" s="272"/>
      <c r="OS36" s="272"/>
      <c r="OT36" s="272"/>
      <c r="OU36" s="272"/>
      <c r="OV36" s="272"/>
      <c r="OW36" s="272"/>
      <c r="OX36" s="272"/>
      <c r="OY36" s="272"/>
      <c r="OZ36" s="272"/>
      <c r="PA36" s="272"/>
      <c r="PB36" s="272"/>
      <c r="PC36" s="272"/>
      <c r="PD36" s="272"/>
      <c r="PE36" s="272"/>
      <c r="PF36" s="272"/>
      <c r="PG36" s="272"/>
      <c r="PH36" s="272"/>
      <c r="PI36" s="272"/>
      <c r="PJ36" s="272"/>
      <c r="PK36" s="272"/>
      <c r="PL36" s="272"/>
      <c r="PM36" s="272"/>
      <c r="PN36" s="272"/>
      <c r="PO36" s="272"/>
      <c r="PP36" s="272"/>
      <c r="PQ36" s="272"/>
      <c r="PR36" s="272"/>
      <c r="PS36" s="272"/>
      <c r="PT36" s="272"/>
      <c r="PU36" s="272"/>
      <c r="PV36" s="272"/>
      <c r="PW36" s="272"/>
      <c r="PX36" s="272"/>
      <c r="PY36" s="272"/>
      <c r="PZ36" s="272"/>
      <c r="QA36" s="272"/>
      <c r="QB36" s="272"/>
      <c r="QC36" s="272"/>
      <c r="QD36" s="272"/>
      <c r="QE36" s="272"/>
      <c r="QF36" s="272"/>
      <c r="QG36" s="272"/>
      <c r="QH36" s="272"/>
      <c r="QI36" s="272"/>
      <c r="QJ36" s="272"/>
      <c r="QK36" s="272"/>
      <c r="QL36" s="272"/>
      <c r="QM36" s="272"/>
      <c r="QN36" s="272"/>
      <c r="QO36" s="272"/>
      <c r="QP36" s="272"/>
      <c r="QQ36" s="272"/>
      <c r="QR36" s="272"/>
      <c r="QS36" s="272"/>
      <c r="QT36" s="272"/>
      <c r="QU36" s="272"/>
      <c r="QV36" s="272"/>
      <c r="QW36" s="272"/>
      <c r="QX36" s="272"/>
      <c r="QY36" s="272"/>
      <c r="QZ36" s="272"/>
      <c r="RA36" s="272"/>
      <c r="RB36" s="272"/>
      <c r="RC36" s="272"/>
      <c r="RD36" s="272"/>
      <c r="RE36" s="272"/>
      <c r="RF36" s="272"/>
      <c r="RG36" s="272"/>
      <c r="RH36" s="272"/>
      <c r="RI36" s="272"/>
      <c r="RJ36" s="272"/>
      <c r="RK36" s="272"/>
      <c r="RL36" s="272"/>
      <c r="RM36" s="272"/>
      <c r="RN36" s="272"/>
      <c r="RO36" s="272"/>
      <c r="RP36" s="272"/>
      <c r="RQ36" s="272"/>
      <c r="RR36" s="272"/>
      <c r="RS36" s="272"/>
      <c r="RT36" s="272"/>
      <c r="RU36" s="272"/>
      <c r="RV36" s="272"/>
      <c r="RW36" s="272"/>
      <c r="RX36" s="272"/>
      <c r="RY36" s="272"/>
      <c r="RZ36" s="272"/>
      <c r="SA36" s="272"/>
      <c r="SB36" s="272"/>
      <c r="SC36" s="272"/>
      <c r="SD36" s="272"/>
      <c r="SE36" s="272"/>
      <c r="SF36" s="272"/>
      <c r="SG36" s="272"/>
      <c r="SH36" s="272"/>
      <c r="SI36" s="272"/>
      <c r="SJ36" s="272"/>
      <c r="SK36" s="272"/>
      <c r="SL36" s="272"/>
      <c r="SM36" s="272"/>
      <c r="SN36" s="272"/>
      <c r="SO36" s="272"/>
      <c r="SP36" s="272"/>
      <c r="SQ36" s="272"/>
      <c r="SR36" s="272"/>
      <c r="SS36" s="272"/>
      <c r="ST36" s="272"/>
      <c r="SU36" s="272"/>
      <c r="SV36" s="272"/>
      <c r="SW36" s="272"/>
      <c r="SX36" s="272"/>
      <c r="SY36" s="272"/>
      <c r="SZ36" s="272"/>
      <c r="TA36" s="272"/>
      <c r="TB36" s="272"/>
      <c r="TC36" s="272"/>
      <c r="TD36" s="272"/>
      <c r="TE36" s="272"/>
      <c r="TF36" s="272"/>
      <c r="TG36" s="272"/>
      <c r="TH36" s="272"/>
      <c r="TI36" s="272"/>
      <c r="TJ36" s="272"/>
      <c r="TK36" s="272"/>
      <c r="TL36" s="272"/>
      <c r="TM36" s="272"/>
      <c r="TN36" s="272"/>
      <c r="TO36" s="272"/>
      <c r="TP36" s="272"/>
      <c r="TQ36" s="272"/>
      <c r="TR36" s="272"/>
      <c r="TS36" s="272"/>
      <c r="TT36" s="272"/>
      <c r="TU36" s="272"/>
      <c r="TV36" s="272"/>
      <c r="TW36" s="272"/>
      <c r="TX36" s="272"/>
      <c r="TY36" s="272"/>
      <c r="TZ36" s="272"/>
      <c r="UA36" s="272"/>
      <c r="UB36" s="272"/>
      <c r="UC36" s="272"/>
      <c r="UD36" s="272"/>
      <c r="UE36" s="272"/>
      <c r="UF36" s="272"/>
      <c r="UG36" s="272"/>
      <c r="UH36" s="272"/>
      <c r="UI36" s="272"/>
      <c r="UJ36" s="272"/>
      <c r="UK36" s="272"/>
      <c r="UL36" s="272"/>
      <c r="UM36" s="272"/>
      <c r="UN36" s="272"/>
      <c r="UO36" s="272"/>
      <c r="UP36" s="272"/>
      <c r="UQ36" s="272"/>
      <c r="UR36" s="272"/>
      <c r="US36" s="272"/>
      <c r="UT36" s="272"/>
      <c r="UU36" s="272"/>
      <c r="UV36" s="272"/>
      <c r="UW36" s="272"/>
      <c r="UX36" s="272"/>
      <c r="UY36" s="272"/>
      <c r="UZ36" s="272"/>
      <c r="VA36" s="272"/>
      <c r="VB36" s="272"/>
      <c r="VC36" s="272"/>
      <c r="VD36" s="272"/>
      <c r="VE36" s="272"/>
      <c r="VF36" s="272"/>
      <c r="VG36" s="272"/>
      <c r="VH36" s="272"/>
      <c r="VI36" s="272"/>
      <c r="VJ36" s="272"/>
      <c r="VK36" s="272"/>
      <c r="VL36" s="272"/>
      <c r="VM36" s="272"/>
      <c r="VN36" s="272"/>
      <c r="VO36" s="272"/>
      <c r="VP36" s="272"/>
      <c r="VQ36" s="272"/>
      <c r="VR36" s="272"/>
      <c r="VS36" s="272"/>
      <c r="VT36" s="272"/>
      <c r="VU36" s="272"/>
      <c r="VV36" s="272"/>
      <c r="VW36" s="272"/>
      <c r="VX36" s="272"/>
      <c r="VY36" s="272"/>
      <c r="VZ36" s="272"/>
      <c r="WA36" s="272"/>
      <c r="WB36" s="272"/>
      <c r="WC36" s="272"/>
      <c r="WD36" s="272"/>
      <c r="WE36" s="272"/>
      <c r="WF36" s="272"/>
      <c r="WG36" s="272"/>
      <c r="WH36" s="272"/>
      <c r="WI36" s="272"/>
      <c r="WJ36" s="272"/>
      <c r="WK36" s="272"/>
      <c r="WL36" s="272"/>
      <c r="WM36" s="272"/>
      <c r="WN36" s="272"/>
      <c r="WO36" s="272"/>
      <c r="WP36" s="272"/>
      <c r="WQ36" s="272"/>
      <c r="WR36" s="272"/>
      <c r="WS36" s="272"/>
      <c r="WT36" s="272"/>
      <c r="WU36" s="272"/>
      <c r="WV36" s="272"/>
      <c r="WW36" s="272"/>
      <c r="WX36" s="272"/>
      <c r="WY36" s="272"/>
      <c r="WZ36" s="272"/>
      <c r="XA36" s="272"/>
      <c r="XB36" s="272"/>
      <c r="XC36" s="272"/>
      <c r="XD36" s="272"/>
      <c r="XE36" s="272"/>
      <c r="XF36" s="272"/>
      <c r="XG36" s="272"/>
      <c r="XH36" s="272"/>
      <c r="XI36" s="272"/>
      <c r="XJ36" s="272"/>
      <c r="XK36" s="272"/>
      <c r="XL36" s="272"/>
      <c r="XM36" s="272"/>
      <c r="XN36" s="272"/>
      <c r="XO36" s="272"/>
      <c r="XP36" s="272"/>
      <c r="XQ36" s="272"/>
      <c r="XR36" s="272"/>
      <c r="XS36" s="272"/>
      <c r="XT36" s="272"/>
      <c r="XU36" s="272"/>
      <c r="XV36" s="272"/>
      <c r="XW36" s="272"/>
      <c r="XX36" s="272"/>
      <c r="XY36" s="272"/>
      <c r="XZ36" s="272"/>
      <c r="YA36" s="272"/>
      <c r="YB36" s="272"/>
      <c r="YC36" s="272"/>
      <c r="YD36" s="272"/>
      <c r="YE36" s="272"/>
      <c r="YF36" s="272"/>
      <c r="YG36" s="272"/>
      <c r="YH36" s="272"/>
      <c r="YI36" s="272"/>
      <c r="YJ36" s="272"/>
      <c r="YK36" s="272"/>
      <c r="YL36" s="272"/>
      <c r="YM36" s="272"/>
      <c r="YN36" s="272"/>
      <c r="YO36" s="272"/>
      <c r="YP36" s="272"/>
      <c r="YQ36" s="272"/>
      <c r="YR36" s="272"/>
      <c r="YS36" s="272"/>
      <c r="YT36" s="272"/>
      <c r="YU36" s="272"/>
      <c r="YV36" s="272"/>
      <c r="YW36" s="272"/>
      <c r="YX36" s="272"/>
      <c r="YY36" s="272"/>
      <c r="YZ36" s="272"/>
      <c r="ZA36" s="272"/>
      <c r="ZB36" s="272"/>
      <c r="ZC36" s="272"/>
      <c r="ZD36" s="272"/>
      <c r="ZE36" s="272"/>
      <c r="ZF36" s="272"/>
      <c r="ZG36" s="272"/>
      <c r="ZH36" s="272"/>
      <c r="ZI36" s="272"/>
      <c r="ZJ36" s="272"/>
      <c r="ZK36" s="272"/>
      <c r="ZL36" s="272"/>
      <c r="ZM36" s="272"/>
      <c r="ZN36" s="272"/>
      <c r="ZO36" s="272"/>
      <c r="ZP36" s="272"/>
      <c r="ZQ36" s="272"/>
      <c r="ZR36" s="272"/>
      <c r="ZS36" s="272"/>
      <c r="ZT36" s="272"/>
      <c r="ZU36" s="272"/>
      <c r="ZV36" s="272"/>
      <c r="ZW36" s="272"/>
      <c r="ZX36" s="272"/>
      <c r="ZY36" s="272"/>
      <c r="ZZ36" s="272"/>
      <c r="AAA36" s="272"/>
      <c r="AAB36" s="272"/>
      <c r="AAC36" s="272"/>
      <c r="AAD36" s="272"/>
      <c r="AAE36" s="272"/>
      <c r="AAF36" s="272"/>
      <c r="AAG36" s="272"/>
      <c r="AAH36" s="272"/>
      <c r="AAI36" s="272"/>
      <c r="AAJ36" s="272"/>
      <c r="AAK36" s="272"/>
      <c r="AAL36" s="272"/>
      <c r="AAM36" s="272"/>
      <c r="AAN36" s="272"/>
      <c r="AAO36" s="272"/>
      <c r="AAP36" s="272"/>
      <c r="AAQ36" s="272"/>
      <c r="AAR36" s="272"/>
      <c r="AAS36" s="272"/>
      <c r="AAT36" s="272"/>
      <c r="AAU36" s="272"/>
      <c r="AAV36" s="272"/>
      <c r="AAW36" s="272"/>
      <c r="AAX36" s="272"/>
      <c r="AAY36" s="272"/>
      <c r="AAZ36" s="272"/>
      <c r="ABA36" s="272"/>
      <c r="ABB36" s="272"/>
      <c r="ABC36" s="272"/>
      <c r="ABD36" s="272"/>
      <c r="ABE36" s="272"/>
      <c r="ABF36" s="272"/>
      <c r="ABG36" s="272"/>
    </row>
    <row r="37" spans="1:735" s="19" customFormat="1" ht="12.75" customHeight="1">
      <c r="A37" s="44"/>
      <c r="B37" s="596" t="s">
        <v>815</v>
      </c>
      <c r="C37" s="596" t="s">
        <v>52</v>
      </c>
      <c r="D37" s="599"/>
      <c r="E37" s="621"/>
      <c r="F37" s="624"/>
      <c r="G37" s="637"/>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c r="EO37" s="272"/>
      <c r="EP37" s="272"/>
      <c r="EQ37" s="272"/>
      <c r="ER37" s="272"/>
      <c r="ES37" s="272"/>
      <c r="ET37" s="272"/>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272"/>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c r="HE37" s="272"/>
      <c r="HF37" s="272"/>
      <c r="HG37" s="272"/>
      <c r="HH37" s="272"/>
      <c r="HI37" s="272"/>
      <c r="HJ37" s="272"/>
      <c r="HK37" s="272"/>
      <c r="HL37" s="272"/>
      <c r="HM37" s="272"/>
      <c r="HN37" s="272"/>
      <c r="HO37" s="272"/>
      <c r="HP37" s="272"/>
      <c r="HQ37" s="272"/>
      <c r="HR37" s="272"/>
      <c r="HS37" s="272"/>
      <c r="HT37" s="272"/>
      <c r="HU37" s="272"/>
      <c r="HV37" s="272"/>
      <c r="HW37" s="272"/>
      <c r="HX37" s="272"/>
      <c r="HY37" s="272"/>
      <c r="HZ37" s="272"/>
      <c r="IA37" s="272"/>
      <c r="IB37" s="272"/>
      <c r="IC37" s="272"/>
      <c r="ID37" s="272"/>
      <c r="IE37" s="272"/>
      <c r="IF37" s="272"/>
      <c r="IG37" s="272"/>
      <c r="IH37" s="272"/>
      <c r="II37" s="272"/>
      <c r="IJ37" s="272"/>
      <c r="IK37" s="272"/>
      <c r="IL37" s="272"/>
      <c r="IM37" s="272"/>
      <c r="IN37" s="272"/>
      <c r="IO37" s="272"/>
      <c r="IP37" s="272"/>
      <c r="IQ37" s="272"/>
      <c r="IR37" s="272"/>
      <c r="IS37" s="272"/>
      <c r="IT37" s="272"/>
      <c r="IU37" s="272"/>
      <c r="IV37" s="272"/>
      <c r="IW37" s="272"/>
      <c r="IX37" s="272"/>
      <c r="IY37" s="272"/>
      <c r="IZ37" s="272"/>
      <c r="JA37" s="272"/>
      <c r="JB37" s="272"/>
      <c r="JC37" s="272"/>
      <c r="JD37" s="272"/>
      <c r="JE37" s="272"/>
      <c r="JF37" s="272"/>
      <c r="JG37" s="272"/>
      <c r="JH37" s="272"/>
      <c r="JI37" s="272"/>
      <c r="JJ37" s="272"/>
      <c r="JK37" s="272"/>
      <c r="JL37" s="272"/>
      <c r="JM37" s="272"/>
      <c r="JN37" s="272"/>
      <c r="JO37" s="272"/>
      <c r="JP37" s="272"/>
      <c r="JQ37" s="272"/>
      <c r="JR37" s="272"/>
      <c r="JS37" s="272"/>
      <c r="JT37" s="272"/>
      <c r="JU37" s="272"/>
      <c r="JV37" s="272"/>
      <c r="JW37" s="272"/>
      <c r="JX37" s="272"/>
      <c r="JY37" s="272"/>
      <c r="JZ37" s="272"/>
      <c r="KA37" s="272"/>
      <c r="KB37" s="272"/>
      <c r="KC37" s="272"/>
      <c r="KD37" s="272"/>
      <c r="KE37" s="272"/>
      <c r="KF37" s="272"/>
      <c r="KG37" s="272"/>
      <c r="KH37" s="272"/>
      <c r="KI37" s="272"/>
      <c r="KJ37" s="272"/>
      <c r="KK37" s="272"/>
      <c r="KL37" s="272"/>
      <c r="KM37" s="272"/>
      <c r="KN37" s="272"/>
      <c r="KO37" s="272"/>
      <c r="KP37" s="272"/>
      <c r="KQ37" s="272"/>
      <c r="KR37" s="272"/>
      <c r="KS37" s="272"/>
      <c r="KT37" s="272"/>
      <c r="KU37" s="272"/>
      <c r="KV37" s="272"/>
      <c r="KW37" s="272"/>
      <c r="KX37" s="272"/>
      <c r="KY37" s="272"/>
      <c r="KZ37" s="272"/>
      <c r="LA37" s="272"/>
      <c r="LB37" s="272"/>
      <c r="LC37" s="272"/>
      <c r="LD37" s="272"/>
      <c r="LE37" s="272"/>
      <c r="LF37" s="272"/>
      <c r="LG37" s="272"/>
      <c r="LH37" s="272"/>
      <c r="LI37" s="272"/>
      <c r="LJ37" s="272"/>
      <c r="LK37" s="272"/>
      <c r="LL37" s="272"/>
      <c r="LM37" s="272"/>
      <c r="LN37" s="272"/>
      <c r="LO37" s="272"/>
      <c r="LP37" s="272"/>
      <c r="LQ37" s="272"/>
      <c r="LR37" s="272"/>
      <c r="LS37" s="272"/>
      <c r="LT37" s="272"/>
      <c r="LU37" s="272"/>
      <c r="LV37" s="272"/>
      <c r="LW37" s="272"/>
      <c r="LX37" s="272"/>
      <c r="LY37" s="272"/>
      <c r="LZ37" s="272"/>
      <c r="MA37" s="272"/>
      <c r="MB37" s="272"/>
      <c r="MC37" s="272"/>
      <c r="MD37" s="272"/>
      <c r="ME37" s="272"/>
      <c r="MF37" s="272"/>
      <c r="MG37" s="272"/>
      <c r="MH37" s="272"/>
      <c r="MI37" s="272"/>
      <c r="MJ37" s="272"/>
      <c r="MK37" s="272"/>
      <c r="ML37" s="272"/>
      <c r="MM37" s="272"/>
      <c r="MN37" s="272"/>
      <c r="MO37" s="272"/>
      <c r="MP37" s="272"/>
      <c r="MQ37" s="272"/>
      <c r="MR37" s="272"/>
      <c r="MS37" s="272"/>
      <c r="MT37" s="272"/>
      <c r="MU37" s="272"/>
      <c r="MV37" s="272"/>
      <c r="MW37" s="272"/>
      <c r="MX37" s="272"/>
      <c r="MY37" s="272"/>
      <c r="MZ37" s="272"/>
      <c r="NA37" s="272"/>
      <c r="NB37" s="272"/>
      <c r="NC37" s="272"/>
      <c r="ND37" s="272"/>
      <c r="NE37" s="272"/>
      <c r="NF37" s="272"/>
      <c r="NG37" s="272"/>
      <c r="NH37" s="272"/>
      <c r="NI37" s="272"/>
      <c r="NJ37" s="272"/>
      <c r="NK37" s="272"/>
      <c r="NL37" s="272"/>
      <c r="NM37" s="272"/>
      <c r="NN37" s="272"/>
      <c r="NO37" s="272"/>
      <c r="NP37" s="272"/>
      <c r="NQ37" s="272"/>
      <c r="NR37" s="272"/>
      <c r="NS37" s="272"/>
      <c r="NT37" s="272"/>
      <c r="NU37" s="272"/>
      <c r="NV37" s="272"/>
      <c r="NW37" s="272"/>
      <c r="NX37" s="272"/>
      <c r="NY37" s="272"/>
      <c r="NZ37" s="272"/>
      <c r="OA37" s="272"/>
      <c r="OB37" s="272"/>
      <c r="OC37" s="272"/>
      <c r="OD37" s="272"/>
      <c r="OE37" s="272"/>
      <c r="OF37" s="272"/>
      <c r="OG37" s="272"/>
      <c r="OH37" s="272"/>
      <c r="OI37" s="272"/>
      <c r="OJ37" s="272"/>
      <c r="OK37" s="272"/>
      <c r="OL37" s="272"/>
      <c r="OM37" s="272"/>
      <c r="ON37" s="272"/>
      <c r="OO37" s="272"/>
      <c r="OP37" s="272"/>
      <c r="OQ37" s="272"/>
      <c r="OR37" s="272"/>
      <c r="OS37" s="272"/>
      <c r="OT37" s="272"/>
      <c r="OU37" s="272"/>
      <c r="OV37" s="272"/>
      <c r="OW37" s="272"/>
      <c r="OX37" s="272"/>
      <c r="OY37" s="272"/>
      <c r="OZ37" s="272"/>
      <c r="PA37" s="272"/>
      <c r="PB37" s="272"/>
      <c r="PC37" s="272"/>
      <c r="PD37" s="272"/>
      <c r="PE37" s="272"/>
      <c r="PF37" s="272"/>
      <c r="PG37" s="272"/>
      <c r="PH37" s="272"/>
      <c r="PI37" s="272"/>
      <c r="PJ37" s="272"/>
      <c r="PK37" s="272"/>
      <c r="PL37" s="272"/>
      <c r="PM37" s="272"/>
      <c r="PN37" s="272"/>
      <c r="PO37" s="272"/>
      <c r="PP37" s="272"/>
      <c r="PQ37" s="272"/>
      <c r="PR37" s="272"/>
      <c r="PS37" s="272"/>
      <c r="PT37" s="272"/>
      <c r="PU37" s="272"/>
      <c r="PV37" s="272"/>
      <c r="PW37" s="272"/>
      <c r="PX37" s="272"/>
      <c r="PY37" s="272"/>
      <c r="PZ37" s="272"/>
      <c r="QA37" s="272"/>
      <c r="QB37" s="272"/>
      <c r="QC37" s="272"/>
      <c r="QD37" s="272"/>
      <c r="QE37" s="272"/>
      <c r="QF37" s="272"/>
      <c r="QG37" s="272"/>
      <c r="QH37" s="272"/>
      <c r="QI37" s="272"/>
      <c r="QJ37" s="272"/>
      <c r="QK37" s="272"/>
      <c r="QL37" s="272"/>
      <c r="QM37" s="272"/>
      <c r="QN37" s="272"/>
      <c r="QO37" s="272"/>
      <c r="QP37" s="272"/>
      <c r="QQ37" s="272"/>
      <c r="QR37" s="272"/>
      <c r="QS37" s="272"/>
      <c r="QT37" s="272"/>
      <c r="QU37" s="272"/>
      <c r="QV37" s="272"/>
      <c r="QW37" s="272"/>
      <c r="QX37" s="272"/>
      <c r="QY37" s="272"/>
      <c r="QZ37" s="272"/>
      <c r="RA37" s="272"/>
      <c r="RB37" s="272"/>
      <c r="RC37" s="272"/>
      <c r="RD37" s="272"/>
      <c r="RE37" s="272"/>
      <c r="RF37" s="272"/>
      <c r="RG37" s="272"/>
      <c r="RH37" s="272"/>
      <c r="RI37" s="272"/>
      <c r="RJ37" s="272"/>
      <c r="RK37" s="272"/>
      <c r="RL37" s="272"/>
      <c r="RM37" s="272"/>
      <c r="RN37" s="272"/>
      <c r="RO37" s="272"/>
      <c r="RP37" s="272"/>
      <c r="RQ37" s="272"/>
      <c r="RR37" s="272"/>
      <c r="RS37" s="272"/>
      <c r="RT37" s="272"/>
      <c r="RU37" s="272"/>
      <c r="RV37" s="272"/>
      <c r="RW37" s="272"/>
      <c r="RX37" s="272"/>
      <c r="RY37" s="272"/>
      <c r="RZ37" s="272"/>
      <c r="SA37" s="272"/>
      <c r="SB37" s="272"/>
      <c r="SC37" s="272"/>
      <c r="SD37" s="272"/>
      <c r="SE37" s="272"/>
      <c r="SF37" s="272"/>
      <c r="SG37" s="272"/>
      <c r="SH37" s="272"/>
      <c r="SI37" s="272"/>
      <c r="SJ37" s="272"/>
      <c r="SK37" s="272"/>
      <c r="SL37" s="272"/>
      <c r="SM37" s="272"/>
      <c r="SN37" s="272"/>
      <c r="SO37" s="272"/>
      <c r="SP37" s="272"/>
      <c r="SQ37" s="272"/>
      <c r="SR37" s="272"/>
      <c r="SS37" s="272"/>
      <c r="ST37" s="272"/>
      <c r="SU37" s="272"/>
      <c r="SV37" s="272"/>
      <c r="SW37" s="272"/>
      <c r="SX37" s="272"/>
      <c r="SY37" s="272"/>
      <c r="SZ37" s="272"/>
      <c r="TA37" s="272"/>
      <c r="TB37" s="272"/>
      <c r="TC37" s="272"/>
      <c r="TD37" s="272"/>
      <c r="TE37" s="272"/>
      <c r="TF37" s="272"/>
      <c r="TG37" s="272"/>
      <c r="TH37" s="272"/>
      <c r="TI37" s="272"/>
      <c r="TJ37" s="272"/>
      <c r="TK37" s="272"/>
      <c r="TL37" s="272"/>
      <c r="TM37" s="272"/>
      <c r="TN37" s="272"/>
      <c r="TO37" s="272"/>
      <c r="TP37" s="272"/>
      <c r="TQ37" s="272"/>
      <c r="TR37" s="272"/>
      <c r="TS37" s="272"/>
      <c r="TT37" s="272"/>
      <c r="TU37" s="272"/>
      <c r="TV37" s="272"/>
      <c r="TW37" s="272"/>
      <c r="TX37" s="272"/>
      <c r="TY37" s="272"/>
      <c r="TZ37" s="272"/>
      <c r="UA37" s="272"/>
      <c r="UB37" s="272"/>
      <c r="UC37" s="272"/>
      <c r="UD37" s="272"/>
      <c r="UE37" s="272"/>
      <c r="UF37" s="272"/>
      <c r="UG37" s="272"/>
      <c r="UH37" s="272"/>
      <c r="UI37" s="272"/>
      <c r="UJ37" s="272"/>
      <c r="UK37" s="272"/>
      <c r="UL37" s="272"/>
      <c r="UM37" s="272"/>
      <c r="UN37" s="272"/>
      <c r="UO37" s="272"/>
      <c r="UP37" s="272"/>
      <c r="UQ37" s="272"/>
      <c r="UR37" s="272"/>
      <c r="US37" s="272"/>
      <c r="UT37" s="272"/>
      <c r="UU37" s="272"/>
      <c r="UV37" s="272"/>
      <c r="UW37" s="272"/>
      <c r="UX37" s="272"/>
      <c r="UY37" s="272"/>
      <c r="UZ37" s="272"/>
      <c r="VA37" s="272"/>
      <c r="VB37" s="272"/>
      <c r="VC37" s="272"/>
      <c r="VD37" s="272"/>
      <c r="VE37" s="272"/>
      <c r="VF37" s="272"/>
      <c r="VG37" s="272"/>
      <c r="VH37" s="272"/>
      <c r="VI37" s="272"/>
      <c r="VJ37" s="272"/>
      <c r="VK37" s="272"/>
      <c r="VL37" s="272"/>
      <c r="VM37" s="272"/>
      <c r="VN37" s="272"/>
      <c r="VO37" s="272"/>
      <c r="VP37" s="272"/>
      <c r="VQ37" s="272"/>
      <c r="VR37" s="272"/>
      <c r="VS37" s="272"/>
      <c r="VT37" s="272"/>
      <c r="VU37" s="272"/>
      <c r="VV37" s="272"/>
      <c r="VW37" s="272"/>
      <c r="VX37" s="272"/>
      <c r="VY37" s="272"/>
      <c r="VZ37" s="272"/>
      <c r="WA37" s="272"/>
      <c r="WB37" s="272"/>
      <c r="WC37" s="272"/>
      <c r="WD37" s="272"/>
      <c r="WE37" s="272"/>
      <c r="WF37" s="272"/>
      <c r="WG37" s="272"/>
      <c r="WH37" s="272"/>
      <c r="WI37" s="272"/>
      <c r="WJ37" s="272"/>
      <c r="WK37" s="272"/>
      <c r="WL37" s="272"/>
      <c r="WM37" s="272"/>
      <c r="WN37" s="272"/>
      <c r="WO37" s="272"/>
      <c r="WP37" s="272"/>
      <c r="WQ37" s="272"/>
      <c r="WR37" s="272"/>
      <c r="WS37" s="272"/>
      <c r="WT37" s="272"/>
      <c r="WU37" s="272"/>
      <c r="WV37" s="272"/>
      <c r="WW37" s="272"/>
      <c r="WX37" s="272"/>
      <c r="WY37" s="272"/>
      <c r="WZ37" s="272"/>
      <c r="XA37" s="272"/>
      <c r="XB37" s="272"/>
      <c r="XC37" s="272"/>
      <c r="XD37" s="272"/>
      <c r="XE37" s="272"/>
      <c r="XF37" s="272"/>
      <c r="XG37" s="272"/>
      <c r="XH37" s="272"/>
      <c r="XI37" s="272"/>
      <c r="XJ37" s="272"/>
      <c r="XK37" s="272"/>
      <c r="XL37" s="272"/>
      <c r="XM37" s="272"/>
      <c r="XN37" s="272"/>
      <c r="XO37" s="272"/>
      <c r="XP37" s="272"/>
      <c r="XQ37" s="272"/>
      <c r="XR37" s="272"/>
      <c r="XS37" s="272"/>
      <c r="XT37" s="272"/>
      <c r="XU37" s="272"/>
      <c r="XV37" s="272"/>
      <c r="XW37" s="272"/>
      <c r="XX37" s="272"/>
      <c r="XY37" s="272"/>
      <c r="XZ37" s="272"/>
      <c r="YA37" s="272"/>
      <c r="YB37" s="272"/>
      <c r="YC37" s="272"/>
      <c r="YD37" s="272"/>
      <c r="YE37" s="272"/>
      <c r="YF37" s="272"/>
      <c r="YG37" s="272"/>
      <c r="YH37" s="272"/>
      <c r="YI37" s="272"/>
      <c r="YJ37" s="272"/>
      <c r="YK37" s="272"/>
      <c r="YL37" s="272"/>
      <c r="YM37" s="272"/>
      <c r="YN37" s="272"/>
      <c r="YO37" s="272"/>
      <c r="YP37" s="272"/>
      <c r="YQ37" s="272"/>
      <c r="YR37" s="272"/>
      <c r="YS37" s="272"/>
      <c r="YT37" s="272"/>
      <c r="YU37" s="272"/>
      <c r="YV37" s="272"/>
      <c r="YW37" s="272"/>
      <c r="YX37" s="272"/>
      <c r="YY37" s="272"/>
      <c r="YZ37" s="272"/>
      <c r="ZA37" s="272"/>
      <c r="ZB37" s="272"/>
      <c r="ZC37" s="272"/>
      <c r="ZD37" s="272"/>
      <c r="ZE37" s="272"/>
      <c r="ZF37" s="272"/>
      <c r="ZG37" s="272"/>
      <c r="ZH37" s="272"/>
      <c r="ZI37" s="272"/>
      <c r="ZJ37" s="272"/>
      <c r="ZK37" s="272"/>
      <c r="ZL37" s="272"/>
      <c r="ZM37" s="272"/>
      <c r="ZN37" s="272"/>
      <c r="ZO37" s="272"/>
      <c r="ZP37" s="272"/>
      <c r="ZQ37" s="272"/>
      <c r="ZR37" s="272"/>
      <c r="ZS37" s="272"/>
      <c r="ZT37" s="272"/>
      <c r="ZU37" s="272"/>
      <c r="ZV37" s="272"/>
      <c r="ZW37" s="272"/>
      <c r="ZX37" s="272"/>
      <c r="ZY37" s="272"/>
      <c r="ZZ37" s="272"/>
      <c r="AAA37" s="272"/>
      <c r="AAB37" s="272"/>
      <c r="AAC37" s="272"/>
      <c r="AAD37" s="272"/>
      <c r="AAE37" s="272"/>
      <c r="AAF37" s="272"/>
      <c r="AAG37" s="272"/>
      <c r="AAH37" s="272"/>
      <c r="AAI37" s="272"/>
      <c r="AAJ37" s="272"/>
      <c r="AAK37" s="272"/>
      <c r="AAL37" s="272"/>
      <c r="AAM37" s="272"/>
      <c r="AAN37" s="272"/>
      <c r="AAO37" s="272"/>
      <c r="AAP37" s="272"/>
      <c r="AAQ37" s="272"/>
      <c r="AAR37" s="272"/>
      <c r="AAS37" s="272"/>
      <c r="AAT37" s="272"/>
      <c r="AAU37" s="272"/>
      <c r="AAV37" s="272"/>
      <c r="AAW37" s="272"/>
      <c r="AAX37" s="272"/>
      <c r="AAY37" s="272"/>
      <c r="AAZ37" s="272"/>
      <c r="ABA37" s="272"/>
      <c r="ABB37" s="272"/>
      <c r="ABC37" s="272"/>
      <c r="ABD37" s="272"/>
      <c r="ABE37" s="272"/>
      <c r="ABF37" s="272"/>
      <c r="ABG37" s="272"/>
    </row>
    <row r="38" spans="1:735" s="19" customFormat="1" ht="12.75" customHeight="1">
      <c r="A38" s="44"/>
      <c r="B38" s="602"/>
      <c r="C38" s="602"/>
      <c r="D38" s="603"/>
      <c r="E38" s="619"/>
      <c r="F38" s="626"/>
      <c r="G38" s="636"/>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2"/>
      <c r="DM38" s="272"/>
      <c r="DN38" s="272"/>
      <c r="DO38" s="272"/>
      <c r="DP38" s="272"/>
      <c r="DQ38" s="272"/>
      <c r="DR38" s="272"/>
      <c r="DS38" s="272"/>
      <c r="DT38" s="272"/>
      <c r="DU38" s="272"/>
      <c r="DV38" s="272"/>
      <c r="DW38" s="272"/>
      <c r="DX38" s="272"/>
      <c r="DY38" s="272"/>
      <c r="DZ38" s="272"/>
      <c r="EA38" s="272"/>
      <c r="EB38" s="272"/>
      <c r="EC38" s="272"/>
      <c r="ED38" s="272"/>
      <c r="EE38" s="272"/>
      <c r="EF38" s="272"/>
      <c r="EG38" s="272"/>
      <c r="EH38" s="272"/>
      <c r="EI38" s="272"/>
      <c r="EJ38" s="272"/>
      <c r="EK38" s="272"/>
      <c r="EL38" s="272"/>
      <c r="EM38" s="272"/>
      <c r="EN38" s="272"/>
      <c r="EO38" s="272"/>
      <c r="EP38" s="272"/>
      <c r="EQ38" s="272"/>
      <c r="ER38" s="272"/>
      <c r="ES38" s="272"/>
      <c r="ET38" s="272"/>
      <c r="EU38" s="272"/>
      <c r="EV38" s="272"/>
      <c r="EW38" s="272"/>
      <c r="EX38" s="272"/>
      <c r="EY38" s="272"/>
      <c r="EZ38" s="272"/>
      <c r="FA38" s="272"/>
      <c r="FB38" s="272"/>
      <c r="FC38" s="272"/>
      <c r="FD38" s="272"/>
      <c r="FE38" s="272"/>
      <c r="FF38" s="272"/>
      <c r="FG38" s="272"/>
      <c r="FH38" s="272"/>
      <c r="FI38" s="272"/>
      <c r="FJ38" s="272"/>
      <c r="FK38" s="272"/>
      <c r="FL38" s="272"/>
      <c r="FM38" s="272"/>
      <c r="FN38" s="272"/>
      <c r="FO38" s="272"/>
      <c r="FP38" s="272"/>
      <c r="FQ38" s="272"/>
      <c r="FR38" s="272"/>
      <c r="FS38" s="272"/>
      <c r="FT38" s="272"/>
      <c r="FU38" s="272"/>
      <c r="FV38" s="272"/>
      <c r="FW38" s="272"/>
      <c r="FX38" s="272"/>
      <c r="FY38" s="272"/>
      <c r="FZ38" s="272"/>
      <c r="GA38" s="272"/>
      <c r="GB38" s="272"/>
      <c r="GC38" s="272"/>
      <c r="GD38" s="272"/>
      <c r="GE38" s="272"/>
      <c r="GF38" s="272"/>
      <c r="GG38" s="272"/>
      <c r="GH38" s="272"/>
      <c r="GI38" s="272"/>
      <c r="GJ38" s="272"/>
      <c r="GK38" s="272"/>
      <c r="GL38" s="272"/>
      <c r="GM38" s="272"/>
      <c r="GN38" s="272"/>
      <c r="GO38" s="272"/>
      <c r="GP38" s="272"/>
      <c r="GQ38" s="272"/>
      <c r="GR38" s="272"/>
      <c r="GS38" s="272"/>
      <c r="GT38" s="272"/>
      <c r="GU38" s="272"/>
      <c r="GV38" s="272"/>
      <c r="GW38" s="272"/>
      <c r="GX38" s="272"/>
      <c r="GY38" s="272"/>
      <c r="GZ38" s="272"/>
      <c r="HA38" s="272"/>
      <c r="HB38" s="272"/>
      <c r="HC38" s="272"/>
      <c r="HD38" s="272"/>
      <c r="HE38" s="272"/>
      <c r="HF38" s="272"/>
      <c r="HG38" s="272"/>
      <c r="HH38" s="272"/>
      <c r="HI38" s="272"/>
      <c r="HJ38" s="272"/>
      <c r="HK38" s="272"/>
      <c r="HL38" s="272"/>
      <c r="HM38" s="272"/>
      <c r="HN38" s="272"/>
      <c r="HO38" s="272"/>
      <c r="HP38" s="272"/>
      <c r="HQ38" s="272"/>
      <c r="HR38" s="272"/>
      <c r="HS38" s="272"/>
      <c r="HT38" s="272"/>
      <c r="HU38" s="272"/>
      <c r="HV38" s="272"/>
      <c r="HW38" s="272"/>
      <c r="HX38" s="272"/>
      <c r="HY38" s="272"/>
      <c r="HZ38" s="272"/>
      <c r="IA38" s="272"/>
      <c r="IB38" s="272"/>
      <c r="IC38" s="272"/>
      <c r="ID38" s="272"/>
      <c r="IE38" s="272"/>
      <c r="IF38" s="272"/>
      <c r="IG38" s="272"/>
      <c r="IH38" s="272"/>
      <c r="II38" s="272"/>
      <c r="IJ38" s="272"/>
      <c r="IK38" s="272"/>
      <c r="IL38" s="272"/>
      <c r="IM38" s="272"/>
      <c r="IN38" s="272"/>
      <c r="IO38" s="272"/>
      <c r="IP38" s="272"/>
      <c r="IQ38" s="272"/>
      <c r="IR38" s="272"/>
      <c r="IS38" s="272"/>
      <c r="IT38" s="272"/>
      <c r="IU38" s="272"/>
      <c r="IV38" s="272"/>
      <c r="IW38" s="272"/>
      <c r="IX38" s="272"/>
      <c r="IY38" s="272"/>
      <c r="IZ38" s="272"/>
      <c r="JA38" s="272"/>
      <c r="JB38" s="272"/>
      <c r="JC38" s="272"/>
      <c r="JD38" s="272"/>
      <c r="JE38" s="272"/>
      <c r="JF38" s="272"/>
      <c r="JG38" s="272"/>
      <c r="JH38" s="272"/>
      <c r="JI38" s="272"/>
      <c r="JJ38" s="272"/>
      <c r="JK38" s="272"/>
      <c r="JL38" s="272"/>
      <c r="JM38" s="272"/>
      <c r="JN38" s="272"/>
      <c r="JO38" s="272"/>
      <c r="JP38" s="272"/>
      <c r="JQ38" s="272"/>
      <c r="JR38" s="272"/>
      <c r="JS38" s="272"/>
      <c r="JT38" s="272"/>
      <c r="JU38" s="272"/>
      <c r="JV38" s="272"/>
      <c r="JW38" s="272"/>
      <c r="JX38" s="272"/>
      <c r="JY38" s="272"/>
      <c r="JZ38" s="272"/>
      <c r="KA38" s="272"/>
      <c r="KB38" s="272"/>
      <c r="KC38" s="272"/>
      <c r="KD38" s="272"/>
      <c r="KE38" s="272"/>
      <c r="KF38" s="272"/>
      <c r="KG38" s="272"/>
      <c r="KH38" s="272"/>
      <c r="KI38" s="272"/>
      <c r="KJ38" s="272"/>
      <c r="KK38" s="272"/>
      <c r="KL38" s="272"/>
      <c r="KM38" s="272"/>
      <c r="KN38" s="272"/>
      <c r="KO38" s="272"/>
      <c r="KP38" s="272"/>
      <c r="KQ38" s="272"/>
      <c r="KR38" s="272"/>
      <c r="KS38" s="272"/>
      <c r="KT38" s="272"/>
      <c r="KU38" s="272"/>
      <c r="KV38" s="272"/>
      <c r="KW38" s="272"/>
      <c r="KX38" s="272"/>
      <c r="KY38" s="272"/>
      <c r="KZ38" s="272"/>
      <c r="LA38" s="272"/>
      <c r="LB38" s="272"/>
      <c r="LC38" s="272"/>
      <c r="LD38" s="272"/>
      <c r="LE38" s="272"/>
      <c r="LF38" s="272"/>
      <c r="LG38" s="272"/>
      <c r="LH38" s="272"/>
      <c r="LI38" s="272"/>
      <c r="LJ38" s="272"/>
      <c r="LK38" s="272"/>
      <c r="LL38" s="272"/>
      <c r="LM38" s="272"/>
      <c r="LN38" s="272"/>
      <c r="LO38" s="272"/>
      <c r="LP38" s="272"/>
      <c r="LQ38" s="272"/>
      <c r="LR38" s="272"/>
      <c r="LS38" s="272"/>
      <c r="LT38" s="272"/>
      <c r="LU38" s="272"/>
      <c r="LV38" s="272"/>
      <c r="LW38" s="272"/>
      <c r="LX38" s="272"/>
      <c r="LY38" s="272"/>
      <c r="LZ38" s="272"/>
      <c r="MA38" s="272"/>
      <c r="MB38" s="272"/>
      <c r="MC38" s="272"/>
      <c r="MD38" s="272"/>
      <c r="ME38" s="272"/>
      <c r="MF38" s="272"/>
      <c r="MG38" s="272"/>
      <c r="MH38" s="272"/>
      <c r="MI38" s="272"/>
      <c r="MJ38" s="272"/>
      <c r="MK38" s="272"/>
      <c r="ML38" s="272"/>
      <c r="MM38" s="272"/>
      <c r="MN38" s="272"/>
      <c r="MO38" s="272"/>
      <c r="MP38" s="272"/>
      <c r="MQ38" s="272"/>
      <c r="MR38" s="272"/>
      <c r="MS38" s="272"/>
      <c r="MT38" s="272"/>
      <c r="MU38" s="272"/>
      <c r="MV38" s="272"/>
      <c r="MW38" s="272"/>
      <c r="MX38" s="272"/>
      <c r="MY38" s="272"/>
      <c r="MZ38" s="272"/>
      <c r="NA38" s="272"/>
      <c r="NB38" s="272"/>
      <c r="NC38" s="272"/>
      <c r="ND38" s="272"/>
      <c r="NE38" s="272"/>
      <c r="NF38" s="272"/>
      <c r="NG38" s="272"/>
      <c r="NH38" s="272"/>
      <c r="NI38" s="272"/>
      <c r="NJ38" s="272"/>
      <c r="NK38" s="272"/>
      <c r="NL38" s="272"/>
      <c r="NM38" s="272"/>
      <c r="NN38" s="272"/>
      <c r="NO38" s="272"/>
      <c r="NP38" s="272"/>
      <c r="NQ38" s="272"/>
      <c r="NR38" s="272"/>
      <c r="NS38" s="272"/>
      <c r="NT38" s="272"/>
      <c r="NU38" s="272"/>
      <c r="NV38" s="272"/>
      <c r="NW38" s="272"/>
      <c r="NX38" s="272"/>
      <c r="NY38" s="272"/>
      <c r="NZ38" s="272"/>
      <c r="OA38" s="272"/>
      <c r="OB38" s="272"/>
      <c r="OC38" s="272"/>
      <c r="OD38" s="272"/>
      <c r="OE38" s="272"/>
      <c r="OF38" s="272"/>
      <c r="OG38" s="272"/>
      <c r="OH38" s="272"/>
      <c r="OI38" s="272"/>
      <c r="OJ38" s="272"/>
      <c r="OK38" s="272"/>
      <c r="OL38" s="272"/>
      <c r="OM38" s="272"/>
      <c r="ON38" s="272"/>
      <c r="OO38" s="272"/>
      <c r="OP38" s="272"/>
      <c r="OQ38" s="272"/>
      <c r="OR38" s="272"/>
      <c r="OS38" s="272"/>
      <c r="OT38" s="272"/>
      <c r="OU38" s="272"/>
      <c r="OV38" s="272"/>
      <c r="OW38" s="272"/>
      <c r="OX38" s="272"/>
      <c r="OY38" s="272"/>
      <c r="OZ38" s="272"/>
      <c r="PA38" s="272"/>
      <c r="PB38" s="272"/>
      <c r="PC38" s="272"/>
      <c r="PD38" s="272"/>
      <c r="PE38" s="272"/>
      <c r="PF38" s="272"/>
      <c r="PG38" s="272"/>
      <c r="PH38" s="272"/>
      <c r="PI38" s="272"/>
      <c r="PJ38" s="272"/>
      <c r="PK38" s="272"/>
      <c r="PL38" s="272"/>
      <c r="PM38" s="272"/>
      <c r="PN38" s="272"/>
      <c r="PO38" s="272"/>
      <c r="PP38" s="272"/>
      <c r="PQ38" s="272"/>
      <c r="PR38" s="272"/>
      <c r="PS38" s="272"/>
      <c r="PT38" s="272"/>
      <c r="PU38" s="272"/>
      <c r="PV38" s="272"/>
      <c r="PW38" s="272"/>
      <c r="PX38" s="272"/>
      <c r="PY38" s="272"/>
      <c r="PZ38" s="272"/>
      <c r="QA38" s="272"/>
      <c r="QB38" s="272"/>
      <c r="QC38" s="272"/>
      <c r="QD38" s="272"/>
      <c r="QE38" s="272"/>
      <c r="QF38" s="272"/>
      <c r="QG38" s="272"/>
      <c r="QH38" s="272"/>
      <c r="QI38" s="272"/>
      <c r="QJ38" s="272"/>
      <c r="QK38" s="272"/>
      <c r="QL38" s="272"/>
      <c r="QM38" s="272"/>
      <c r="QN38" s="272"/>
      <c r="QO38" s="272"/>
      <c r="QP38" s="272"/>
      <c r="QQ38" s="272"/>
      <c r="QR38" s="272"/>
      <c r="QS38" s="272"/>
      <c r="QT38" s="272"/>
      <c r="QU38" s="272"/>
      <c r="QV38" s="272"/>
      <c r="QW38" s="272"/>
      <c r="QX38" s="272"/>
      <c r="QY38" s="272"/>
      <c r="QZ38" s="272"/>
      <c r="RA38" s="272"/>
      <c r="RB38" s="272"/>
      <c r="RC38" s="272"/>
      <c r="RD38" s="272"/>
      <c r="RE38" s="272"/>
      <c r="RF38" s="272"/>
      <c r="RG38" s="272"/>
      <c r="RH38" s="272"/>
      <c r="RI38" s="272"/>
      <c r="RJ38" s="272"/>
      <c r="RK38" s="272"/>
      <c r="RL38" s="272"/>
      <c r="RM38" s="272"/>
      <c r="RN38" s="272"/>
      <c r="RO38" s="272"/>
      <c r="RP38" s="272"/>
      <c r="RQ38" s="272"/>
      <c r="RR38" s="272"/>
      <c r="RS38" s="272"/>
      <c r="RT38" s="272"/>
      <c r="RU38" s="272"/>
      <c r="RV38" s="272"/>
      <c r="RW38" s="272"/>
      <c r="RX38" s="272"/>
      <c r="RY38" s="272"/>
      <c r="RZ38" s="272"/>
      <c r="SA38" s="272"/>
      <c r="SB38" s="272"/>
      <c r="SC38" s="272"/>
      <c r="SD38" s="272"/>
      <c r="SE38" s="272"/>
      <c r="SF38" s="272"/>
      <c r="SG38" s="272"/>
      <c r="SH38" s="272"/>
      <c r="SI38" s="272"/>
      <c r="SJ38" s="272"/>
      <c r="SK38" s="272"/>
      <c r="SL38" s="272"/>
      <c r="SM38" s="272"/>
      <c r="SN38" s="272"/>
      <c r="SO38" s="272"/>
      <c r="SP38" s="272"/>
      <c r="SQ38" s="272"/>
      <c r="SR38" s="272"/>
      <c r="SS38" s="272"/>
      <c r="ST38" s="272"/>
      <c r="SU38" s="272"/>
      <c r="SV38" s="272"/>
      <c r="SW38" s="272"/>
      <c r="SX38" s="272"/>
      <c r="SY38" s="272"/>
      <c r="SZ38" s="272"/>
      <c r="TA38" s="272"/>
      <c r="TB38" s="272"/>
      <c r="TC38" s="272"/>
      <c r="TD38" s="272"/>
      <c r="TE38" s="272"/>
      <c r="TF38" s="272"/>
      <c r="TG38" s="272"/>
      <c r="TH38" s="272"/>
      <c r="TI38" s="272"/>
      <c r="TJ38" s="272"/>
      <c r="TK38" s="272"/>
      <c r="TL38" s="272"/>
      <c r="TM38" s="272"/>
      <c r="TN38" s="272"/>
      <c r="TO38" s="272"/>
      <c r="TP38" s="272"/>
      <c r="TQ38" s="272"/>
      <c r="TR38" s="272"/>
      <c r="TS38" s="272"/>
      <c r="TT38" s="272"/>
      <c r="TU38" s="272"/>
      <c r="TV38" s="272"/>
      <c r="TW38" s="272"/>
      <c r="TX38" s="272"/>
      <c r="TY38" s="272"/>
      <c r="TZ38" s="272"/>
      <c r="UA38" s="272"/>
      <c r="UB38" s="272"/>
      <c r="UC38" s="272"/>
      <c r="UD38" s="272"/>
      <c r="UE38" s="272"/>
      <c r="UF38" s="272"/>
      <c r="UG38" s="272"/>
      <c r="UH38" s="272"/>
      <c r="UI38" s="272"/>
      <c r="UJ38" s="272"/>
      <c r="UK38" s="272"/>
      <c r="UL38" s="272"/>
      <c r="UM38" s="272"/>
      <c r="UN38" s="272"/>
      <c r="UO38" s="272"/>
      <c r="UP38" s="272"/>
      <c r="UQ38" s="272"/>
      <c r="UR38" s="272"/>
      <c r="US38" s="272"/>
      <c r="UT38" s="272"/>
      <c r="UU38" s="272"/>
      <c r="UV38" s="272"/>
      <c r="UW38" s="272"/>
      <c r="UX38" s="272"/>
      <c r="UY38" s="272"/>
      <c r="UZ38" s="272"/>
      <c r="VA38" s="272"/>
      <c r="VB38" s="272"/>
      <c r="VC38" s="272"/>
      <c r="VD38" s="272"/>
      <c r="VE38" s="272"/>
      <c r="VF38" s="272"/>
      <c r="VG38" s="272"/>
      <c r="VH38" s="272"/>
      <c r="VI38" s="272"/>
      <c r="VJ38" s="272"/>
      <c r="VK38" s="272"/>
      <c r="VL38" s="272"/>
      <c r="VM38" s="272"/>
      <c r="VN38" s="272"/>
      <c r="VO38" s="272"/>
      <c r="VP38" s="272"/>
      <c r="VQ38" s="272"/>
      <c r="VR38" s="272"/>
      <c r="VS38" s="272"/>
      <c r="VT38" s="272"/>
      <c r="VU38" s="272"/>
      <c r="VV38" s="272"/>
      <c r="VW38" s="272"/>
      <c r="VX38" s="272"/>
      <c r="VY38" s="272"/>
      <c r="VZ38" s="272"/>
      <c r="WA38" s="272"/>
      <c r="WB38" s="272"/>
      <c r="WC38" s="272"/>
      <c r="WD38" s="272"/>
      <c r="WE38" s="272"/>
      <c r="WF38" s="272"/>
      <c r="WG38" s="272"/>
      <c r="WH38" s="272"/>
      <c r="WI38" s="272"/>
      <c r="WJ38" s="272"/>
      <c r="WK38" s="272"/>
      <c r="WL38" s="272"/>
      <c r="WM38" s="272"/>
      <c r="WN38" s="272"/>
      <c r="WO38" s="272"/>
      <c r="WP38" s="272"/>
      <c r="WQ38" s="272"/>
      <c r="WR38" s="272"/>
      <c r="WS38" s="272"/>
      <c r="WT38" s="272"/>
      <c r="WU38" s="272"/>
      <c r="WV38" s="272"/>
      <c r="WW38" s="272"/>
      <c r="WX38" s="272"/>
      <c r="WY38" s="272"/>
      <c r="WZ38" s="272"/>
      <c r="XA38" s="272"/>
      <c r="XB38" s="272"/>
      <c r="XC38" s="272"/>
      <c r="XD38" s="272"/>
      <c r="XE38" s="272"/>
      <c r="XF38" s="272"/>
      <c r="XG38" s="272"/>
      <c r="XH38" s="272"/>
      <c r="XI38" s="272"/>
      <c r="XJ38" s="272"/>
      <c r="XK38" s="272"/>
      <c r="XL38" s="272"/>
      <c r="XM38" s="272"/>
      <c r="XN38" s="272"/>
      <c r="XO38" s="272"/>
      <c r="XP38" s="272"/>
      <c r="XQ38" s="272"/>
      <c r="XR38" s="272"/>
      <c r="XS38" s="272"/>
      <c r="XT38" s="272"/>
      <c r="XU38" s="272"/>
      <c r="XV38" s="272"/>
      <c r="XW38" s="272"/>
      <c r="XX38" s="272"/>
      <c r="XY38" s="272"/>
      <c r="XZ38" s="272"/>
      <c r="YA38" s="272"/>
      <c r="YB38" s="272"/>
      <c r="YC38" s="272"/>
      <c r="YD38" s="272"/>
      <c r="YE38" s="272"/>
      <c r="YF38" s="272"/>
      <c r="YG38" s="272"/>
      <c r="YH38" s="272"/>
      <c r="YI38" s="272"/>
      <c r="YJ38" s="272"/>
      <c r="YK38" s="272"/>
      <c r="YL38" s="272"/>
      <c r="YM38" s="272"/>
      <c r="YN38" s="272"/>
      <c r="YO38" s="272"/>
      <c r="YP38" s="272"/>
      <c r="YQ38" s="272"/>
      <c r="YR38" s="272"/>
      <c r="YS38" s="272"/>
      <c r="YT38" s="272"/>
      <c r="YU38" s="272"/>
      <c r="YV38" s="272"/>
      <c r="YW38" s="272"/>
      <c r="YX38" s="272"/>
      <c r="YY38" s="272"/>
      <c r="YZ38" s="272"/>
      <c r="ZA38" s="272"/>
      <c r="ZB38" s="272"/>
      <c r="ZC38" s="272"/>
      <c r="ZD38" s="272"/>
      <c r="ZE38" s="272"/>
      <c r="ZF38" s="272"/>
      <c r="ZG38" s="272"/>
      <c r="ZH38" s="272"/>
      <c r="ZI38" s="272"/>
      <c r="ZJ38" s="272"/>
      <c r="ZK38" s="272"/>
      <c r="ZL38" s="272"/>
      <c r="ZM38" s="272"/>
      <c r="ZN38" s="272"/>
      <c r="ZO38" s="272"/>
      <c r="ZP38" s="272"/>
      <c r="ZQ38" s="272"/>
      <c r="ZR38" s="272"/>
      <c r="ZS38" s="272"/>
      <c r="ZT38" s="272"/>
      <c r="ZU38" s="272"/>
      <c r="ZV38" s="272"/>
      <c r="ZW38" s="272"/>
      <c r="ZX38" s="272"/>
      <c r="ZY38" s="272"/>
      <c r="ZZ38" s="272"/>
      <c r="AAA38" s="272"/>
      <c r="AAB38" s="272"/>
      <c r="AAC38" s="272"/>
      <c r="AAD38" s="272"/>
      <c r="AAE38" s="272"/>
      <c r="AAF38" s="272"/>
      <c r="AAG38" s="272"/>
      <c r="AAH38" s="272"/>
      <c r="AAI38" s="272"/>
      <c r="AAJ38" s="272"/>
      <c r="AAK38" s="272"/>
      <c r="AAL38" s="272"/>
      <c r="AAM38" s="272"/>
      <c r="AAN38" s="272"/>
      <c r="AAO38" s="272"/>
      <c r="AAP38" s="272"/>
      <c r="AAQ38" s="272"/>
      <c r="AAR38" s="272"/>
      <c r="AAS38" s="272"/>
      <c r="AAT38" s="272"/>
      <c r="AAU38" s="272"/>
      <c r="AAV38" s="272"/>
      <c r="AAW38" s="272"/>
      <c r="AAX38" s="272"/>
      <c r="AAY38" s="272"/>
      <c r="AAZ38" s="272"/>
      <c r="ABA38" s="272"/>
      <c r="ABB38" s="272"/>
      <c r="ABC38" s="272"/>
      <c r="ABD38" s="272"/>
      <c r="ABE38" s="272"/>
      <c r="ABF38" s="272"/>
      <c r="ABG38" s="272"/>
    </row>
    <row r="39" spans="1:735" s="19" customFormat="1" ht="12.75" customHeight="1">
      <c r="A39" s="44"/>
      <c r="B39" s="602"/>
      <c r="C39" s="602"/>
      <c r="D39" s="603"/>
      <c r="E39" s="619"/>
      <c r="F39" s="626"/>
      <c r="G39" s="636"/>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2"/>
      <c r="DJ39" s="272"/>
      <c r="DK39" s="272"/>
      <c r="DL39" s="272"/>
      <c r="DM39" s="272"/>
      <c r="DN39" s="272"/>
      <c r="DO39" s="272"/>
      <c r="DP39" s="272"/>
      <c r="DQ39" s="272"/>
      <c r="DR39" s="272"/>
      <c r="DS39" s="272"/>
      <c r="DT39" s="272"/>
      <c r="DU39" s="272"/>
      <c r="DV39" s="272"/>
      <c r="DW39" s="272"/>
      <c r="DX39" s="272"/>
      <c r="DY39" s="272"/>
      <c r="DZ39" s="272"/>
      <c r="EA39" s="272"/>
      <c r="EB39" s="272"/>
      <c r="EC39" s="272"/>
      <c r="ED39" s="272"/>
      <c r="EE39" s="272"/>
      <c r="EF39" s="272"/>
      <c r="EG39" s="272"/>
      <c r="EH39" s="272"/>
      <c r="EI39" s="272"/>
      <c r="EJ39" s="272"/>
      <c r="EK39" s="272"/>
      <c r="EL39" s="272"/>
      <c r="EM39" s="272"/>
      <c r="EN39" s="272"/>
      <c r="EO39" s="272"/>
      <c r="EP39" s="272"/>
      <c r="EQ39" s="272"/>
      <c r="ER39" s="272"/>
      <c r="ES39" s="272"/>
      <c r="ET39" s="272"/>
      <c r="EU39" s="272"/>
      <c r="EV39" s="272"/>
      <c r="EW39" s="272"/>
      <c r="EX39" s="272"/>
      <c r="EY39" s="272"/>
      <c r="EZ39" s="272"/>
      <c r="FA39" s="272"/>
      <c r="FB39" s="272"/>
      <c r="FC39" s="272"/>
      <c r="FD39" s="272"/>
      <c r="FE39" s="272"/>
      <c r="FF39" s="272"/>
      <c r="FG39" s="272"/>
      <c r="FH39" s="272"/>
      <c r="FI39" s="272"/>
      <c r="FJ39" s="272"/>
      <c r="FK39" s="272"/>
      <c r="FL39" s="272"/>
      <c r="FM39" s="272"/>
      <c r="FN39" s="272"/>
      <c r="FO39" s="272"/>
      <c r="FP39" s="272"/>
      <c r="FQ39" s="272"/>
      <c r="FR39" s="272"/>
      <c r="FS39" s="272"/>
      <c r="FT39" s="272"/>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S39" s="272"/>
      <c r="GT39" s="272"/>
      <c r="GU39" s="272"/>
      <c r="GV39" s="272"/>
      <c r="GW39" s="272"/>
      <c r="GX39" s="272"/>
      <c r="GY39" s="272"/>
      <c r="GZ39" s="272"/>
      <c r="HA39" s="272"/>
      <c r="HB39" s="272"/>
      <c r="HC39" s="272"/>
      <c r="HD39" s="272"/>
      <c r="HE39" s="272"/>
      <c r="HF39" s="272"/>
      <c r="HG39" s="272"/>
      <c r="HH39" s="272"/>
      <c r="HI39" s="272"/>
      <c r="HJ39" s="272"/>
      <c r="HK39" s="272"/>
      <c r="HL39" s="272"/>
      <c r="HM39" s="272"/>
      <c r="HN39" s="272"/>
      <c r="HO39" s="272"/>
      <c r="HP39" s="272"/>
      <c r="HQ39" s="272"/>
      <c r="HR39" s="272"/>
      <c r="HS39" s="272"/>
      <c r="HT39" s="272"/>
      <c r="HU39" s="272"/>
      <c r="HV39" s="272"/>
      <c r="HW39" s="272"/>
      <c r="HX39" s="272"/>
      <c r="HY39" s="272"/>
      <c r="HZ39" s="272"/>
      <c r="IA39" s="272"/>
      <c r="IB39" s="272"/>
      <c r="IC39" s="272"/>
      <c r="ID39" s="272"/>
      <c r="IE39" s="272"/>
      <c r="IF39" s="272"/>
      <c r="IG39" s="272"/>
      <c r="IH39" s="272"/>
      <c r="II39" s="272"/>
      <c r="IJ39" s="272"/>
      <c r="IK39" s="272"/>
      <c r="IL39" s="272"/>
      <c r="IM39" s="272"/>
      <c r="IN39" s="272"/>
      <c r="IO39" s="272"/>
      <c r="IP39" s="272"/>
      <c r="IQ39" s="272"/>
      <c r="IR39" s="272"/>
      <c r="IS39" s="272"/>
      <c r="IT39" s="272"/>
      <c r="IU39" s="272"/>
      <c r="IV39" s="272"/>
      <c r="IW39" s="272"/>
      <c r="IX39" s="272"/>
      <c r="IY39" s="272"/>
      <c r="IZ39" s="272"/>
      <c r="JA39" s="272"/>
      <c r="JB39" s="272"/>
      <c r="JC39" s="272"/>
      <c r="JD39" s="272"/>
      <c r="JE39" s="272"/>
      <c r="JF39" s="272"/>
      <c r="JG39" s="272"/>
      <c r="JH39" s="272"/>
      <c r="JI39" s="272"/>
      <c r="JJ39" s="272"/>
      <c r="JK39" s="272"/>
      <c r="JL39" s="272"/>
      <c r="JM39" s="272"/>
      <c r="JN39" s="272"/>
      <c r="JO39" s="272"/>
      <c r="JP39" s="272"/>
      <c r="JQ39" s="272"/>
      <c r="JR39" s="272"/>
      <c r="JS39" s="272"/>
      <c r="JT39" s="272"/>
      <c r="JU39" s="272"/>
      <c r="JV39" s="272"/>
      <c r="JW39" s="272"/>
      <c r="JX39" s="272"/>
      <c r="JY39" s="272"/>
      <c r="JZ39" s="272"/>
      <c r="KA39" s="272"/>
      <c r="KB39" s="272"/>
      <c r="KC39" s="272"/>
      <c r="KD39" s="272"/>
      <c r="KE39" s="272"/>
      <c r="KF39" s="272"/>
      <c r="KG39" s="272"/>
      <c r="KH39" s="272"/>
      <c r="KI39" s="272"/>
      <c r="KJ39" s="272"/>
      <c r="KK39" s="272"/>
      <c r="KL39" s="272"/>
      <c r="KM39" s="272"/>
      <c r="KN39" s="272"/>
      <c r="KO39" s="272"/>
      <c r="KP39" s="272"/>
      <c r="KQ39" s="272"/>
      <c r="KR39" s="272"/>
      <c r="KS39" s="272"/>
      <c r="KT39" s="272"/>
      <c r="KU39" s="272"/>
      <c r="KV39" s="272"/>
      <c r="KW39" s="272"/>
      <c r="KX39" s="272"/>
      <c r="KY39" s="272"/>
      <c r="KZ39" s="272"/>
      <c r="LA39" s="272"/>
      <c r="LB39" s="272"/>
      <c r="LC39" s="272"/>
      <c r="LD39" s="272"/>
      <c r="LE39" s="272"/>
      <c r="LF39" s="272"/>
      <c r="LG39" s="272"/>
      <c r="LH39" s="272"/>
      <c r="LI39" s="272"/>
      <c r="LJ39" s="272"/>
      <c r="LK39" s="272"/>
      <c r="LL39" s="272"/>
      <c r="LM39" s="272"/>
      <c r="LN39" s="272"/>
      <c r="LO39" s="272"/>
      <c r="LP39" s="272"/>
      <c r="LQ39" s="272"/>
      <c r="LR39" s="272"/>
      <c r="LS39" s="272"/>
      <c r="LT39" s="272"/>
      <c r="LU39" s="272"/>
      <c r="LV39" s="272"/>
      <c r="LW39" s="272"/>
      <c r="LX39" s="272"/>
      <c r="LY39" s="272"/>
      <c r="LZ39" s="272"/>
      <c r="MA39" s="272"/>
      <c r="MB39" s="272"/>
      <c r="MC39" s="272"/>
      <c r="MD39" s="272"/>
      <c r="ME39" s="272"/>
      <c r="MF39" s="272"/>
      <c r="MG39" s="272"/>
      <c r="MH39" s="272"/>
      <c r="MI39" s="272"/>
      <c r="MJ39" s="272"/>
      <c r="MK39" s="272"/>
      <c r="ML39" s="272"/>
      <c r="MM39" s="272"/>
      <c r="MN39" s="272"/>
      <c r="MO39" s="272"/>
      <c r="MP39" s="272"/>
      <c r="MQ39" s="272"/>
      <c r="MR39" s="272"/>
      <c r="MS39" s="272"/>
      <c r="MT39" s="272"/>
      <c r="MU39" s="272"/>
      <c r="MV39" s="272"/>
      <c r="MW39" s="272"/>
      <c r="MX39" s="272"/>
      <c r="MY39" s="272"/>
      <c r="MZ39" s="272"/>
      <c r="NA39" s="272"/>
      <c r="NB39" s="272"/>
      <c r="NC39" s="272"/>
      <c r="ND39" s="272"/>
      <c r="NE39" s="272"/>
      <c r="NF39" s="272"/>
      <c r="NG39" s="272"/>
      <c r="NH39" s="272"/>
      <c r="NI39" s="272"/>
      <c r="NJ39" s="272"/>
      <c r="NK39" s="272"/>
      <c r="NL39" s="272"/>
      <c r="NM39" s="272"/>
      <c r="NN39" s="272"/>
      <c r="NO39" s="272"/>
      <c r="NP39" s="272"/>
      <c r="NQ39" s="272"/>
      <c r="NR39" s="272"/>
      <c r="NS39" s="272"/>
      <c r="NT39" s="272"/>
      <c r="NU39" s="272"/>
      <c r="NV39" s="272"/>
      <c r="NW39" s="272"/>
      <c r="NX39" s="272"/>
      <c r="NY39" s="272"/>
      <c r="NZ39" s="272"/>
      <c r="OA39" s="272"/>
      <c r="OB39" s="272"/>
      <c r="OC39" s="272"/>
      <c r="OD39" s="272"/>
      <c r="OE39" s="272"/>
      <c r="OF39" s="272"/>
      <c r="OG39" s="272"/>
      <c r="OH39" s="272"/>
      <c r="OI39" s="272"/>
      <c r="OJ39" s="272"/>
      <c r="OK39" s="272"/>
      <c r="OL39" s="272"/>
      <c r="OM39" s="272"/>
      <c r="ON39" s="272"/>
      <c r="OO39" s="272"/>
      <c r="OP39" s="272"/>
      <c r="OQ39" s="272"/>
      <c r="OR39" s="272"/>
      <c r="OS39" s="272"/>
      <c r="OT39" s="272"/>
      <c r="OU39" s="272"/>
      <c r="OV39" s="272"/>
      <c r="OW39" s="272"/>
      <c r="OX39" s="272"/>
      <c r="OY39" s="272"/>
      <c r="OZ39" s="272"/>
      <c r="PA39" s="272"/>
      <c r="PB39" s="272"/>
      <c r="PC39" s="272"/>
      <c r="PD39" s="272"/>
      <c r="PE39" s="272"/>
      <c r="PF39" s="272"/>
      <c r="PG39" s="272"/>
      <c r="PH39" s="272"/>
      <c r="PI39" s="272"/>
      <c r="PJ39" s="272"/>
      <c r="PK39" s="272"/>
      <c r="PL39" s="272"/>
      <c r="PM39" s="272"/>
      <c r="PN39" s="272"/>
      <c r="PO39" s="272"/>
      <c r="PP39" s="272"/>
      <c r="PQ39" s="272"/>
      <c r="PR39" s="272"/>
      <c r="PS39" s="272"/>
      <c r="PT39" s="272"/>
      <c r="PU39" s="272"/>
      <c r="PV39" s="272"/>
      <c r="PW39" s="272"/>
      <c r="PX39" s="272"/>
      <c r="PY39" s="272"/>
      <c r="PZ39" s="272"/>
      <c r="QA39" s="272"/>
      <c r="QB39" s="272"/>
      <c r="QC39" s="272"/>
      <c r="QD39" s="272"/>
      <c r="QE39" s="272"/>
      <c r="QF39" s="272"/>
      <c r="QG39" s="272"/>
      <c r="QH39" s="272"/>
      <c r="QI39" s="272"/>
      <c r="QJ39" s="272"/>
      <c r="QK39" s="272"/>
      <c r="QL39" s="272"/>
      <c r="QM39" s="272"/>
      <c r="QN39" s="272"/>
      <c r="QO39" s="272"/>
      <c r="QP39" s="272"/>
      <c r="QQ39" s="272"/>
      <c r="QR39" s="272"/>
      <c r="QS39" s="272"/>
      <c r="QT39" s="272"/>
      <c r="QU39" s="272"/>
      <c r="QV39" s="272"/>
      <c r="QW39" s="272"/>
      <c r="QX39" s="272"/>
      <c r="QY39" s="272"/>
      <c r="QZ39" s="272"/>
      <c r="RA39" s="272"/>
      <c r="RB39" s="272"/>
      <c r="RC39" s="272"/>
      <c r="RD39" s="272"/>
      <c r="RE39" s="272"/>
      <c r="RF39" s="272"/>
      <c r="RG39" s="272"/>
      <c r="RH39" s="272"/>
      <c r="RI39" s="272"/>
      <c r="RJ39" s="272"/>
      <c r="RK39" s="272"/>
      <c r="RL39" s="272"/>
      <c r="RM39" s="272"/>
      <c r="RN39" s="272"/>
      <c r="RO39" s="272"/>
      <c r="RP39" s="272"/>
      <c r="RQ39" s="272"/>
      <c r="RR39" s="272"/>
      <c r="RS39" s="272"/>
      <c r="RT39" s="272"/>
      <c r="RU39" s="272"/>
      <c r="RV39" s="272"/>
      <c r="RW39" s="272"/>
      <c r="RX39" s="272"/>
      <c r="RY39" s="272"/>
      <c r="RZ39" s="272"/>
      <c r="SA39" s="272"/>
      <c r="SB39" s="272"/>
      <c r="SC39" s="272"/>
      <c r="SD39" s="272"/>
      <c r="SE39" s="272"/>
      <c r="SF39" s="272"/>
      <c r="SG39" s="272"/>
      <c r="SH39" s="272"/>
      <c r="SI39" s="272"/>
      <c r="SJ39" s="272"/>
      <c r="SK39" s="272"/>
      <c r="SL39" s="272"/>
      <c r="SM39" s="272"/>
      <c r="SN39" s="272"/>
      <c r="SO39" s="272"/>
      <c r="SP39" s="272"/>
      <c r="SQ39" s="272"/>
      <c r="SR39" s="272"/>
      <c r="SS39" s="272"/>
      <c r="ST39" s="272"/>
      <c r="SU39" s="272"/>
      <c r="SV39" s="272"/>
      <c r="SW39" s="272"/>
      <c r="SX39" s="272"/>
      <c r="SY39" s="272"/>
      <c r="SZ39" s="272"/>
      <c r="TA39" s="272"/>
      <c r="TB39" s="272"/>
      <c r="TC39" s="272"/>
      <c r="TD39" s="272"/>
      <c r="TE39" s="272"/>
      <c r="TF39" s="272"/>
      <c r="TG39" s="272"/>
      <c r="TH39" s="272"/>
      <c r="TI39" s="272"/>
      <c r="TJ39" s="272"/>
      <c r="TK39" s="272"/>
      <c r="TL39" s="272"/>
      <c r="TM39" s="272"/>
      <c r="TN39" s="272"/>
      <c r="TO39" s="272"/>
      <c r="TP39" s="272"/>
      <c r="TQ39" s="272"/>
      <c r="TR39" s="272"/>
      <c r="TS39" s="272"/>
      <c r="TT39" s="272"/>
      <c r="TU39" s="272"/>
      <c r="TV39" s="272"/>
      <c r="TW39" s="272"/>
      <c r="TX39" s="272"/>
      <c r="TY39" s="272"/>
      <c r="TZ39" s="272"/>
      <c r="UA39" s="272"/>
      <c r="UB39" s="272"/>
      <c r="UC39" s="272"/>
      <c r="UD39" s="272"/>
      <c r="UE39" s="272"/>
      <c r="UF39" s="272"/>
      <c r="UG39" s="272"/>
      <c r="UH39" s="272"/>
      <c r="UI39" s="272"/>
      <c r="UJ39" s="272"/>
      <c r="UK39" s="272"/>
      <c r="UL39" s="272"/>
      <c r="UM39" s="272"/>
      <c r="UN39" s="272"/>
      <c r="UO39" s="272"/>
      <c r="UP39" s="272"/>
      <c r="UQ39" s="272"/>
      <c r="UR39" s="272"/>
      <c r="US39" s="272"/>
      <c r="UT39" s="272"/>
      <c r="UU39" s="272"/>
      <c r="UV39" s="272"/>
      <c r="UW39" s="272"/>
      <c r="UX39" s="272"/>
      <c r="UY39" s="272"/>
      <c r="UZ39" s="272"/>
      <c r="VA39" s="272"/>
      <c r="VB39" s="272"/>
      <c r="VC39" s="272"/>
      <c r="VD39" s="272"/>
      <c r="VE39" s="272"/>
      <c r="VF39" s="272"/>
      <c r="VG39" s="272"/>
      <c r="VH39" s="272"/>
      <c r="VI39" s="272"/>
      <c r="VJ39" s="272"/>
      <c r="VK39" s="272"/>
      <c r="VL39" s="272"/>
      <c r="VM39" s="272"/>
      <c r="VN39" s="272"/>
      <c r="VO39" s="272"/>
      <c r="VP39" s="272"/>
      <c r="VQ39" s="272"/>
      <c r="VR39" s="272"/>
      <c r="VS39" s="272"/>
      <c r="VT39" s="272"/>
      <c r="VU39" s="272"/>
      <c r="VV39" s="272"/>
      <c r="VW39" s="272"/>
      <c r="VX39" s="272"/>
      <c r="VY39" s="272"/>
      <c r="VZ39" s="272"/>
      <c r="WA39" s="272"/>
      <c r="WB39" s="272"/>
      <c r="WC39" s="272"/>
      <c r="WD39" s="272"/>
      <c r="WE39" s="272"/>
      <c r="WF39" s="272"/>
      <c r="WG39" s="272"/>
      <c r="WH39" s="272"/>
      <c r="WI39" s="272"/>
      <c r="WJ39" s="272"/>
      <c r="WK39" s="272"/>
      <c r="WL39" s="272"/>
      <c r="WM39" s="272"/>
      <c r="WN39" s="272"/>
      <c r="WO39" s="272"/>
      <c r="WP39" s="272"/>
      <c r="WQ39" s="272"/>
      <c r="WR39" s="272"/>
      <c r="WS39" s="272"/>
      <c r="WT39" s="272"/>
      <c r="WU39" s="272"/>
      <c r="WV39" s="272"/>
      <c r="WW39" s="272"/>
      <c r="WX39" s="272"/>
      <c r="WY39" s="272"/>
      <c r="WZ39" s="272"/>
      <c r="XA39" s="272"/>
      <c r="XB39" s="272"/>
      <c r="XC39" s="272"/>
      <c r="XD39" s="272"/>
      <c r="XE39" s="272"/>
      <c r="XF39" s="272"/>
      <c r="XG39" s="272"/>
      <c r="XH39" s="272"/>
      <c r="XI39" s="272"/>
      <c r="XJ39" s="272"/>
      <c r="XK39" s="272"/>
      <c r="XL39" s="272"/>
      <c r="XM39" s="272"/>
      <c r="XN39" s="272"/>
      <c r="XO39" s="272"/>
      <c r="XP39" s="272"/>
      <c r="XQ39" s="272"/>
      <c r="XR39" s="272"/>
      <c r="XS39" s="272"/>
      <c r="XT39" s="272"/>
      <c r="XU39" s="272"/>
      <c r="XV39" s="272"/>
      <c r="XW39" s="272"/>
      <c r="XX39" s="272"/>
      <c r="XY39" s="272"/>
      <c r="XZ39" s="272"/>
      <c r="YA39" s="272"/>
      <c r="YB39" s="272"/>
      <c r="YC39" s="272"/>
      <c r="YD39" s="272"/>
      <c r="YE39" s="272"/>
      <c r="YF39" s="272"/>
      <c r="YG39" s="272"/>
      <c r="YH39" s="272"/>
      <c r="YI39" s="272"/>
      <c r="YJ39" s="272"/>
      <c r="YK39" s="272"/>
      <c r="YL39" s="272"/>
      <c r="YM39" s="272"/>
      <c r="YN39" s="272"/>
      <c r="YO39" s="272"/>
      <c r="YP39" s="272"/>
      <c r="YQ39" s="272"/>
      <c r="YR39" s="272"/>
      <c r="YS39" s="272"/>
      <c r="YT39" s="272"/>
      <c r="YU39" s="272"/>
      <c r="YV39" s="272"/>
      <c r="YW39" s="272"/>
      <c r="YX39" s="272"/>
      <c r="YY39" s="272"/>
      <c r="YZ39" s="272"/>
      <c r="ZA39" s="272"/>
      <c r="ZB39" s="272"/>
      <c r="ZC39" s="272"/>
      <c r="ZD39" s="272"/>
      <c r="ZE39" s="272"/>
      <c r="ZF39" s="272"/>
      <c r="ZG39" s="272"/>
      <c r="ZH39" s="272"/>
      <c r="ZI39" s="272"/>
      <c r="ZJ39" s="272"/>
      <c r="ZK39" s="272"/>
      <c r="ZL39" s="272"/>
      <c r="ZM39" s="272"/>
      <c r="ZN39" s="272"/>
      <c r="ZO39" s="272"/>
      <c r="ZP39" s="272"/>
      <c r="ZQ39" s="272"/>
      <c r="ZR39" s="272"/>
      <c r="ZS39" s="272"/>
      <c r="ZT39" s="272"/>
      <c r="ZU39" s="272"/>
      <c r="ZV39" s="272"/>
      <c r="ZW39" s="272"/>
      <c r="ZX39" s="272"/>
      <c r="ZY39" s="272"/>
      <c r="ZZ39" s="272"/>
      <c r="AAA39" s="272"/>
      <c r="AAB39" s="272"/>
      <c r="AAC39" s="272"/>
      <c r="AAD39" s="272"/>
      <c r="AAE39" s="272"/>
      <c r="AAF39" s="272"/>
      <c r="AAG39" s="272"/>
      <c r="AAH39" s="272"/>
      <c r="AAI39" s="272"/>
      <c r="AAJ39" s="272"/>
      <c r="AAK39" s="272"/>
      <c r="AAL39" s="272"/>
      <c r="AAM39" s="272"/>
      <c r="AAN39" s="272"/>
      <c r="AAO39" s="272"/>
      <c r="AAP39" s="272"/>
      <c r="AAQ39" s="272"/>
      <c r="AAR39" s="272"/>
      <c r="AAS39" s="272"/>
      <c r="AAT39" s="272"/>
      <c r="AAU39" s="272"/>
      <c r="AAV39" s="272"/>
      <c r="AAW39" s="272"/>
      <c r="AAX39" s="272"/>
      <c r="AAY39" s="272"/>
      <c r="AAZ39" s="272"/>
      <c r="ABA39" s="272"/>
      <c r="ABB39" s="272"/>
      <c r="ABC39" s="272"/>
      <c r="ABD39" s="272"/>
      <c r="ABE39" s="272"/>
      <c r="ABF39" s="272"/>
      <c r="ABG39" s="272"/>
    </row>
    <row r="40" spans="1:735" s="19" customFormat="1" ht="53.25" customHeight="1">
      <c r="A40" s="44"/>
      <c r="B40" s="597"/>
      <c r="C40" s="597"/>
      <c r="D40" s="600"/>
      <c r="E40" s="619"/>
      <c r="F40" s="626"/>
      <c r="G40" s="636"/>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2"/>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c r="EG40" s="272"/>
      <c r="EH40" s="272"/>
      <c r="EI40" s="272"/>
      <c r="EJ40" s="272"/>
      <c r="EK40" s="272"/>
      <c r="EL40" s="272"/>
      <c r="EM40" s="272"/>
      <c r="EN40" s="272"/>
      <c r="EO40" s="272"/>
      <c r="EP40" s="272"/>
      <c r="EQ40" s="272"/>
      <c r="ER40" s="272"/>
      <c r="ES40" s="272"/>
      <c r="ET40" s="272"/>
      <c r="EU40" s="272"/>
      <c r="EV40" s="272"/>
      <c r="EW40" s="272"/>
      <c r="EX40" s="272"/>
      <c r="EY40" s="272"/>
      <c r="EZ40" s="272"/>
      <c r="FA40" s="272"/>
      <c r="FB40" s="272"/>
      <c r="FC40" s="272"/>
      <c r="FD40" s="272"/>
      <c r="FE40" s="272"/>
      <c r="FF40" s="272"/>
      <c r="FG40" s="272"/>
      <c r="FH40" s="272"/>
      <c r="FI40" s="272"/>
      <c r="FJ40" s="272"/>
      <c r="FK40" s="272"/>
      <c r="FL40" s="272"/>
      <c r="FM40" s="272"/>
      <c r="FN40" s="272"/>
      <c r="FO40" s="272"/>
      <c r="FP40" s="272"/>
      <c r="FQ40" s="272"/>
      <c r="FR40" s="272"/>
      <c r="FS40" s="272"/>
      <c r="FT40" s="272"/>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S40" s="272"/>
      <c r="GT40" s="272"/>
      <c r="GU40" s="272"/>
      <c r="GV40" s="272"/>
      <c r="GW40" s="272"/>
      <c r="GX40" s="272"/>
      <c r="GY40" s="272"/>
      <c r="GZ40" s="272"/>
      <c r="HA40" s="272"/>
      <c r="HB40" s="272"/>
      <c r="HC40" s="272"/>
      <c r="HD40" s="272"/>
      <c r="HE40" s="272"/>
      <c r="HF40" s="272"/>
      <c r="HG40" s="272"/>
      <c r="HH40" s="272"/>
      <c r="HI40" s="272"/>
      <c r="HJ40" s="272"/>
      <c r="HK40" s="272"/>
      <c r="HL40" s="272"/>
      <c r="HM40" s="272"/>
      <c r="HN40" s="272"/>
      <c r="HO40" s="272"/>
      <c r="HP40" s="272"/>
      <c r="HQ40" s="272"/>
      <c r="HR40" s="272"/>
      <c r="HS40" s="272"/>
      <c r="HT40" s="272"/>
      <c r="HU40" s="272"/>
      <c r="HV40" s="272"/>
      <c r="HW40" s="272"/>
      <c r="HX40" s="272"/>
      <c r="HY40" s="272"/>
      <c r="HZ40" s="272"/>
      <c r="IA40" s="272"/>
      <c r="IB40" s="272"/>
      <c r="IC40" s="272"/>
      <c r="ID40" s="272"/>
      <c r="IE40" s="272"/>
      <c r="IF40" s="272"/>
      <c r="IG40" s="272"/>
      <c r="IH40" s="272"/>
      <c r="II40" s="272"/>
      <c r="IJ40" s="272"/>
      <c r="IK40" s="272"/>
      <c r="IL40" s="272"/>
      <c r="IM40" s="272"/>
      <c r="IN40" s="272"/>
      <c r="IO40" s="272"/>
      <c r="IP40" s="272"/>
      <c r="IQ40" s="272"/>
      <c r="IR40" s="272"/>
      <c r="IS40" s="272"/>
      <c r="IT40" s="272"/>
      <c r="IU40" s="272"/>
      <c r="IV40" s="272"/>
      <c r="IW40" s="272"/>
      <c r="IX40" s="272"/>
      <c r="IY40" s="272"/>
      <c r="IZ40" s="272"/>
      <c r="JA40" s="272"/>
      <c r="JB40" s="272"/>
      <c r="JC40" s="272"/>
      <c r="JD40" s="272"/>
      <c r="JE40" s="272"/>
      <c r="JF40" s="272"/>
      <c r="JG40" s="272"/>
      <c r="JH40" s="272"/>
      <c r="JI40" s="272"/>
      <c r="JJ40" s="272"/>
      <c r="JK40" s="272"/>
      <c r="JL40" s="272"/>
      <c r="JM40" s="272"/>
      <c r="JN40" s="272"/>
      <c r="JO40" s="272"/>
      <c r="JP40" s="272"/>
      <c r="JQ40" s="272"/>
      <c r="JR40" s="272"/>
      <c r="JS40" s="272"/>
      <c r="JT40" s="272"/>
      <c r="JU40" s="272"/>
      <c r="JV40" s="272"/>
      <c r="JW40" s="272"/>
      <c r="JX40" s="272"/>
      <c r="JY40" s="272"/>
      <c r="JZ40" s="272"/>
      <c r="KA40" s="272"/>
      <c r="KB40" s="272"/>
      <c r="KC40" s="272"/>
      <c r="KD40" s="272"/>
      <c r="KE40" s="272"/>
      <c r="KF40" s="272"/>
      <c r="KG40" s="272"/>
      <c r="KH40" s="272"/>
      <c r="KI40" s="272"/>
      <c r="KJ40" s="272"/>
      <c r="KK40" s="272"/>
      <c r="KL40" s="272"/>
      <c r="KM40" s="272"/>
      <c r="KN40" s="272"/>
      <c r="KO40" s="272"/>
      <c r="KP40" s="272"/>
      <c r="KQ40" s="272"/>
      <c r="KR40" s="272"/>
      <c r="KS40" s="272"/>
      <c r="KT40" s="272"/>
      <c r="KU40" s="272"/>
      <c r="KV40" s="272"/>
      <c r="KW40" s="272"/>
      <c r="KX40" s="272"/>
      <c r="KY40" s="272"/>
      <c r="KZ40" s="272"/>
      <c r="LA40" s="272"/>
      <c r="LB40" s="272"/>
      <c r="LC40" s="272"/>
      <c r="LD40" s="272"/>
      <c r="LE40" s="272"/>
      <c r="LF40" s="272"/>
      <c r="LG40" s="272"/>
      <c r="LH40" s="272"/>
      <c r="LI40" s="272"/>
      <c r="LJ40" s="272"/>
      <c r="LK40" s="272"/>
      <c r="LL40" s="272"/>
      <c r="LM40" s="272"/>
      <c r="LN40" s="272"/>
      <c r="LO40" s="272"/>
      <c r="LP40" s="272"/>
      <c r="LQ40" s="272"/>
      <c r="LR40" s="272"/>
      <c r="LS40" s="272"/>
      <c r="LT40" s="272"/>
      <c r="LU40" s="272"/>
      <c r="LV40" s="272"/>
      <c r="LW40" s="272"/>
      <c r="LX40" s="272"/>
      <c r="LY40" s="272"/>
      <c r="LZ40" s="272"/>
      <c r="MA40" s="272"/>
      <c r="MB40" s="272"/>
      <c r="MC40" s="272"/>
      <c r="MD40" s="272"/>
      <c r="ME40" s="272"/>
      <c r="MF40" s="272"/>
      <c r="MG40" s="272"/>
      <c r="MH40" s="272"/>
      <c r="MI40" s="272"/>
      <c r="MJ40" s="272"/>
      <c r="MK40" s="272"/>
      <c r="ML40" s="272"/>
      <c r="MM40" s="272"/>
      <c r="MN40" s="272"/>
      <c r="MO40" s="272"/>
      <c r="MP40" s="272"/>
      <c r="MQ40" s="272"/>
      <c r="MR40" s="272"/>
      <c r="MS40" s="272"/>
      <c r="MT40" s="272"/>
      <c r="MU40" s="272"/>
      <c r="MV40" s="272"/>
      <c r="MW40" s="272"/>
      <c r="MX40" s="272"/>
      <c r="MY40" s="272"/>
      <c r="MZ40" s="272"/>
      <c r="NA40" s="272"/>
      <c r="NB40" s="272"/>
      <c r="NC40" s="272"/>
      <c r="ND40" s="272"/>
      <c r="NE40" s="272"/>
      <c r="NF40" s="272"/>
      <c r="NG40" s="272"/>
      <c r="NH40" s="272"/>
      <c r="NI40" s="272"/>
      <c r="NJ40" s="272"/>
      <c r="NK40" s="272"/>
      <c r="NL40" s="272"/>
      <c r="NM40" s="272"/>
      <c r="NN40" s="272"/>
      <c r="NO40" s="272"/>
      <c r="NP40" s="272"/>
      <c r="NQ40" s="272"/>
      <c r="NR40" s="272"/>
      <c r="NS40" s="272"/>
      <c r="NT40" s="272"/>
      <c r="NU40" s="272"/>
      <c r="NV40" s="272"/>
      <c r="NW40" s="272"/>
      <c r="NX40" s="272"/>
      <c r="NY40" s="272"/>
      <c r="NZ40" s="272"/>
      <c r="OA40" s="272"/>
      <c r="OB40" s="272"/>
      <c r="OC40" s="272"/>
      <c r="OD40" s="272"/>
      <c r="OE40" s="272"/>
      <c r="OF40" s="272"/>
      <c r="OG40" s="272"/>
      <c r="OH40" s="272"/>
      <c r="OI40" s="272"/>
      <c r="OJ40" s="272"/>
      <c r="OK40" s="272"/>
      <c r="OL40" s="272"/>
      <c r="OM40" s="272"/>
      <c r="ON40" s="272"/>
      <c r="OO40" s="272"/>
      <c r="OP40" s="272"/>
      <c r="OQ40" s="272"/>
      <c r="OR40" s="272"/>
      <c r="OS40" s="272"/>
      <c r="OT40" s="272"/>
      <c r="OU40" s="272"/>
      <c r="OV40" s="272"/>
      <c r="OW40" s="272"/>
      <c r="OX40" s="272"/>
      <c r="OY40" s="272"/>
      <c r="OZ40" s="272"/>
      <c r="PA40" s="272"/>
      <c r="PB40" s="272"/>
      <c r="PC40" s="272"/>
      <c r="PD40" s="272"/>
      <c r="PE40" s="272"/>
      <c r="PF40" s="272"/>
      <c r="PG40" s="272"/>
      <c r="PH40" s="272"/>
      <c r="PI40" s="272"/>
      <c r="PJ40" s="272"/>
      <c r="PK40" s="272"/>
      <c r="PL40" s="272"/>
      <c r="PM40" s="272"/>
      <c r="PN40" s="272"/>
      <c r="PO40" s="272"/>
      <c r="PP40" s="272"/>
      <c r="PQ40" s="272"/>
      <c r="PR40" s="272"/>
      <c r="PS40" s="272"/>
      <c r="PT40" s="272"/>
      <c r="PU40" s="272"/>
      <c r="PV40" s="272"/>
      <c r="PW40" s="272"/>
      <c r="PX40" s="272"/>
      <c r="PY40" s="272"/>
      <c r="PZ40" s="272"/>
      <c r="QA40" s="272"/>
      <c r="QB40" s="272"/>
      <c r="QC40" s="272"/>
      <c r="QD40" s="272"/>
      <c r="QE40" s="272"/>
      <c r="QF40" s="272"/>
      <c r="QG40" s="272"/>
      <c r="QH40" s="272"/>
      <c r="QI40" s="272"/>
      <c r="QJ40" s="272"/>
      <c r="QK40" s="272"/>
      <c r="QL40" s="272"/>
      <c r="QM40" s="272"/>
      <c r="QN40" s="272"/>
      <c r="QO40" s="272"/>
      <c r="QP40" s="272"/>
      <c r="QQ40" s="272"/>
      <c r="QR40" s="272"/>
      <c r="QS40" s="272"/>
      <c r="QT40" s="272"/>
      <c r="QU40" s="272"/>
      <c r="QV40" s="272"/>
      <c r="QW40" s="272"/>
      <c r="QX40" s="272"/>
      <c r="QY40" s="272"/>
      <c r="QZ40" s="272"/>
      <c r="RA40" s="272"/>
      <c r="RB40" s="272"/>
      <c r="RC40" s="272"/>
      <c r="RD40" s="272"/>
      <c r="RE40" s="272"/>
      <c r="RF40" s="272"/>
      <c r="RG40" s="272"/>
      <c r="RH40" s="272"/>
      <c r="RI40" s="272"/>
      <c r="RJ40" s="272"/>
      <c r="RK40" s="272"/>
      <c r="RL40" s="272"/>
      <c r="RM40" s="272"/>
      <c r="RN40" s="272"/>
      <c r="RO40" s="272"/>
      <c r="RP40" s="272"/>
      <c r="RQ40" s="272"/>
      <c r="RR40" s="272"/>
      <c r="RS40" s="272"/>
      <c r="RT40" s="272"/>
      <c r="RU40" s="272"/>
      <c r="RV40" s="272"/>
      <c r="RW40" s="272"/>
      <c r="RX40" s="272"/>
      <c r="RY40" s="272"/>
      <c r="RZ40" s="272"/>
      <c r="SA40" s="272"/>
      <c r="SB40" s="272"/>
      <c r="SC40" s="272"/>
      <c r="SD40" s="272"/>
      <c r="SE40" s="272"/>
      <c r="SF40" s="272"/>
      <c r="SG40" s="272"/>
      <c r="SH40" s="272"/>
      <c r="SI40" s="272"/>
      <c r="SJ40" s="272"/>
      <c r="SK40" s="272"/>
      <c r="SL40" s="272"/>
      <c r="SM40" s="272"/>
      <c r="SN40" s="272"/>
      <c r="SO40" s="272"/>
      <c r="SP40" s="272"/>
      <c r="SQ40" s="272"/>
      <c r="SR40" s="272"/>
      <c r="SS40" s="272"/>
      <c r="ST40" s="272"/>
      <c r="SU40" s="272"/>
      <c r="SV40" s="272"/>
      <c r="SW40" s="272"/>
      <c r="SX40" s="272"/>
      <c r="SY40" s="272"/>
      <c r="SZ40" s="272"/>
      <c r="TA40" s="272"/>
      <c r="TB40" s="272"/>
      <c r="TC40" s="272"/>
      <c r="TD40" s="272"/>
      <c r="TE40" s="272"/>
      <c r="TF40" s="272"/>
      <c r="TG40" s="272"/>
      <c r="TH40" s="272"/>
      <c r="TI40" s="272"/>
      <c r="TJ40" s="272"/>
      <c r="TK40" s="272"/>
      <c r="TL40" s="272"/>
      <c r="TM40" s="272"/>
      <c r="TN40" s="272"/>
      <c r="TO40" s="272"/>
      <c r="TP40" s="272"/>
      <c r="TQ40" s="272"/>
      <c r="TR40" s="272"/>
      <c r="TS40" s="272"/>
      <c r="TT40" s="272"/>
      <c r="TU40" s="272"/>
      <c r="TV40" s="272"/>
      <c r="TW40" s="272"/>
      <c r="TX40" s="272"/>
      <c r="TY40" s="272"/>
      <c r="TZ40" s="272"/>
      <c r="UA40" s="272"/>
      <c r="UB40" s="272"/>
      <c r="UC40" s="272"/>
      <c r="UD40" s="272"/>
      <c r="UE40" s="272"/>
      <c r="UF40" s="272"/>
      <c r="UG40" s="272"/>
      <c r="UH40" s="272"/>
      <c r="UI40" s="272"/>
      <c r="UJ40" s="272"/>
      <c r="UK40" s="272"/>
      <c r="UL40" s="272"/>
      <c r="UM40" s="272"/>
      <c r="UN40" s="272"/>
      <c r="UO40" s="272"/>
      <c r="UP40" s="272"/>
      <c r="UQ40" s="272"/>
      <c r="UR40" s="272"/>
      <c r="US40" s="272"/>
      <c r="UT40" s="272"/>
      <c r="UU40" s="272"/>
      <c r="UV40" s="272"/>
      <c r="UW40" s="272"/>
      <c r="UX40" s="272"/>
      <c r="UY40" s="272"/>
      <c r="UZ40" s="272"/>
      <c r="VA40" s="272"/>
      <c r="VB40" s="272"/>
      <c r="VC40" s="272"/>
      <c r="VD40" s="272"/>
      <c r="VE40" s="272"/>
      <c r="VF40" s="272"/>
      <c r="VG40" s="272"/>
      <c r="VH40" s="272"/>
      <c r="VI40" s="272"/>
      <c r="VJ40" s="272"/>
      <c r="VK40" s="272"/>
      <c r="VL40" s="272"/>
      <c r="VM40" s="272"/>
      <c r="VN40" s="272"/>
      <c r="VO40" s="272"/>
      <c r="VP40" s="272"/>
      <c r="VQ40" s="272"/>
      <c r="VR40" s="272"/>
      <c r="VS40" s="272"/>
      <c r="VT40" s="272"/>
      <c r="VU40" s="272"/>
      <c r="VV40" s="272"/>
      <c r="VW40" s="272"/>
      <c r="VX40" s="272"/>
      <c r="VY40" s="272"/>
      <c r="VZ40" s="272"/>
      <c r="WA40" s="272"/>
      <c r="WB40" s="272"/>
      <c r="WC40" s="272"/>
      <c r="WD40" s="272"/>
      <c r="WE40" s="272"/>
      <c r="WF40" s="272"/>
      <c r="WG40" s="272"/>
      <c r="WH40" s="272"/>
      <c r="WI40" s="272"/>
      <c r="WJ40" s="272"/>
      <c r="WK40" s="272"/>
      <c r="WL40" s="272"/>
      <c r="WM40" s="272"/>
      <c r="WN40" s="272"/>
      <c r="WO40" s="272"/>
      <c r="WP40" s="272"/>
      <c r="WQ40" s="272"/>
      <c r="WR40" s="272"/>
      <c r="WS40" s="272"/>
      <c r="WT40" s="272"/>
      <c r="WU40" s="272"/>
      <c r="WV40" s="272"/>
      <c r="WW40" s="272"/>
      <c r="WX40" s="272"/>
      <c r="WY40" s="272"/>
      <c r="WZ40" s="272"/>
      <c r="XA40" s="272"/>
      <c r="XB40" s="272"/>
      <c r="XC40" s="272"/>
      <c r="XD40" s="272"/>
      <c r="XE40" s="272"/>
      <c r="XF40" s="272"/>
      <c r="XG40" s="272"/>
      <c r="XH40" s="272"/>
      <c r="XI40" s="272"/>
      <c r="XJ40" s="272"/>
      <c r="XK40" s="272"/>
      <c r="XL40" s="272"/>
      <c r="XM40" s="272"/>
      <c r="XN40" s="272"/>
      <c r="XO40" s="272"/>
      <c r="XP40" s="272"/>
      <c r="XQ40" s="272"/>
      <c r="XR40" s="272"/>
      <c r="XS40" s="272"/>
      <c r="XT40" s="272"/>
      <c r="XU40" s="272"/>
      <c r="XV40" s="272"/>
      <c r="XW40" s="272"/>
      <c r="XX40" s="272"/>
      <c r="XY40" s="272"/>
      <c r="XZ40" s="272"/>
      <c r="YA40" s="272"/>
      <c r="YB40" s="272"/>
      <c r="YC40" s="272"/>
      <c r="YD40" s="272"/>
      <c r="YE40" s="272"/>
      <c r="YF40" s="272"/>
      <c r="YG40" s="272"/>
      <c r="YH40" s="272"/>
      <c r="YI40" s="272"/>
      <c r="YJ40" s="272"/>
      <c r="YK40" s="272"/>
      <c r="YL40" s="272"/>
      <c r="YM40" s="272"/>
      <c r="YN40" s="272"/>
      <c r="YO40" s="272"/>
      <c r="YP40" s="272"/>
      <c r="YQ40" s="272"/>
      <c r="YR40" s="272"/>
      <c r="YS40" s="272"/>
      <c r="YT40" s="272"/>
      <c r="YU40" s="272"/>
      <c r="YV40" s="272"/>
      <c r="YW40" s="272"/>
      <c r="YX40" s="272"/>
      <c r="YY40" s="272"/>
      <c r="YZ40" s="272"/>
      <c r="ZA40" s="272"/>
      <c r="ZB40" s="272"/>
      <c r="ZC40" s="272"/>
      <c r="ZD40" s="272"/>
      <c r="ZE40" s="272"/>
      <c r="ZF40" s="272"/>
      <c r="ZG40" s="272"/>
      <c r="ZH40" s="272"/>
      <c r="ZI40" s="272"/>
      <c r="ZJ40" s="272"/>
      <c r="ZK40" s="272"/>
      <c r="ZL40" s="272"/>
      <c r="ZM40" s="272"/>
      <c r="ZN40" s="272"/>
      <c r="ZO40" s="272"/>
      <c r="ZP40" s="272"/>
      <c r="ZQ40" s="272"/>
      <c r="ZR40" s="272"/>
      <c r="ZS40" s="272"/>
      <c r="ZT40" s="272"/>
      <c r="ZU40" s="272"/>
      <c r="ZV40" s="272"/>
      <c r="ZW40" s="272"/>
      <c r="ZX40" s="272"/>
      <c r="ZY40" s="272"/>
      <c r="ZZ40" s="272"/>
      <c r="AAA40" s="272"/>
      <c r="AAB40" s="272"/>
      <c r="AAC40" s="272"/>
      <c r="AAD40" s="272"/>
      <c r="AAE40" s="272"/>
      <c r="AAF40" s="272"/>
      <c r="AAG40" s="272"/>
      <c r="AAH40" s="272"/>
      <c r="AAI40" s="272"/>
      <c r="AAJ40" s="272"/>
      <c r="AAK40" s="272"/>
      <c r="AAL40" s="272"/>
      <c r="AAM40" s="272"/>
      <c r="AAN40" s="272"/>
      <c r="AAO40" s="272"/>
      <c r="AAP40" s="272"/>
      <c r="AAQ40" s="272"/>
      <c r="AAR40" s="272"/>
      <c r="AAS40" s="272"/>
      <c r="AAT40" s="272"/>
      <c r="AAU40" s="272"/>
      <c r="AAV40" s="272"/>
      <c r="AAW40" s="272"/>
      <c r="AAX40" s="272"/>
      <c r="AAY40" s="272"/>
      <c r="AAZ40" s="272"/>
      <c r="ABA40" s="272"/>
      <c r="ABB40" s="272"/>
      <c r="ABC40" s="272"/>
      <c r="ABD40" s="272"/>
      <c r="ABE40" s="272"/>
      <c r="ABF40" s="272"/>
      <c r="ABG40" s="272"/>
    </row>
    <row r="41" spans="1:735" s="19" customFormat="1" ht="47.25" customHeight="1">
      <c r="A41" s="44"/>
      <c r="B41" s="597"/>
      <c r="C41" s="610"/>
      <c r="D41" s="601"/>
      <c r="E41" s="620"/>
      <c r="F41" s="627"/>
      <c r="G41" s="635"/>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2"/>
      <c r="DJ41" s="272"/>
      <c r="DK41" s="272"/>
      <c r="DL41" s="272"/>
      <c r="DM41" s="272"/>
      <c r="DN41" s="272"/>
      <c r="DO41" s="272"/>
      <c r="DP41" s="272"/>
      <c r="DQ41" s="272"/>
      <c r="DR41" s="272"/>
      <c r="DS41" s="272"/>
      <c r="DT41" s="272"/>
      <c r="DU41" s="272"/>
      <c r="DV41" s="272"/>
      <c r="DW41" s="272"/>
      <c r="DX41" s="272"/>
      <c r="DY41" s="272"/>
      <c r="DZ41" s="272"/>
      <c r="EA41" s="272"/>
      <c r="EB41" s="272"/>
      <c r="EC41" s="272"/>
      <c r="ED41" s="272"/>
      <c r="EE41" s="272"/>
      <c r="EF41" s="272"/>
      <c r="EG41" s="272"/>
      <c r="EH41" s="272"/>
      <c r="EI41" s="272"/>
      <c r="EJ41" s="272"/>
      <c r="EK41" s="272"/>
      <c r="EL41" s="272"/>
      <c r="EM41" s="272"/>
      <c r="EN41" s="272"/>
      <c r="EO41" s="272"/>
      <c r="EP41" s="272"/>
      <c r="EQ41" s="272"/>
      <c r="ER41" s="272"/>
      <c r="ES41" s="272"/>
      <c r="ET41" s="272"/>
      <c r="EU41" s="272"/>
      <c r="EV41" s="272"/>
      <c r="EW41" s="272"/>
      <c r="EX41" s="272"/>
      <c r="EY41" s="272"/>
      <c r="EZ41" s="272"/>
      <c r="FA41" s="272"/>
      <c r="FB41" s="272"/>
      <c r="FC41" s="272"/>
      <c r="FD41" s="272"/>
      <c r="FE41" s="272"/>
      <c r="FF41" s="272"/>
      <c r="FG41" s="272"/>
      <c r="FH41" s="272"/>
      <c r="FI41" s="272"/>
      <c r="FJ41" s="272"/>
      <c r="FK41" s="272"/>
      <c r="FL41" s="272"/>
      <c r="FM41" s="272"/>
      <c r="FN41" s="272"/>
      <c r="FO41" s="272"/>
      <c r="FP41" s="272"/>
      <c r="FQ41" s="272"/>
      <c r="FR41" s="272"/>
      <c r="FS41" s="272"/>
      <c r="FT41" s="272"/>
      <c r="FU41" s="272"/>
      <c r="FV41" s="272"/>
      <c r="FW41" s="272"/>
      <c r="FX41" s="272"/>
      <c r="FY41" s="272"/>
      <c r="FZ41" s="272"/>
      <c r="GA41" s="272"/>
      <c r="GB41" s="272"/>
      <c r="GC41" s="272"/>
      <c r="GD41" s="272"/>
      <c r="GE41" s="272"/>
      <c r="GF41" s="272"/>
      <c r="GG41" s="272"/>
      <c r="GH41" s="272"/>
      <c r="GI41" s="272"/>
      <c r="GJ41" s="272"/>
      <c r="GK41" s="272"/>
      <c r="GL41" s="272"/>
      <c r="GM41" s="272"/>
      <c r="GN41" s="272"/>
      <c r="GO41" s="272"/>
      <c r="GP41" s="272"/>
      <c r="GQ41" s="272"/>
      <c r="GR41" s="272"/>
      <c r="GS41" s="272"/>
      <c r="GT41" s="272"/>
      <c r="GU41" s="272"/>
      <c r="GV41" s="272"/>
      <c r="GW41" s="272"/>
      <c r="GX41" s="272"/>
      <c r="GY41" s="272"/>
      <c r="GZ41" s="272"/>
      <c r="HA41" s="272"/>
      <c r="HB41" s="272"/>
      <c r="HC41" s="272"/>
      <c r="HD41" s="272"/>
      <c r="HE41" s="272"/>
      <c r="HF41" s="272"/>
      <c r="HG41" s="272"/>
      <c r="HH41" s="272"/>
      <c r="HI41" s="272"/>
      <c r="HJ41" s="272"/>
      <c r="HK41" s="272"/>
      <c r="HL41" s="272"/>
      <c r="HM41" s="272"/>
      <c r="HN41" s="272"/>
      <c r="HO41" s="272"/>
      <c r="HP41" s="272"/>
      <c r="HQ41" s="272"/>
      <c r="HR41" s="272"/>
      <c r="HS41" s="272"/>
      <c r="HT41" s="272"/>
      <c r="HU41" s="272"/>
      <c r="HV41" s="272"/>
      <c r="HW41" s="272"/>
      <c r="HX41" s="272"/>
      <c r="HY41" s="272"/>
      <c r="HZ41" s="272"/>
      <c r="IA41" s="272"/>
      <c r="IB41" s="272"/>
      <c r="IC41" s="272"/>
      <c r="ID41" s="272"/>
      <c r="IE41" s="272"/>
      <c r="IF41" s="272"/>
      <c r="IG41" s="272"/>
      <c r="IH41" s="272"/>
      <c r="II41" s="272"/>
      <c r="IJ41" s="272"/>
      <c r="IK41" s="272"/>
      <c r="IL41" s="272"/>
      <c r="IM41" s="272"/>
      <c r="IN41" s="272"/>
      <c r="IO41" s="272"/>
      <c r="IP41" s="272"/>
      <c r="IQ41" s="272"/>
      <c r="IR41" s="272"/>
      <c r="IS41" s="272"/>
      <c r="IT41" s="272"/>
      <c r="IU41" s="272"/>
      <c r="IV41" s="272"/>
      <c r="IW41" s="272"/>
      <c r="IX41" s="272"/>
      <c r="IY41" s="272"/>
      <c r="IZ41" s="272"/>
      <c r="JA41" s="272"/>
      <c r="JB41" s="272"/>
      <c r="JC41" s="272"/>
      <c r="JD41" s="272"/>
      <c r="JE41" s="272"/>
      <c r="JF41" s="272"/>
      <c r="JG41" s="272"/>
      <c r="JH41" s="272"/>
      <c r="JI41" s="272"/>
      <c r="JJ41" s="272"/>
      <c r="JK41" s="272"/>
      <c r="JL41" s="272"/>
      <c r="JM41" s="272"/>
      <c r="JN41" s="272"/>
      <c r="JO41" s="272"/>
      <c r="JP41" s="272"/>
      <c r="JQ41" s="272"/>
      <c r="JR41" s="272"/>
      <c r="JS41" s="272"/>
      <c r="JT41" s="272"/>
      <c r="JU41" s="272"/>
      <c r="JV41" s="272"/>
      <c r="JW41" s="272"/>
      <c r="JX41" s="272"/>
      <c r="JY41" s="272"/>
      <c r="JZ41" s="272"/>
      <c r="KA41" s="272"/>
      <c r="KB41" s="272"/>
      <c r="KC41" s="272"/>
      <c r="KD41" s="272"/>
      <c r="KE41" s="272"/>
      <c r="KF41" s="272"/>
      <c r="KG41" s="272"/>
      <c r="KH41" s="272"/>
      <c r="KI41" s="272"/>
      <c r="KJ41" s="272"/>
      <c r="KK41" s="272"/>
      <c r="KL41" s="272"/>
      <c r="KM41" s="272"/>
      <c r="KN41" s="272"/>
      <c r="KO41" s="272"/>
      <c r="KP41" s="272"/>
      <c r="KQ41" s="272"/>
      <c r="KR41" s="272"/>
      <c r="KS41" s="272"/>
      <c r="KT41" s="272"/>
      <c r="KU41" s="272"/>
      <c r="KV41" s="272"/>
      <c r="KW41" s="272"/>
      <c r="KX41" s="272"/>
      <c r="KY41" s="272"/>
      <c r="KZ41" s="272"/>
      <c r="LA41" s="272"/>
      <c r="LB41" s="272"/>
      <c r="LC41" s="272"/>
      <c r="LD41" s="272"/>
      <c r="LE41" s="272"/>
      <c r="LF41" s="272"/>
      <c r="LG41" s="272"/>
      <c r="LH41" s="272"/>
      <c r="LI41" s="272"/>
      <c r="LJ41" s="272"/>
      <c r="LK41" s="272"/>
      <c r="LL41" s="272"/>
      <c r="LM41" s="272"/>
      <c r="LN41" s="272"/>
      <c r="LO41" s="272"/>
      <c r="LP41" s="272"/>
      <c r="LQ41" s="272"/>
      <c r="LR41" s="272"/>
      <c r="LS41" s="272"/>
      <c r="LT41" s="272"/>
      <c r="LU41" s="272"/>
      <c r="LV41" s="272"/>
      <c r="LW41" s="272"/>
      <c r="LX41" s="272"/>
      <c r="LY41" s="272"/>
      <c r="LZ41" s="272"/>
      <c r="MA41" s="272"/>
      <c r="MB41" s="272"/>
      <c r="MC41" s="272"/>
      <c r="MD41" s="272"/>
      <c r="ME41" s="272"/>
      <c r="MF41" s="272"/>
      <c r="MG41" s="272"/>
      <c r="MH41" s="272"/>
      <c r="MI41" s="272"/>
      <c r="MJ41" s="272"/>
      <c r="MK41" s="272"/>
      <c r="ML41" s="272"/>
      <c r="MM41" s="272"/>
      <c r="MN41" s="272"/>
      <c r="MO41" s="272"/>
      <c r="MP41" s="272"/>
      <c r="MQ41" s="272"/>
      <c r="MR41" s="272"/>
      <c r="MS41" s="272"/>
      <c r="MT41" s="272"/>
      <c r="MU41" s="272"/>
      <c r="MV41" s="272"/>
      <c r="MW41" s="272"/>
      <c r="MX41" s="272"/>
      <c r="MY41" s="272"/>
      <c r="MZ41" s="272"/>
      <c r="NA41" s="272"/>
      <c r="NB41" s="272"/>
      <c r="NC41" s="272"/>
      <c r="ND41" s="272"/>
      <c r="NE41" s="272"/>
      <c r="NF41" s="272"/>
      <c r="NG41" s="272"/>
      <c r="NH41" s="272"/>
      <c r="NI41" s="272"/>
      <c r="NJ41" s="272"/>
      <c r="NK41" s="272"/>
      <c r="NL41" s="272"/>
      <c r="NM41" s="272"/>
      <c r="NN41" s="272"/>
      <c r="NO41" s="272"/>
      <c r="NP41" s="272"/>
      <c r="NQ41" s="272"/>
      <c r="NR41" s="272"/>
      <c r="NS41" s="272"/>
      <c r="NT41" s="272"/>
      <c r="NU41" s="272"/>
      <c r="NV41" s="272"/>
      <c r="NW41" s="272"/>
      <c r="NX41" s="272"/>
      <c r="NY41" s="272"/>
      <c r="NZ41" s="272"/>
      <c r="OA41" s="272"/>
      <c r="OB41" s="272"/>
      <c r="OC41" s="272"/>
      <c r="OD41" s="272"/>
      <c r="OE41" s="272"/>
      <c r="OF41" s="272"/>
      <c r="OG41" s="272"/>
      <c r="OH41" s="272"/>
      <c r="OI41" s="272"/>
      <c r="OJ41" s="272"/>
      <c r="OK41" s="272"/>
      <c r="OL41" s="272"/>
      <c r="OM41" s="272"/>
      <c r="ON41" s="272"/>
      <c r="OO41" s="272"/>
      <c r="OP41" s="272"/>
      <c r="OQ41" s="272"/>
      <c r="OR41" s="272"/>
      <c r="OS41" s="272"/>
      <c r="OT41" s="272"/>
      <c r="OU41" s="272"/>
      <c r="OV41" s="272"/>
      <c r="OW41" s="272"/>
      <c r="OX41" s="272"/>
      <c r="OY41" s="272"/>
      <c r="OZ41" s="272"/>
      <c r="PA41" s="272"/>
      <c r="PB41" s="272"/>
      <c r="PC41" s="272"/>
      <c r="PD41" s="272"/>
      <c r="PE41" s="272"/>
      <c r="PF41" s="272"/>
      <c r="PG41" s="272"/>
      <c r="PH41" s="272"/>
      <c r="PI41" s="272"/>
      <c r="PJ41" s="272"/>
      <c r="PK41" s="272"/>
      <c r="PL41" s="272"/>
      <c r="PM41" s="272"/>
      <c r="PN41" s="272"/>
      <c r="PO41" s="272"/>
      <c r="PP41" s="272"/>
      <c r="PQ41" s="272"/>
      <c r="PR41" s="272"/>
      <c r="PS41" s="272"/>
      <c r="PT41" s="272"/>
      <c r="PU41" s="272"/>
      <c r="PV41" s="272"/>
      <c r="PW41" s="272"/>
      <c r="PX41" s="272"/>
      <c r="PY41" s="272"/>
      <c r="PZ41" s="272"/>
      <c r="QA41" s="272"/>
      <c r="QB41" s="272"/>
      <c r="QC41" s="272"/>
      <c r="QD41" s="272"/>
      <c r="QE41" s="272"/>
      <c r="QF41" s="272"/>
      <c r="QG41" s="272"/>
      <c r="QH41" s="272"/>
      <c r="QI41" s="272"/>
      <c r="QJ41" s="272"/>
      <c r="QK41" s="272"/>
      <c r="QL41" s="272"/>
      <c r="QM41" s="272"/>
      <c r="QN41" s="272"/>
      <c r="QO41" s="272"/>
      <c r="QP41" s="272"/>
      <c r="QQ41" s="272"/>
      <c r="QR41" s="272"/>
      <c r="QS41" s="272"/>
      <c r="QT41" s="272"/>
      <c r="QU41" s="272"/>
      <c r="QV41" s="272"/>
      <c r="QW41" s="272"/>
      <c r="QX41" s="272"/>
      <c r="QY41" s="272"/>
      <c r="QZ41" s="272"/>
      <c r="RA41" s="272"/>
      <c r="RB41" s="272"/>
      <c r="RC41" s="272"/>
      <c r="RD41" s="272"/>
      <c r="RE41" s="272"/>
      <c r="RF41" s="272"/>
      <c r="RG41" s="272"/>
      <c r="RH41" s="272"/>
      <c r="RI41" s="272"/>
      <c r="RJ41" s="272"/>
      <c r="RK41" s="272"/>
      <c r="RL41" s="272"/>
      <c r="RM41" s="272"/>
      <c r="RN41" s="272"/>
      <c r="RO41" s="272"/>
      <c r="RP41" s="272"/>
      <c r="RQ41" s="272"/>
      <c r="RR41" s="272"/>
      <c r="RS41" s="272"/>
      <c r="RT41" s="272"/>
      <c r="RU41" s="272"/>
      <c r="RV41" s="272"/>
      <c r="RW41" s="272"/>
      <c r="RX41" s="272"/>
      <c r="RY41" s="272"/>
      <c r="RZ41" s="272"/>
      <c r="SA41" s="272"/>
      <c r="SB41" s="272"/>
      <c r="SC41" s="272"/>
      <c r="SD41" s="272"/>
      <c r="SE41" s="272"/>
      <c r="SF41" s="272"/>
      <c r="SG41" s="272"/>
      <c r="SH41" s="272"/>
      <c r="SI41" s="272"/>
      <c r="SJ41" s="272"/>
      <c r="SK41" s="272"/>
      <c r="SL41" s="272"/>
      <c r="SM41" s="272"/>
      <c r="SN41" s="272"/>
      <c r="SO41" s="272"/>
      <c r="SP41" s="272"/>
      <c r="SQ41" s="272"/>
      <c r="SR41" s="272"/>
      <c r="SS41" s="272"/>
      <c r="ST41" s="272"/>
      <c r="SU41" s="272"/>
      <c r="SV41" s="272"/>
      <c r="SW41" s="272"/>
      <c r="SX41" s="272"/>
      <c r="SY41" s="272"/>
      <c r="SZ41" s="272"/>
      <c r="TA41" s="272"/>
      <c r="TB41" s="272"/>
      <c r="TC41" s="272"/>
      <c r="TD41" s="272"/>
      <c r="TE41" s="272"/>
      <c r="TF41" s="272"/>
      <c r="TG41" s="272"/>
      <c r="TH41" s="272"/>
      <c r="TI41" s="272"/>
      <c r="TJ41" s="272"/>
      <c r="TK41" s="272"/>
      <c r="TL41" s="272"/>
      <c r="TM41" s="272"/>
      <c r="TN41" s="272"/>
      <c r="TO41" s="272"/>
      <c r="TP41" s="272"/>
      <c r="TQ41" s="272"/>
      <c r="TR41" s="272"/>
      <c r="TS41" s="272"/>
      <c r="TT41" s="272"/>
      <c r="TU41" s="272"/>
      <c r="TV41" s="272"/>
      <c r="TW41" s="272"/>
      <c r="TX41" s="272"/>
      <c r="TY41" s="272"/>
      <c r="TZ41" s="272"/>
      <c r="UA41" s="272"/>
      <c r="UB41" s="272"/>
      <c r="UC41" s="272"/>
      <c r="UD41" s="272"/>
      <c r="UE41" s="272"/>
      <c r="UF41" s="272"/>
      <c r="UG41" s="272"/>
      <c r="UH41" s="272"/>
      <c r="UI41" s="272"/>
      <c r="UJ41" s="272"/>
      <c r="UK41" s="272"/>
      <c r="UL41" s="272"/>
      <c r="UM41" s="272"/>
      <c r="UN41" s="272"/>
      <c r="UO41" s="272"/>
      <c r="UP41" s="272"/>
      <c r="UQ41" s="272"/>
      <c r="UR41" s="272"/>
      <c r="US41" s="272"/>
      <c r="UT41" s="272"/>
      <c r="UU41" s="272"/>
      <c r="UV41" s="272"/>
      <c r="UW41" s="272"/>
      <c r="UX41" s="272"/>
      <c r="UY41" s="272"/>
      <c r="UZ41" s="272"/>
      <c r="VA41" s="272"/>
      <c r="VB41" s="272"/>
      <c r="VC41" s="272"/>
      <c r="VD41" s="272"/>
      <c r="VE41" s="272"/>
      <c r="VF41" s="272"/>
      <c r="VG41" s="272"/>
      <c r="VH41" s="272"/>
      <c r="VI41" s="272"/>
      <c r="VJ41" s="272"/>
      <c r="VK41" s="272"/>
      <c r="VL41" s="272"/>
      <c r="VM41" s="272"/>
      <c r="VN41" s="272"/>
      <c r="VO41" s="272"/>
      <c r="VP41" s="272"/>
      <c r="VQ41" s="272"/>
      <c r="VR41" s="272"/>
      <c r="VS41" s="272"/>
      <c r="VT41" s="272"/>
      <c r="VU41" s="272"/>
      <c r="VV41" s="272"/>
      <c r="VW41" s="272"/>
      <c r="VX41" s="272"/>
      <c r="VY41" s="272"/>
      <c r="VZ41" s="272"/>
      <c r="WA41" s="272"/>
      <c r="WB41" s="272"/>
      <c r="WC41" s="272"/>
      <c r="WD41" s="272"/>
      <c r="WE41" s="272"/>
      <c r="WF41" s="272"/>
      <c r="WG41" s="272"/>
      <c r="WH41" s="272"/>
      <c r="WI41" s="272"/>
      <c r="WJ41" s="272"/>
      <c r="WK41" s="272"/>
      <c r="WL41" s="272"/>
      <c r="WM41" s="272"/>
      <c r="WN41" s="272"/>
      <c r="WO41" s="272"/>
      <c r="WP41" s="272"/>
      <c r="WQ41" s="272"/>
      <c r="WR41" s="272"/>
      <c r="WS41" s="272"/>
      <c r="WT41" s="272"/>
      <c r="WU41" s="272"/>
      <c r="WV41" s="272"/>
      <c r="WW41" s="272"/>
      <c r="WX41" s="272"/>
      <c r="WY41" s="272"/>
      <c r="WZ41" s="272"/>
      <c r="XA41" s="272"/>
      <c r="XB41" s="272"/>
      <c r="XC41" s="272"/>
      <c r="XD41" s="272"/>
      <c r="XE41" s="272"/>
      <c r="XF41" s="272"/>
      <c r="XG41" s="272"/>
      <c r="XH41" s="272"/>
      <c r="XI41" s="272"/>
      <c r="XJ41" s="272"/>
      <c r="XK41" s="272"/>
      <c r="XL41" s="272"/>
      <c r="XM41" s="272"/>
      <c r="XN41" s="272"/>
      <c r="XO41" s="272"/>
      <c r="XP41" s="272"/>
      <c r="XQ41" s="272"/>
      <c r="XR41" s="272"/>
      <c r="XS41" s="272"/>
      <c r="XT41" s="272"/>
      <c r="XU41" s="272"/>
      <c r="XV41" s="272"/>
      <c r="XW41" s="272"/>
      <c r="XX41" s="272"/>
      <c r="XY41" s="272"/>
      <c r="XZ41" s="272"/>
      <c r="YA41" s="272"/>
      <c r="YB41" s="272"/>
      <c r="YC41" s="272"/>
      <c r="YD41" s="272"/>
      <c r="YE41" s="272"/>
      <c r="YF41" s="272"/>
      <c r="YG41" s="272"/>
      <c r="YH41" s="272"/>
      <c r="YI41" s="272"/>
      <c r="YJ41" s="272"/>
      <c r="YK41" s="272"/>
      <c r="YL41" s="272"/>
      <c r="YM41" s="272"/>
      <c r="YN41" s="272"/>
      <c r="YO41" s="272"/>
      <c r="YP41" s="272"/>
      <c r="YQ41" s="272"/>
      <c r="YR41" s="272"/>
      <c r="YS41" s="272"/>
      <c r="YT41" s="272"/>
      <c r="YU41" s="272"/>
      <c r="YV41" s="272"/>
      <c r="YW41" s="272"/>
      <c r="YX41" s="272"/>
      <c r="YY41" s="272"/>
      <c r="YZ41" s="272"/>
      <c r="ZA41" s="272"/>
      <c r="ZB41" s="272"/>
      <c r="ZC41" s="272"/>
      <c r="ZD41" s="272"/>
      <c r="ZE41" s="272"/>
      <c r="ZF41" s="272"/>
      <c r="ZG41" s="272"/>
      <c r="ZH41" s="272"/>
      <c r="ZI41" s="272"/>
      <c r="ZJ41" s="272"/>
      <c r="ZK41" s="272"/>
      <c r="ZL41" s="272"/>
      <c r="ZM41" s="272"/>
      <c r="ZN41" s="272"/>
      <c r="ZO41" s="272"/>
      <c r="ZP41" s="272"/>
      <c r="ZQ41" s="272"/>
      <c r="ZR41" s="272"/>
      <c r="ZS41" s="272"/>
      <c r="ZT41" s="272"/>
      <c r="ZU41" s="272"/>
      <c r="ZV41" s="272"/>
      <c r="ZW41" s="272"/>
      <c r="ZX41" s="272"/>
      <c r="ZY41" s="272"/>
      <c r="ZZ41" s="272"/>
      <c r="AAA41" s="272"/>
      <c r="AAB41" s="272"/>
      <c r="AAC41" s="272"/>
      <c r="AAD41" s="272"/>
      <c r="AAE41" s="272"/>
      <c r="AAF41" s="272"/>
      <c r="AAG41" s="272"/>
      <c r="AAH41" s="272"/>
      <c r="AAI41" s="272"/>
      <c r="AAJ41" s="272"/>
      <c r="AAK41" s="272"/>
      <c r="AAL41" s="272"/>
      <c r="AAM41" s="272"/>
      <c r="AAN41" s="272"/>
      <c r="AAO41" s="272"/>
      <c r="AAP41" s="272"/>
      <c r="AAQ41" s="272"/>
      <c r="AAR41" s="272"/>
      <c r="AAS41" s="272"/>
      <c r="AAT41" s="272"/>
      <c r="AAU41" s="272"/>
      <c r="AAV41" s="272"/>
      <c r="AAW41" s="272"/>
      <c r="AAX41" s="272"/>
      <c r="AAY41" s="272"/>
      <c r="AAZ41" s="272"/>
      <c r="ABA41" s="272"/>
      <c r="ABB41" s="272"/>
      <c r="ABC41" s="272"/>
      <c r="ABD41" s="272"/>
      <c r="ABE41" s="272"/>
      <c r="ABF41" s="272"/>
      <c r="ABG41" s="272"/>
    </row>
    <row r="42" spans="1:735" s="85" customFormat="1" ht="15">
      <c r="A42" s="44"/>
      <c r="B42" s="597"/>
      <c r="C42" s="24" t="s">
        <v>53</v>
      </c>
      <c r="D42" s="505"/>
      <c r="E42" s="510"/>
      <c r="F42" s="511"/>
      <c r="G42" s="51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c r="DV42" s="272"/>
      <c r="DW42" s="272"/>
      <c r="DX42" s="272"/>
      <c r="DY42" s="272"/>
      <c r="DZ42" s="272"/>
      <c r="EA42" s="272"/>
      <c r="EB42" s="272"/>
      <c r="EC42" s="272"/>
      <c r="ED42" s="272"/>
      <c r="EE42" s="272"/>
      <c r="EF42" s="272"/>
      <c r="EG42" s="272"/>
      <c r="EH42" s="272"/>
      <c r="EI42" s="272"/>
      <c r="EJ42" s="272"/>
      <c r="EK42" s="272"/>
      <c r="EL42" s="272"/>
      <c r="EM42" s="272"/>
      <c r="EN42" s="272"/>
      <c r="EO42" s="272"/>
      <c r="EP42" s="272"/>
      <c r="EQ42" s="272"/>
      <c r="ER42" s="272"/>
      <c r="ES42" s="272"/>
      <c r="ET42" s="272"/>
      <c r="EU42" s="272"/>
      <c r="EV42" s="272"/>
      <c r="EW42" s="272"/>
      <c r="EX42" s="272"/>
      <c r="EY42" s="272"/>
      <c r="EZ42" s="272"/>
      <c r="FA42" s="272"/>
      <c r="FB42" s="272"/>
      <c r="FC42" s="272"/>
      <c r="FD42" s="272"/>
      <c r="FE42" s="272"/>
      <c r="FF42" s="272"/>
      <c r="FG42" s="272"/>
      <c r="FH42" s="272"/>
      <c r="FI42" s="272"/>
      <c r="FJ42" s="272"/>
      <c r="FK42" s="272"/>
      <c r="FL42" s="272"/>
      <c r="FM42" s="272"/>
      <c r="FN42" s="272"/>
      <c r="FO42" s="272"/>
      <c r="FP42" s="272"/>
      <c r="FQ42" s="272"/>
      <c r="FR42" s="272"/>
      <c r="FS42" s="272"/>
      <c r="FT42" s="272"/>
      <c r="FU42" s="272"/>
      <c r="FV42" s="272"/>
      <c r="FW42" s="272"/>
      <c r="FX42" s="272"/>
      <c r="FY42" s="272"/>
      <c r="FZ42" s="272"/>
      <c r="GA42" s="272"/>
      <c r="GB42" s="272"/>
      <c r="GC42" s="272"/>
      <c r="GD42" s="272"/>
      <c r="GE42" s="272"/>
      <c r="GF42" s="272"/>
      <c r="GG42" s="272"/>
      <c r="GH42" s="272"/>
      <c r="GI42" s="272"/>
      <c r="GJ42" s="272"/>
      <c r="GK42" s="272"/>
      <c r="GL42" s="272"/>
      <c r="GM42" s="272"/>
      <c r="GN42" s="272"/>
      <c r="GO42" s="272"/>
      <c r="GP42" s="272"/>
      <c r="GQ42" s="272"/>
      <c r="GR42" s="272"/>
      <c r="GS42" s="272"/>
      <c r="GT42" s="272"/>
      <c r="GU42" s="272"/>
      <c r="GV42" s="272"/>
      <c r="GW42" s="272"/>
      <c r="GX42" s="272"/>
      <c r="GY42" s="272"/>
      <c r="GZ42" s="272"/>
      <c r="HA42" s="272"/>
      <c r="HB42" s="272"/>
      <c r="HC42" s="272"/>
      <c r="HD42" s="272"/>
      <c r="HE42" s="272"/>
      <c r="HF42" s="272"/>
      <c r="HG42" s="272"/>
      <c r="HH42" s="272"/>
      <c r="HI42" s="272"/>
      <c r="HJ42" s="272"/>
      <c r="HK42" s="272"/>
      <c r="HL42" s="272"/>
      <c r="HM42" s="272"/>
      <c r="HN42" s="272"/>
      <c r="HO42" s="272"/>
      <c r="HP42" s="272"/>
      <c r="HQ42" s="272"/>
      <c r="HR42" s="272"/>
      <c r="HS42" s="272"/>
      <c r="HT42" s="272"/>
      <c r="HU42" s="272"/>
      <c r="HV42" s="272"/>
      <c r="HW42" s="272"/>
      <c r="HX42" s="272"/>
      <c r="HY42" s="272"/>
      <c r="HZ42" s="272"/>
      <c r="IA42" s="272"/>
      <c r="IB42" s="272"/>
      <c r="IC42" s="272"/>
      <c r="ID42" s="272"/>
      <c r="IE42" s="272"/>
      <c r="IF42" s="272"/>
      <c r="IG42" s="272"/>
      <c r="IH42" s="272"/>
      <c r="II42" s="272"/>
      <c r="IJ42" s="272"/>
      <c r="IK42" s="272"/>
      <c r="IL42" s="272"/>
      <c r="IM42" s="272"/>
      <c r="IN42" s="272"/>
      <c r="IO42" s="272"/>
      <c r="IP42" s="272"/>
      <c r="IQ42" s="272"/>
      <c r="IR42" s="272"/>
      <c r="IS42" s="272"/>
      <c r="IT42" s="272"/>
      <c r="IU42" s="272"/>
      <c r="IV42" s="272"/>
      <c r="IW42" s="272"/>
      <c r="IX42" s="272"/>
      <c r="IY42" s="272"/>
      <c r="IZ42" s="272"/>
      <c r="JA42" s="272"/>
      <c r="JB42" s="272"/>
      <c r="JC42" s="272"/>
      <c r="JD42" s="272"/>
      <c r="JE42" s="272"/>
      <c r="JF42" s="272"/>
      <c r="JG42" s="272"/>
      <c r="JH42" s="272"/>
      <c r="JI42" s="272"/>
      <c r="JJ42" s="272"/>
      <c r="JK42" s="272"/>
      <c r="JL42" s="272"/>
      <c r="JM42" s="272"/>
      <c r="JN42" s="272"/>
      <c r="JO42" s="272"/>
      <c r="JP42" s="272"/>
      <c r="JQ42" s="272"/>
      <c r="JR42" s="272"/>
      <c r="JS42" s="272"/>
      <c r="JT42" s="272"/>
      <c r="JU42" s="272"/>
      <c r="JV42" s="272"/>
      <c r="JW42" s="272"/>
      <c r="JX42" s="272"/>
      <c r="JY42" s="272"/>
      <c r="JZ42" s="272"/>
      <c r="KA42" s="272"/>
      <c r="KB42" s="272"/>
      <c r="KC42" s="272"/>
      <c r="KD42" s="272"/>
      <c r="KE42" s="272"/>
      <c r="KF42" s="272"/>
      <c r="KG42" s="272"/>
      <c r="KH42" s="272"/>
      <c r="KI42" s="272"/>
      <c r="KJ42" s="272"/>
      <c r="KK42" s="272"/>
      <c r="KL42" s="272"/>
      <c r="KM42" s="272"/>
      <c r="KN42" s="272"/>
      <c r="KO42" s="272"/>
      <c r="KP42" s="272"/>
      <c r="KQ42" s="272"/>
      <c r="KR42" s="272"/>
      <c r="KS42" s="272"/>
      <c r="KT42" s="272"/>
      <c r="KU42" s="272"/>
      <c r="KV42" s="272"/>
      <c r="KW42" s="272"/>
      <c r="KX42" s="272"/>
      <c r="KY42" s="272"/>
      <c r="KZ42" s="272"/>
      <c r="LA42" s="272"/>
      <c r="LB42" s="272"/>
      <c r="LC42" s="272"/>
      <c r="LD42" s="272"/>
      <c r="LE42" s="272"/>
      <c r="LF42" s="272"/>
      <c r="LG42" s="272"/>
      <c r="LH42" s="272"/>
      <c r="LI42" s="272"/>
      <c r="LJ42" s="272"/>
      <c r="LK42" s="272"/>
      <c r="LL42" s="272"/>
      <c r="LM42" s="272"/>
      <c r="LN42" s="272"/>
      <c r="LO42" s="272"/>
      <c r="LP42" s="272"/>
      <c r="LQ42" s="272"/>
      <c r="LR42" s="272"/>
      <c r="LS42" s="272"/>
      <c r="LT42" s="272"/>
      <c r="LU42" s="272"/>
      <c r="LV42" s="272"/>
      <c r="LW42" s="272"/>
      <c r="LX42" s="272"/>
      <c r="LY42" s="272"/>
      <c r="LZ42" s="272"/>
      <c r="MA42" s="272"/>
      <c r="MB42" s="272"/>
      <c r="MC42" s="272"/>
      <c r="MD42" s="272"/>
      <c r="ME42" s="272"/>
      <c r="MF42" s="272"/>
      <c r="MG42" s="272"/>
      <c r="MH42" s="272"/>
      <c r="MI42" s="272"/>
      <c r="MJ42" s="272"/>
      <c r="MK42" s="272"/>
      <c r="ML42" s="272"/>
      <c r="MM42" s="272"/>
      <c r="MN42" s="272"/>
      <c r="MO42" s="272"/>
      <c r="MP42" s="272"/>
      <c r="MQ42" s="272"/>
      <c r="MR42" s="272"/>
      <c r="MS42" s="272"/>
      <c r="MT42" s="272"/>
      <c r="MU42" s="272"/>
      <c r="MV42" s="272"/>
      <c r="MW42" s="272"/>
      <c r="MX42" s="272"/>
      <c r="MY42" s="272"/>
      <c r="MZ42" s="272"/>
      <c r="NA42" s="272"/>
      <c r="NB42" s="272"/>
      <c r="NC42" s="272"/>
      <c r="ND42" s="272"/>
      <c r="NE42" s="272"/>
      <c r="NF42" s="272"/>
      <c r="NG42" s="272"/>
      <c r="NH42" s="272"/>
      <c r="NI42" s="272"/>
      <c r="NJ42" s="272"/>
      <c r="NK42" s="272"/>
      <c r="NL42" s="272"/>
      <c r="NM42" s="272"/>
      <c r="NN42" s="272"/>
      <c r="NO42" s="272"/>
      <c r="NP42" s="272"/>
      <c r="NQ42" s="272"/>
      <c r="NR42" s="272"/>
      <c r="NS42" s="272"/>
      <c r="NT42" s="272"/>
      <c r="NU42" s="272"/>
      <c r="NV42" s="272"/>
      <c r="NW42" s="272"/>
      <c r="NX42" s="272"/>
      <c r="NY42" s="272"/>
      <c r="NZ42" s="272"/>
      <c r="OA42" s="272"/>
      <c r="OB42" s="272"/>
      <c r="OC42" s="272"/>
      <c r="OD42" s="272"/>
      <c r="OE42" s="272"/>
      <c r="OF42" s="272"/>
      <c r="OG42" s="272"/>
      <c r="OH42" s="272"/>
      <c r="OI42" s="272"/>
      <c r="OJ42" s="272"/>
      <c r="OK42" s="272"/>
      <c r="OL42" s="272"/>
      <c r="OM42" s="272"/>
      <c r="ON42" s="272"/>
      <c r="OO42" s="272"/>
      <c r="OP42" s="272"/>
      <c r="OQ42" s="272"/>
      <c r="OR42" s="272"/>
      <c r="OS42" s="272"/>
      <c r="OT42" s="272"/>
      <c r="OU42" s="272"/>
      <c r="OV42" s="272"/>
      <c r="OW42" s="272"/>
      <c r="OX42" s="272"/>
      <c r="OY42" s="272"/>
      <c r="OZ42" s="272"/>
      <c r="PA42" s="272"/>
      <c r="PB42" s="272"/>
      <c r="PC42" s="272"/>
      <c r="PD42" s="272"/>
      <c r="PE42" s="272"/>
      <c r="PF42" s="272"/>
      <c r="PG42" s="272"/>
      <c r="PH42" s="272"/>
      <c r="PI42" s="272"/>
      <c r="PJ42" s="272"/>
      <c r="PK42" s="272"/>
      <c r="PL42" s="272"/>
      <c r="PM42" s="272"/>
      <c r="PN42" s="272"/>
      <c r="PO42" s="272"/>
      <c r="PP42" s="272"/>
      <c r="PQ42" s="272"/>
      <c r="PR42" s="272"/>
      <c r="PS42" s="272"/>
      <c r="PT42" s="272"/>
      <c r="PU42" s="272"/>
      <c r="PV42" s="272"/>
      <c r="PW42" s="272"/>
      <c r="PX42" s="272"/>
      <c r="PY42" s="272"/>
      <c r="PZ42" s="272"/>
      <c r="QA42" s="272"/>
      <c r="QB42" s="272"/>
      <c r="QC42" s="272"/>
      <c r="QD42" s="272"/>
      <c r="QE42" s="272"/>
      <c r="QF42" s="272"/>
      <c r="QG42" s="272"/>
      <c r="QH42" s="272"/>
      <c r="QI42" s="272"/>
      <c r="QJ42" s="272"/>
      <c r="QK42" s="272"/>
      <c r="QL42" s="272"/>
      <c r="QM42" s="272"/>
      <c r="QN42" s="272"/>
      <c r="QO42" s="272"/>
      <c r="QP42" s="272"/>
      <c r="QQ42" s="272"/>
      <c r="QR42" s="272"/>
      <c r="QS42" s="272"/>
      <c r="QT42" s="272"/>
      <c r="QU42" s="272"/>
      <c r="QV42" s="272"/>
      <c r="QW42" s="272"/>
      <c r="QX42" s="272"/>
      <c r="QY42" s="272"/>
      <c r="QZ42" s="272"/>
      <c r="RA42" s="272"/>
      <c r="RB42" s="272"/>
      <c r="RC42" s="272"/>
      <c r="RD42" s="272"/>
      <c r="RE42" s="272"/>
      <c r="RF42" s="272"/>
      <c r="RG42" s="272"/>
      <c r="RH42" s="272"/>
      <c r="RI42" s="272"/>
      <c r="RJ42" s="272"/>
      <c r="RK42" s="272"/>
      <c r="RL42" s="272"/>
      <c r="RM42" s="272"/>
      <c r="RN42" s="272"/>
      <c r="RO42" s="272"/>
      <c r="RP42" s="272"/>
      <c r="RQ42" s="272"/>
      <c r="RR42" s="272"/>
      <c r="RS42" s="272"/>
      <c r="RT42" s="272"/>
      <c r="RU42" s="272"/>
      <c r="RV42" s="272"/>
      <c r="RW42" s="272"/>
      <c r="RX42" s="272"/>
      <c r="RY42" s="272"/>
      <c r="RZ42" s="272"/>
      <c r="SA42" s="272"/>
      <c r="SB42" s="272"/>
      <c r="SC42" s="272"/>
      <c r="SD42" s="272"/>
      <c r="SE42" s="272"/>
      <c r="SF42" s="272"/>
      <c r="SG42" s="272"/>
      <c r="SH42" s="272"/>
      <c r="SI42" s="272"/>
      <c r="SJ42" s="272"/>
      <c r="SK42" s="272"/>
      <c r="SL42" s="272"/>
      <c r="SM42" s="272"/>
      <c r="SN42" s="272"/>
      <c r="SO42" s="272"/>
      <c r="SP42" s="272"/>
      <c r="SQ42" s="272"/>
      <c r="SR42" s="272"/>
      <c r="SS42" s="272"/>
      <c r="ST42" s="272"/>
      <c r="SU42" s="272"/>
      <c r="SV42" s="272"/>
      <c r="SW42" s="272"/>
      <c r="SX42" s="272"/>
      <c r="SY42" s="272"/>
      <c r="SZ42" s="272"/>
      <c r="TA42" s="272"/>
      <c r="TB42" s="272"/>
      <c r="TC42" s="272"/>
      <c r="TD42" s="272"/>
      <c r="TE42" s="272"/>
      <c r="TF42" s="272"/>
      <c r="TG42" s="272"/>
      <c r="TH42" s="272"/>
      <c r="TI42" s="272"/>
      <c r="TJ42" s="272"/>
      <c r="TK42" s="272"/>
      <c r="TL42" s="272"/>
      <c r="TM42" s="272"/>
      <c r="TN42" s="272"/>
      <c r="TO42" s="272"/>
      <c r="TP42" s="272"/>
      <c r="TQ42" s="272"/>
      <c r="TR42" s="272"/>
      <c r="TS42" s="272"/>
      <c r="TT42" s="272"/>
      <c r="TU42" s="272"/>
      <c r="TV42" s="272"/>
      <c r="TW42" s="272"/>
      <c r="TX42" s="272"/>
      <c r="TY42" s="272"/>
      <c r="TZ42" s="272"/>
      <c r="UA42" s="272"/>
      <c r="UB42" s="272"/>
      <c r="UC42" s="272"/>
      <c r="UD42" s="272"/>
      <c r="UE42" s="272"/>
      <c r="UF42" s="272"/>
      <c r="UG42" s="272"/>
      <c r="UH42" s="272"/>
      <c r="UI42" s="272"/>
      <c r="UJ42" s="272"/>
      <c r="UK42" s="272"/>
      <c r="UL42" s="272"/>
      <c r="UM42" s="272"/>
      <c r="UN42" s="272"/>
      <c r="UO42" s="272"/>
      <c r="UP42" s="272"/>
      <c r="UQ42" s="272"/>
      <c r="UR42" s="272"/>
      <c r="US42" s="272"/>
      <c r="UT42" s="272"/>
      <c r="UU42" s="272"/>
      <c r="UV42" s="272"/>
      <c r="UW42" s="272"/>
      <c r="UX42" s="272"/>
      <c r="UY42" s="272"/>
      <c r="UZ42" s="272"/>
      <c r="VA42" s="272"/>
      <c r="VB42" s="272"/>
      <c r="VC42" s="272"/>
      <c r="VD42" s="272"/>
      <c r="VE42" s="272"/>
      <c r="VF42" s="272"/>
      <c r="VG42" s="272"/>
      <c r="VH42" s="272"/>
      <c r="VI42" s="272"/>
      <c r="VJ42" s="272"/>
      <c r="VK42" s="272"/>
      <c r="VL42" s="272"/>
      <c r="VM42" s="272"/>
      <c r="VN42" s="272"/>
      <c r="VO42" s="272"/>
      <c r="VP42" s="272"/>
      <c r="VQ42" s="272"/>
      <c r="VR42" s="272"/>
      <c r="VS42" s="272"/>
      <c r="VT42" s="272"/>
      <c r="VU42" s="272"/>
      <c r="VV42" s="272"/>
      <c r="VW42" s="272"/>
      <c r="VX42" s="272"/>
      <c r="VY42" s="272"/>
      <c r="VZ42" s="272"/>
      <c r="WA42" s="272"/>
      <c r="WB42" s="272"/>
      <c r="WC42" s="272"/>
      <c r="WD42" s="272"/>
      <c r="WE42" s="272"/>
      <c r="WF42" s="272"/>
      <c r="WG42" s="272"/>
      <c r="WH42" s="272"/>
      <c r="WI42" s="272"/>
      <c r="WJ42" s="272"/>
      <c r="WK42" s="272"/>
      <c r="WL42" s="272"/>
      <c r="WM42" s="272"/>
      <c r="WN42" s="272"/>
      <c r="WO42" s="272"/>
      <c r="WP42" s="272"/>
      <c r="WQ42" s="272"/>
      <c r="WR42" s="272"/>
      <c r="WS42" s="272"/>
      <c r="WT42" s="272"/>
      <c r="WU42" s="272"/>
      <c r="WV42" s="272"/>
      <c r="WW42" s="272"/>
      <c r="WX42" s="272"/>
      <c r="WY42" s="272"/>
      <c r="WZ42" s="272"/>
      <c r="XA42" s="272"/>
      <c r="XB42" s="272"/>
      <c r="XC42" s="272"/>
      <c r="XD42" s="272"/>
      <c r="XE42" s="272"/>
      <c r="XF42" s="272"/>
      <c r="XG42" s="272"/>
      <c r="XH42" s="272"/>
      <c r="XI42" s="272"/>
      <c r="XJ42" s="272"/>
      <c r="XK42" s="272"/>
      <c r="XL42" s="272"/>
      <c r="XM42" s="272"/>
      <c r="XN42" s="272"/>
      <c r="XO42" s="272"/>
      <c r="XP42" s="272"/>
      <c r="XQ42" s="272"/>
      <c r="XR42" s="272"/>
      <c r="XS42" s="272"/>
      <c r="XT42" s="272"/>
      <c r="XU42" s="272"/>
      <c r="XV42" s="272"/>
      <c r="XW42" s="272"/>
      <c r="XX42" s="272"/>
      <c r="XY42" s="272"/>
      <c r="XZ42" s="272"/>
      <c r="YA42" s="272"/>
      <c r="YB42" s="272"/>
      <c r="YC42" s="272"/>
      <c r="YD42" s="272"/>
      <c r="YE42" s="272"/>
      <c r="YF42" s="272"/>
      <c r="YG42" s="272"/>
      <c r="YH42" s="272"/>
      <c r="YI42" s="272"/>
      <c r="YJ42" s="272"/>
      <c r="YK42" s="272"/>
      <c r="YL42" s="272"/>
      <c r="YM42" s="272"/>
      <c r="YN42" s="272"/>
      <c r="YO42" s="272"/>
      <c r="YP42" s="272"/>
      <c r="YQ42" s="272"/>
      <c r="YR42" s="272"/>
      <c r="YS42" s="272"/>
      <c r="YT42" s="272"/>
      <c r="YU42" s="272"/>
      <c r="YV42" s="272"/>
      <c r="YW42" s="272"/>
      <c r="YX42" s="272"/>
      <c r="YY42" s="272"/>
      <c r="YZ42" s="272"/>
      <c r="ZA42" s="272"/>
      <c r="ZB42" s="272"/>
      <c r="ZC42" s="272"/>
      <c r="ZD42" s="272"/>
      <c r="ZE42" s="272"/>
      <c r="ZF42" s="272"/>
      <c r="ZG42" s="272"/>
      <c r="ZH42" s="272"/>
      <c r="ZI42" s="272"/>
      <c r="ZJ42" s="272"/>
      <c r="ZK42" s="272"/>
      <c r="ZL42" s="272"/>
      <c r="ZM42" s="272"/>
      <c r="ZN42" s="272"/>
      <c r="ZO42" s="272"/>
      <c r="ZP42" s="272"/>
      <c r="ZQ42" s="272"/>
      <c r="ZR42" s="272"/>
      <c r="ZS42" s="272"/>
      <c r="ZT42" s="272"/>
      <c r="ZU42" s="272"/>
      <c r="ZV42" s="272"/>
      <c r="ZW42" s="272"/>
      <c r="ZX42" s="272"/>
      <c r="ZY42" s="272"/>
      <c r="ZZ42" s="272"/>
      <c r="AAA42" s="272"/>
      <c r="AAB42" s="272"/>
      <c r="AAC42" s="272"/>
      <c r="AAD42" s="272"/>
      <c r="AAE42" s="272"/>
      <c r="AAF42" s="272"/>
      <c r="AAG42" s="272"/>
      <c r="AAH42" s="272"/>
      <c r="AAI42" s="272"/>
      <c r="AAJ42" s="272"/>
      <c r="AAK42" s="272"/>
      <c r="AAL42" s="272"/>
      <c r="AAM42" s="272"/>
      <c r="AAN42" s="272"/>
      <c r="AAO42" s="272"/>
      <c r="AAP42" s="272"/>
      <c r="AAQ42" s="272"/>
      <c r="AAR42" s="272"/>
      <c r="AAS42" s="272"/>
      <c r="AAT42" s="272"/>
      <c r="AAU42" s="272"/>
      <c r="AAV42" s="272"/>
      <c r="AAW42" s="272"/>
      <c r="AAX42" s="272"/>
      <c r="AAY42" s="272"/>
      <c r="AAZ42" s="272"/>
      <c r="ABA42" s="272"/>
      <c r="ABB42" s="272"/>
      <c r="ABC42" s="272"/>
      <c r="ABD42" s="272"/>
      <c r="ABE42" s="272"/>
      <c r="ABF42" s="272"/>
      <c r="ABG42" s="272"/>
    </row>
    <row r="43" spans="1:735" s="62" customFormat="1" ht="13.5" thickBot="1">
      <c r="A43" s="73"/>
      <c r="B43" s="609"/>
      <c r="C43" s="28" t="s">
        <v>54</v>
      </c>
      <c r="D43" s="513"/>
      <c r="E43" s="514"/>
      <c r="F43" s="515"/>
      <c r="G43" s="516"/>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2"/>
      <c r="DK43" s="272"/>
      <c r="DL43" s="272"/>
      <c r="DM43" s="272"/>
      <c r="DN43" s="272"/>
      <c r="DO43" s="272"/>
      <c r="DP43" s="272"/>
      <c r="DQ43" s="272"/>
      <c r="DR43" s="272"/>
      <c r="DS43" s="272"/>
      <c r="DT43" s="272"/>
      <c r="DU43" s="272"/>
      <c r="DV43" s="272"/>
      <c r="DW43" s="272"/>
      <c r="DX43" s="272"/>
      <c r="DY43" s="272"/>
      <c r="DZ43" s="272"/>
      <c r="EA43" s="272"/>
      <c r="EB43" s="272"/>
      <c r="EC43" s="272"/>
      <c r="ED43" s="272"/>
      <c r="EE43" s="272"/>
      <c r="EF43" s="272"/>
      <c r="EG43" s="272"/>
      <c r="EH43" s="272"/>
      <c r="EI43" s="272"/>
      <c r="EJ43" s="272"/>
      <c r="EK43" s="272"/>
      <c r="EL43" s="272"/>
      <c r="EM43" s="272"/>
      <c r="EN43" s="272"/>
      <c r="EO43" s="272"/>
      <c r="EP43" s="272"/>
      <c r="EQ43" s="272"/>
      <c r="ER43" s="272"/>
      <c r="ES43" s="272"/>
      <c r="ET43" s="272"/>
      <c r="EU43" s="272"/>
      <c r="EV43" s="272"/>
      <c r="EW43" s="272"/>
      <c r="EX43" s="272"/>
      <c r="EY43" s="272"/>
      <c r="EZ43" s="272"/>
      <c r="FA43" s="272"/>
      <c r="FB43" s="272"/>
      <c r="FC43" s="272"/>
      <c r="FD43" s="272"/>
      <c r="FE43" s="272"/>
      <c r="FF43" s="272"/>
      <c r="FG43" s="272"/>
      <c r="FH43" s="272"/>
      <c r="FI43" s="272"/>
      <c r="FJ43" s="272"/>
      <c r="FK43" s="272"/>
      <c r="FL43" s="272"/>
      <c r="FM43" s="272"/>
      <c r="FN43" s="272"/>
      <c r="FO43" s="272"/>
      <c r="FP43" s="272"/>
      <c r="FQ43" s="272"/>
      <c r="FR43" s="272"/>
      <c r="FS43" s="272"/>
      <c r="FT43" s="272"/>
      <c r="FU43" s="272"/>
      <c r="FV43" s="272"/>
      <c r="FW43" s="272"/>
      <c r="FX43" s="272"/>
      <c r="FY43" s="272"/>
      <c r="FZ43" s="272"/>
      <c r="GA43" s="272"/>
      <c r="GB43" s="272"/>
      <c r="GC43" s="272"/>
      <c r="GD43" s="272"/>
      <c r="GE43" s="272"/>
      <c r="GF43" s="272"/>
      <c r="GG43" s="272"/>
      <c r="GH43" s="272"/>
      <c r="GI43" s="272"/>
      <c r="GJ43" s="272"/>
      <c r="GK43" s="272"/>
      <c r="GL43" s="272"/>
      <c r="GM43" s="272"/>
      <c r="GN43" s="272"/>
      <c r="GO43" s="272"/>
      <c r="GP43" s="272"/>
      <c r="GQ43" s="272"/>
      <c r="GR43" s="272"/>
      <c r="GS43" s="272"/>
      <c r="GT43" s="272"/>
      <c r="GU43" s="272"/>
      <c r="GV43" s="272"/>
      <c r="GW43" s="272"/>
      <c r="GX43" s="272"/>
      <c r="GY43" s="272"/>
      <c r="GZ43" s="272"/>
      <c r="HA43" s="272"/>
      <c r="HB43" s="272"/>
      <c r="HC43" s="272"/>
      <c r="HD43" s="272"/>
      <c r="HE43" s="272"/>
      <c r="HF43" s="272"/>
      <c r="HG43" s="272"/>
      <c r="HH43" s="272"/>
      <c r="HI43" s="272"/>
      <c r="HJ43" s="272"/>
      <c r="HK43" s="272"/>
      <c r="HL43" s="272"/>
      <c r="HM43" s="272"/>
      <c r="HN43" s="272"/>
      <c r="HO43" s="272"/>
      <c r="HP43" s="272"/>
      <c r="HQ43" s="272"/>
      <c r="HR43" s="272"/>
      <c r="HS43" s="272"/>
      <c r="HT43" s="272"/>
      <c r="HU43" s="272"/>
      <c r="HV43" s="272"/>
      <c r="HW43" s="272"/>
      <c r="HX43" s="272"/>
      <c r="HY43" s="272"/>
      <c r="HZ43" s="272"/>
      <c r="IA43" s="272"/>
      <c r="IB43" s="272"/>
      <c r="IC43" s="272"/>
      <c r="ID43" s="272"/>
      <c r="IE43" s="272"/>
      <c r="IF43" s="272"/>
      <c r="IG43" s="272"/>
      <c r="IH43" s="272"/>
      <c r="II43" s="272"/>
      <c r="IJ43" s="272"/>
      <c r="IK43" s="272"/>
      <c r="IL43" s="272"/>
      <c r="IM43" s="272"/>
      <c r="IN43" s="272"/>
      <c r="IO43" s="272"/>
      <c r="IP43" s="272"/>
      <c r="IQ43" s="272"/>
      <c r="IR43" s="272"/>
      <c r="IS43" s="272"/>
      <c r="IT43" s="272"/>
      <c r="IU43" s="272"/>
      <c r="IV43" s="272"/>
      <c r="IW43" s="272"/>
      <c r="IX43" s="272"/>
      <c r="IY43" s="272"/>
      <c r="IZ43" s="272"/>
      <c r="JA43" s="272"/>
      <c r="JB43" s="272"/>
      <c r="JC43" s="272"/>
      <c r="JD43" s="272"/>
      <c r="JE43" s="272"/>
      <c r="JF43" s="272"/>
      <c r="JG43" s="272"/>
      <c r="JH43" s="272"/>
      <c r="JI43" s="272"/>
      <c r="JJ43" s="272"/>
      <c r="JK43" s="272"/>
      <c r="JL43" s="272"/>
      <c r="JM43" s="272"/>
      <c r="JN43" s="272"/>
      <c r="JO43" s="272"/>
      <c r="JP43" s="272"/>
      <c r="JQ43" s="272"/>
      <c r="JR43" s="272"/>
      <c r="JS43" s="272"/>
      <c r="JT43" s="272"/>
      <c r="JU43" s="272"/>
      <c r="JV43" s="272"/>
      <c r="JW43" s="272"/>
      <c r="JX43" s="272"/>
      <c r="JY43" s="272"/>
      <c r="JZ43" s="272"/>
      <c r="KA43" s="272"/>
      <c r="KB43" s="272"/>
      <c r="KC43" s="272"/>
      <c r="KD43" s="272"/>
      <c r="KE43" s="272"/>
      <c r="KF43" s="272"/>
      <c r="KG43" s="272"/>
      <c r="KH43" s="272"/>
      <c r="KI43" s="272"/>
      <c r="KJ43" s="272"/>
      <c r="KK43" s="272"/>
      <c r="KL43" s="272"/>
      <c r="KM43" s="272"/>
      <c r="KN43" s="272"/>
      <c r="KO43" s="272"/>
      <c r="KP43" s="272"/>
      <c r="KQ43" s="272"/>
      <c r="KR43" s="272"/>
      <c r="KS43" s="272"/>
      <c r="KT43" s="272"/>
      <c r="KU43" s="272"/>
      <c r="KV43" s="272"/>
      <c r="KW43" s="272"/>
      <c r="KX43" s="272"/>
      <c r="KY43" s="272"/>
      <c r="KZ43" s="272"/>
      <c r="LA43" s="272"/>
      <c r="LB43" s="272"/>
      <c r="LC43" s="272"/>
      <c r="LD43" s="272"/>
      <c r="LE43" s="272"/>
      <c r="LF43" s="272"/>
      <c r="LG43" s="272"/>
      <c r="LH43" s="272"/>
      <c r="LI43" s="272"/>
      <c r="LJ43" s="272"/>
      <c r="LK43" s="272"/>
      <c r="LL43" s="272"/>
      <c r="LM43" s="272"/>
      <c r="LN43" s="272"/>
      <c r="LO43" s="272"/>
      <c r="LP43" s="272"/>
      <c r="LQ43" s="272"/>
      <c r="LR43" s="272"/>
      <c r="LS43" s="272"/>
      <c r="LT43" s="272"/>
      <c r="LU43" s="272"/>
      <c r="LV43" s="272"/>
      <c r="LW43" s="272"/>
      <c r="LX43" s="272"/>
      <c r="LY43" s="272"/>
      <c r="LZ43" s="272"/>
      <c r="MA43" s="272"/>
      <c r="MB43" s="272"/>
      <c r="MC43" s="272"/>
      <c r="MD43" s="272"/>
      <c r="ME43" s="272"/>
      <c r="MF43" s="272"/>
      <c r="MG43" s="272"/>
      <c r="MH43" s="272"/>
      <c r="MI43" s="272"/>
      <c r="MJ43" s="272"/>
      <c r="MK43" s="272"/>
      <c r="ML43" s="272"/>
      <c r="MM43" s="272"/>
      <c r="MN43" s="272"/>
      <c r="MO43" s="272"/>
      <c r="MP43" s="272"/>
      <c r="MQ43" s="272"/>
      <c r="MR43" s="272"/>
      <c r="MS43" s="272"/>
      <c r="MT43" s="272"/>
      <c r="MU43" s="272"/>
      <c r="MV43" s="272"/>
      <c r="MW43" s="272"/>
      <c r="MX43" s="272"/>
      <c r="MY43" s="272"/>
      <c r="MZ43" s="272"/>
      <c r="NA43" s="272"/>
      <c r="NB43" s="272"/>
      <c r="NC43" s="272"/>
      <c r="ND43" s="272"/>
      <c r="NE43" s="272"/>
      <c r="NF43" s="272"/>
      <c r="NG43" s="272"/>
      <c r="NH43" s="272"/>
      <c r="NI43" s="272"/>
      <c r="NJ43" s="272"/>
      <c r="NK43" s="272"/>
      <c r="NL43" s="272"/>
      <c r="NM43" s="272"/>
      <c r="NN43" s="272"/>
      <c r="NO43" s="272"/>
      <c r="NP43" s="272"/>
      <c r="NQ43" s="272"/>
      <c r="NR43" s="272"/>
      <c r="NS43" s="272"/>
      <c r="NT43" s="272"/>
      <c r="NU43" s="272"/>
      <c r="NV43" s="272"/>
      <c r="NW43" s="272"/>
      <c r="NX43" s="272"/>
      <c r="NY43" s="272"/>
      <c r="NZ43" s="272"/>
      <c r="OA43" s="272"/>
      <c r="OB43" s="272"/>
      <c r="OC43" s="272"/>
      <c r="OD43" s="272"/>
      <c r="OE43" s="272"/>
      <c r="OF43" s="272"/>
      <c r="OG43" s="272"/>
      <c r="OH43" s="272"/>
      <c r="OI43" s="272"/>
      <c r="OJ43" s="272"/>
      <c r="OK43" s="272"/>
      <c r="OL43" s="272"/>
      <c r="OM43" s="272"/>
      <c r="ON43" s="272"/>
      <c r="OO43" s="272"/>
      <c r="OP43" s="272"/>
      <c r="OQ43" s="272"/>
      <c r="OR43" s="272"/>
      <c r="OS43" s="272"/>
      <c r="OT43" s="272"/>
      <c r="OU43" s="272"/>
      <c r="OV43" s="272"/>
      <c r="OW43" s="272"/>
      <c r="OX43" s="272"/>
      <c r="OY43" s="272"/>
      <c r="OZ43" s="272"/>
      <c r="PA43" s="272"/>
      <c r="PB43" s="272"/>
      <c r="PC43" s="272"/>
      <c r="PD43" s="272"/>
      <c r="PE43" s="272"/>
      <c r="PF43" s="272"/>
      <c r="PG43" s="272"/>
      <c r="PH43" s="272"/>
      <c r="PI43" s="272"/>
      <c r="PJ43" s="272"/>
      <c r="PK43" s="272"/>
      <c r="PL43" s="272"/>
      <c r="PM43" s="272"/>
      <c r="PN43" s="272"/>
      <c r="PO43" s="272"/>
      <c r="PP43" s="272"/>
      <c r="PQ43" s="272"/>
      <c r="PR43" s="272"/>
      <c r="PS43" s="272"/>
      <c r="PT43" s="272"/>
      <c r="PU43" s="272"/>
      <c r="PV43" s="272"/>
      <c r="PW43" s="272"/>
      <c r="PX43" s="272"/>
      <c r="PY43" s="272"/>
      <c r="PZ43" s="272"/>
      <c r="QA43" s="272"/>
      <c r="QB43" s="272"/>
      <c r="QC43" s="272"/>
      <c r="QD43" s="272"/>
      <c r="QE43" s="272"/>
      <c r="QF43" s="272"/>
      <c r="QG43" s="272"/>
      <c r="QH43" s="272"/>
      <c r="QI43" s="272"/>
      <c r="QJ43" s="272"/>
      <c r="QK43" s="272"/>
      <c r="QL43" s="272"/>
      <c r="QM43" s="272"/>
      <c r="QN43" s="272"/>
      <c r="QO43" s="272"/>
      <c r="QP43" s="272"/>
      <c r="QQ43" s="272"/>
      <c r="QR43" s="272"/>
      <c r="QS43" s="272"/>
      <c r="QT43" s="272"/>
      <c r="QU43" s="272"/>
      <c r="QV43" s="272"/>
      <c r="QW43" s="272"/>
      <c r="QX43" s="272"/>
      <c r="QY43" s="272"/>
      <c r="QZ43" s="272"/>
      <c r="RA43" s="272"/>
      <c r="RB43" s="272"/>
      <c r="RC43" s="272"/>
      <c r="RD43" s="272"/>
      <c r="RE43" s="272"/>
      <c r="RF43" s="272"/>
      <c r="RG43" s="272"/>
      <c r="RH43" s="272"/>
      <c r="RI43" s="272"/>
      <c r="RJ43" s="272"/>
      <c r="RK43" s="272"/>
      <c r="RL43" s="272"/>
      <c r="RM43" s="272"/>
      <c r="RN43" s="272"/>
      <c r="RO43" s="272"/>
      <c r="RP43" s="272"/>
      <c r="RQ43" s="272"/>
      <c r="RR43" s="272"/>
      <c r="RS43" s="272"/>
      <c r="RT43" s="272"/>
      <c r="RU43" s="272"/>
      <c r="RV43" s="272"/>
      <c r="RW43" s="272"/>
      <c r="RX43" s="272"/>
      <c r="RY43" s="272"/>
      <c r="RZ43" s="272"/>
      <c r="SA43" s="272"/>
      <c r="SB43" s="272"/>
      <c r="SC43" s="272"/>
      <c r="SD43" s="272"/>
      <c r="SE43" s="272"/>
      <c r="SF43" s="272"/>
      <c r="SG43" s="272"/>
      <c r="SH43" s="272"/>
      <c r="SI43" s="272"/>
      <c r="SJ43" s="272"/>
      <c r="SK43" s="272"/>
      <c r="SL43" s="272"/>
      <c r="SM43" s="272"/>
      <c r="SN43" s="272"/>
      <c r="SO43" s="272"/>
      <c r="SP43" s="272"/>
      <c r="SQ43" s="272"/>
      <c r="SR43" s="272"/>
      <c r="SS43" s="272"/>
      <c r="ST43" s="272"/>
      <c r="SU43" s="272"/>
      <c r="SV43" s="272"/>
      <c r="SW43" s="272"/>
      <c r="SX43" s="272"/>
      <c r="SY43" s="272"/>
      <c r="SZ43" s="272"/>
      <c r="TA43" s="272"/>
      <c r="TB43" s="272"/>
      <c r="TC43" s="272"/>
      <c r="TD43" s="272"/>
      <c r="TE43" s="272"/>
      <c r="TF43" s="272"/>
      <c r="TG43" s="272"/>
      <c r="TH43" s="272"/>
      <c r="TI43" s="272"/>
      <c r="TJ43" s="272"/>
      <c r="TK43" s="272"/>
      <c r="TL43" s="272"/>
      <c r="TM43" s="272"/>
      <c r="TN43" s="272"/>
      <c r="TO43" s="272"/>
      <c r="TP43" s="272"/>
      <c r="TQ43" s="272"/>
      <c r="TR43" s="272"/>
      <c r="TS43" s="272"/>
      <c r="TT43" s="272"/>
      <c r="TU43" s="272"/>
      <c r="TV43" s="272"/>
      <c r="TW43" s="272"/>
      <c r="TX43" s="272"/>
      <c r="TY43" s="272"/>
      <c r="TZ43" s="272"/>
      <c r="UA43" s="272"/>
      <c r="UB43" s="272"/>
      <c r="UC43" s="272"/>
      <c r="UD43" s="272"/>
      <c r="UE43" s="272"/>
      <c r="UF43" s="272"/>
      <c r="UG43" s="272"/>
      <c r="UH43" s="272"/>
      <c r="UI43" s="272"/>
      <c r="UJ43" s="272"/>
      <c r="UK43" s="272"/>
      <c r="UL43" s="272"/>
      <c r="UM43" s="272"/>
      <c r="UN43" s="272"/>
      <c r="UO43" s="272"/>
      <c r="UP43" s="272"/>
      <c r="UQ43" s="272"/>
      <c r="UR43" s="272"/>
      <c r="US43" s="272"/>
      <c r="UT43" s="272"/>
      <c r="UU43" s="272"/>
      <c r="UV43" s="272"/>
      <c r="UW43" s="272"/>
      <c r="UX43" s="272"/>
      <c r="UY43" s="272"/>
      <c r="UZ43" s="272"/>
      <c r="VA43" s="272"/>
      <c r="VB43" s="272"/>
      <c r="VC43" s="272"/>
      <c r="VD43" s="272"/>
      <c r="VE43" s="272"/>
      <c r="VF43" s="272"/>
      <c r="VG43" s="272"/>
      <c r="VH43" s="272"/>
      <c r="VI43" s="272"/>
      <c r="VJ43" s="272"/>
      <c r="VK43" s="272"/>
      <c r="VL43" s="272"/>
      <c r="VM43" s="272"/>
      <c r="VN43" s="272"/>
      <c r="VO43" s="272"/>
      <c r="VP43" s="272"/>
      <c r="VQ43" s="272"/>
      <c r="VR43" s="272"/>
      <c r="VS43" s="272"/>
      <c r="VT43" s="272"/>
      <c r="VU43" s="272"/>
      <c r="VV43" s="272"/>
      <c r="VW43" s="272"/>
      <c r="VX43" s="272"/>
      <c r="VY43" s="272"/>
      <c r="VZ43" s="272"/>
      <c r="WA43" s="272"/>
      <c r="WB43" s="272"/>
      <c r="WC43" s="272"/>
      <c r="WD43" s="272"/>
      <c r="WE43" s="272"/>
      <c r="WF43" s="272"/>
      <c r="WG43" s="272"/>
      <c r="WH43" s="272"/>
      <c r="WI43" s="272"/>
      <c r="WJ43" s="272"/>
      <c r="WK43" s="272"/>
      <c r="WL43" s="272"/>
      <c r="WM43" s="272"/>
      <c r="WN43" s="272"/>
      <c r="WO43" s="272"/>
      <c r="WP43" s="272"/>
      <c r="WQ43" s="272"/>
      <c r="WR43" s="272"/>
      <c r="WS43" s="272"/>
      <c r="WT43" s="272"/>
      <c r="WU43" s="272"/>
      <c r="WV43" s="272"/>
      <c r="WW43" s="272"/>
      <c r="WX43" s="272"/>
      <c r="WY43" s="272"/>
      <c r="WZ43" s="272"/>
      <c r="XA43" s="272"/>
      <c r="XB43" s="272"/>
      <c r="XC43" s="272"/>
      <c r="XD43" s="272"/>
      <c r="XE43" s="272"/>
      <c r="XF43" s="272"/>
      <c r="XG43" s="272"/>
      <c r="XH43" s="272"/>
      <c r="XI43" s="272"/>
      <c r="XJ43" s="272"/>
      <c r="XK43" s="272"/>
      <c r="XL43" s="272"/>
      <c r="XM43" s="272"/>
      <c r="XN43" s="272"/>
      <c r="XO43" s="272"/>
      <c r="XP43" s="272"/>
      <c r="XQ43" s="272"/>
      <c r="XR43" s="272"/>
      <c r="XS43" s="272"/>
      <c r="XT43" s="272"/>
      <c r="XU43" s="272"/>
      <c r="XV43" s="272"/>
      <c r="XW43" s="272"/>
      <c r="XX43" s="272"/>
      <c r="XY43" s="272"/>
      <c r="XZ43" s="272"/>
      <c r="YA43" s="272"/>
      <c r="YB43" s="272"/>
      <c r="YC43" s="272"/>
      <c r="YD43" s="272"/>
      <c r="YE43" s="272"/>
      <c r="YF43" s="272"/>
      <c r="YG43" s="272"/>
      <c r="YH43" s="272"/>
      <c r="YI43" s="272"/>
      <c r="YJ43" s="272"/>
      <c r="YK43" s="272"/>
      <c r="YL43" s="272"/>
      <c r="YM43" s="272"/>
      <c r="YN43" s="272"/>
      <c r="YO43" s="272"/>
      <c r="YP43" s="272"/>
      <c r="YQ43" s="272"/>
      <c r="YR43" s="272"/>
      <c r="YS43" s="272"/>
      <c r="YT43" s="272"/>
      <c r="YU43" s="272"/>
      <c r="YV43" s="272"/>
      <c r="YW43" s="272"/>
      <c r="YX43" s="272"/>
      <c r="YY43" s="272"/>
      <c r="YZ43" s="272"/>
      <c r="ZA43" s="272"/>
      <c r="ZB43" s="272"/>
      <c r="ZC43" s="272"/>
      <c r="ZD43" s="272"/>
      <c r="ZE43" s="272"/>
      <c r="ZF43" s="272"/>
      <c r="ZG43" s="272"/>
      <c r="ZH43" s="272"/>
      <c r="ZI43" s="272"/>
      <c r="ZJ43" s="272"/>
      <c r="ZK43" s="272"/>
      <c r="ZL43" s="272"/>
      <c r="ZM43" s="272"/>
      <c r="ZN43" s="272"/>
      <c r="ZO43" s="272"/>
      <c r="ZP43" s="272"/>
      <c r="ZQ43" s="272"/>
      <c r="ZR43" s="272"/>
      <c r="ZS43" s="272"/>
      <c r="ZT43" s="272"/>
      <c r="ZU43" s="272"/>
      <c r="ZV43" s="272"/>
      <c r="ZW43" s="272"/>
      <c r="ZX43" s="272"/>
      <c r="ZY43" s="272"/>
      <c r="ZZ43" s="272"/>
      <c r="AAA43" s="272"/>
      <c r="AAB43" s="272"/>
      <c r="AAC43" s="272"/>
      <c r="AAD43" s="272"/>
      <c r="AAE43" s="272"/>
      <c r="AAF43" s="272"/>
      <c r="AAG43" s="272"/>
      <c r="AAH43" s="272"/>
      <c r="AAI43" s="272"/>
      <c r="AAJ43" s="272"/>
      <c r="AAK43" s="272"/>
      <c r="AAL43" s="272"/>
      <c r="AAM43" s="272"/>
      <c r="AAN43" s="272"/>
      <c r="AAO43" s="272"/>
      <c r="AAP43" s="272"/>
      <c r="AAQ43" s="272"/>
      <c r="AAR43" s="272"/>
      <c r="AAS43" s="272"/>
      <c r="AAT43" s="272"/>
      <c r="AAU43" s="272"/>
      <c r="AAV43" s="272"/>
      <c r="AAW43" s="272"/>
      <c r="AAX43" s="272"/>
      <c r="AAY43" s="272"/>
      <c r="AAZ43" s="272"/>
      <c r="ABA43" s="272"/>
      <c r="ABB43" s="272"/>
      <c r="ABC43" s="272"/>
      <c r="ABD43" s="272"/>
      <c r="ABE43" s="272"/>
      <c r="ABF43" s="272"/>
      <c r="ABG43" s="272"/>
    </row>
    <row r="44" spans="1:735" s="61" customFormat="1" ht="38.25">
      <c r="A44" s="46" t="s">
        <v>40</v>
      </c>
      <c r="B44" s="68" t="s">
        <v>25</v>
      </c>
      <c r="C44" s="30" t="s">
        <v>52</v>
      </c>
      <c r="D44" s="501"/>
      <c r="E44" s="502"/>
      <c r="F44" s="503"/>
      <c r="G44" s="504"/>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c r="DJ44" s="272"/>
      <c r="DK44" s="272"/>
      <c r="DL44" s="272"/>
      <c r="DM44" s="272"/>
      <c r="DN44" s="272"/>
      <c r="DO44" s="272"/>
      <c r="DP44" s="272"/>
      <c r="DQ44" s="272"/>
      <c r="DR44" s="272"/>
      <c r="DS44" s="272"/>
      <c r="DT44" s="272"/>
      <c r="DU44" s="272"/>
      <c r="DV44" s="272"/>
      <c r="DW44" s="272"/>
      <c r="DX44" s="272"/>
      <c r="DY44" s="272"/>
      <c r="DZ44" s="272"/>
      <c r="EA44" s="272"/>
      <c r="EB44" s="272"/>
      <c r="EC44" s="272"/>
      <c r="ED44" s="272"/>
      <c r="EE44" s="272"/>
      <c r="EF44" s="272"/>
      <c r="EG44" s="272"/>
      <c r="EH44" s="272"/>
      <c r="EI44" s="272"/>
      <c r="EJ44" s="272"/>
      <c r="EK44" s="272"/>
      <c r="EL44" s="272"/>
      <c r="EM44" s="272"/>
      <c r="EN44" s="272"/>
      <c r="EO44" s="272"/>
      <c r="EP44" s="272"/>
      <c r="EQ44" s="272"/>
      <c r="ER44" s="272"/>
      <c r="ES44" s="272"/>
      <c r="ET44" s="272"/>
      <c r="EU44" s="272"/>
      <c r="EV44" s="272"/>
      <c r="EW44" s="272"/>
      <c r="EX44" s="272"/>
      <c r="EY44" s="272"/>
      <c r="EZ44" s="272"/>
      <c r="FA44" s="272"/>
      <c r="FB44" s="272"/>
      <c r="FC44" s="272"/>
      <c r="FD44" s="272"/>
      <c r="FE44" s="272"/>
      <c r="FF44" s="272"/>
      <c r="FG44" s="272"/>
      <c r="FH44" s="272"/>
      <c r="FI44" s="272"/>
      <c r="FJ44" s="272"/>
      <c r="FK44" s="272"/>
      <c r="FL44" s="272"/>
      <c r="FM44" s="272"/>
      <c r="FN44" s="272"/>
      <c r="FO44" s="272"/>
      <c r="FP44" s="272"/>
      <c r="FQ44" s="272"/>
      <c r="FR44" s="272"/>
      <c r="FS44" s="272"/>
      <c r="FT44" s="272"/>
      <c r="FU44" s="272"/>
      <c r="FV44" s="272"/>
      <c r="FW44" s="272"/>
      <c r="FX44" s="272"/>
      <c r="FY44" s="272"/>
      <c r="FZ44" s="272"/>
      <c r="GA44" s="272"/>
      <c r="GB44" s="272"/>
      <c r="GC44" s="272"/>
      <c r="GD44" s="272"/>
      <c r="GE44" s="272"/>
      <c r="GF44" s="272"/>
      <c r="GG44" s="272"/>
      <c r="GH44" s="272"/>
      <c r="GI44" s="272"/>
      <c r="GJ44" s="272"/>
      <c r="GK44" s="272"/>
      <c r="GL44" s="272"/>
      <c r="GM44" s="272"/>
      <c r="GN44" s="272"/>
      <c r="GO44" s="272"/>
      <c r="GP44" s="272"/>
      <c r="GQ44" s="272"/>
      <c r="GR44" s="272"/>
      <c r="GS44" s="272"/>
      <c r="GT44" s="272"/>
      <c r="GU44" s="272"/>
      <c r="GV44" s="272"/>
      <c r="GW44" s="272"/>
      <c r="GX44" s="272"/>
      <c r="GY44" s="272"/>
      <c r="GZ44" s="272"/>
      <c r="HA44" s="272"/>
      <c r="HB44" s="272"/>
      <c r="HC44" s="272"/>
      <c r="HD44" s="272"/>
      <c r="HE44" s="272"/>
      <c r="HF44" s="272"/>
      <c r="HG44" s="272"/>
      <c r="HH44" s="272"/>
      <c r="HI44" s="272"/>
      <c r="HJ44" s="272"/>
      <c r="HK44" s="272"/>
      <c r="HL44" s="272"/>
      <c r="HM44" s="272"/>
      <c r="HN44" s="272"/>
      <c r="HO44" s="272"/>
      <c r="HP44" s="272"/>
      <c r="HQ44" s="272"/>
      <c r="HR44" s="272"/>
      <c r="HS44" s="272"/>
      <c r="HT44" s="272"/>
      <c r="HU44" s="272"/>
      <c r="HV44" s="272"/>
      <c r="HW44" s="272"/>
      <c r="HX44" s="272"/>
      <c r="HY44" s="272"/>
      <c r="HZ44" s="272"/>
      <c r="IA44" s="272"/>
      <c r="IB44" s="272"/>
      <c r="IC44" s="272"/>
      <c r="ID44" s="272"/>
      <c r="IE44" s="272"/>
      <c r="IF44" s="272"/>
      <c r="IG44" s="272"/>
      <c r="IH44" s="272"/>
      <c r="II44" s="272"/>
      <c r="IJ44" s="272"/>
      <c r="IK44" s="272"/>
      <c r="IL44" s="272"/>
      <c r="IM44" s="272"/>
      <c r="IN44" s="272"/>
      <c r="IO44" s="272"/>
      <c r="IP44" s="272"/>
      <c r="IQ44" s="272"/>
      <c r="IR44" s="272"/>
      <c r="IS44" s="272"/>
      <c r="IT44" s="272"/>
      <c r="IU44" s="272"/>
      <c r="IV44" s="272"/>
      <c r="IW44" s="272"/>
      <c r="IX44" s="272"/>
      <c r="IY44" s="272"/>
      <c r="IZ44" s="272"/>
      <c r="JA44" s="272"/>
      <c r="JB44" s="272"/>
      <c r="JC44" s="272"/>
      <c r="JD44" s="272"/>
      <c r="JE44" s="272"/>
      <c r="JF44" s="272"/>
      <c r="JG44" s="272"/>
      <c r="JH44" s="272"/>
      <c r="JI44" s="272"/>
      <c r="JJ44" s="272"/>
      <c r="JK44" s="272"/>
      <c r="JL44" s="272"/>
      <c r="JM44" s="272"/>
      <c r="JN44" s="272"/>
      <c r="JO44" s="272"/>
      <c r="JP44" s="272"/>
      <c r="JQ44" s="272"/>
      <c r="JR44" s="272"/>
      <c r="JS44" s="272"/>
      <c r="JT44" s="272"/>
      <c r="JU44" s="272"/>
      <c r="JV44" s="272"/>
      <c r="JW44" s="272"/>
      <c r="JX44" s="272"/>
      <c r="JY44" s="272"/>
      <c r="JZ44" s="272"/>
      <c r="KA44" s="272"/>
      <c r="KB44" s="272"/>
      <c r="KC44" s="272"/>
      <c r="KD44" s="272"/>
      <c r="KE44" s="272"/>
      <c r="KF44" s="272"/>
      <c r="KG44" s="272"/>
      <c r="KH44" s="272"/>
      <c r="KI44" s="272"/>
      <c r="KJ44" s="272"/>
      <c r="KK44" s="272"/>
      <c r="KL44" s="272"/>
      <c r="KM44" s="272"/>
      <c r="KN44" s="272"/>
      <c r="KO44" s="272"/>
      <c r="KP44" s="272"/>
      <c r="KQ44" s="272"/>
      <c r="KR44" s="272"/>
      <c r="KS44" s="272"/>
      <c r="KT44" s="272"/>
      <c r="KU44" s="272"/>
      <c r="KV44" s="272"/>
      <c r="KW44" s="272"/>
      <c r="KX44" s="272"/>
      <c r="KY44" s="272"/>
      <c r="KZ44" s="272"/>
      <c r="LA44" s="272"/>
      <c r="LB44" s="272"/>
      <c r="LC44" s="272"/>
      <c r="LD44" s="272"/>
      <c r="LE44" s="272"/>
      <c r="LF44" s="272"/>
      <c r="LG44" s="272"/>
      <c r="LH44" s="272"/>
      <c r="LI44" s="272"/>
      <c r="LJ44" s="272"/>
      <c r="LK44" s="272"/>
      <c r="LL44" s="272"/>
      <c r="LM44" s="272"/>
      <c r="LN44" s="272"/>
      <c r="LO44" s="272"/>
      <c r="LP44" s="272"/>
      <c r="LQ44" s="272"/>
      <c r="LR44" s="272"/>
      <c r="LS44" s="272"/>
      <c r="LT44" s="272"/>
      <c r="LU44" s="272"/>
      <c r="LV44" s="272"/>
      <c r="LW44" s="272"/>
      <c r="LX44" s="272"/>
      <c r="LY44" s="272"/>
      <c r="LZ44" s="272"/>
      <c r="MA44" s="272"/>
      <c r="MB44" s="272"/>
      <c r="MC44" s="272"/>
      <c r="MD44" s="272"/>
      <c r="ME44" s="272"/>
      <c r="MF44" s="272"/>
      <c r="MG44" s="272"/>
      <c r="MH44" s="272"/>
      <c r="MI44" s="272"/>
      <c r="MJ44" s="272"/>
      <c r="MK44" s="272"/>
      <c r="ML44" s="272"/>
      <c r="MM44" s="272"/>
      <c r="MN44" s="272"/>
      <c r="MO44" s="272"/>
      <c r="MP44" s="272"/>
      <c r="MQ44" s="272"/>
      <c r="MR44" s="272"/>
      <c r="MS44" s="272"/>
      <c r="MT44" s="272"/>
      <c r="MU44" s="272"/>
      <c r="MV44" s="272"/>
      <c r="MW44" s="272"/>
      <c r="MX44" s="272"/>
      <c r="MY44" s="272"/>
      <c r="MZ44" s="272"/>
      <c r="NA44" s="272"/>
      <c r="NB44" s="272"/>
      <c r="NC44" s="272"/>
      <c r="ND44" s="272"/>
      <c r="NE44" s="272"/>
      <c r="NF44" s="272"/>
      <c r="NG44" s="272"/>
      <c r="NH44" s="272"/>
      <c r="NI44" s="272"/>
      <c r="NJ44" s="272"/>
      <c r="NK44" s="272"/>
      <c r="NL44" s="272"/>
      <c r="NM44" s="272"/>
      <c r="NN44" s="272"/>
      <c r="NO44" s="272"/>
      <c r="NP44" s="272"/>
      <c r="NQ44" s="272"/>
      <c r="NR44" s="272"/>
      <c r="NS44" s="272"/>
      <c r="NT44" s="272"/>
      <c r="NU44" s="272"/>
      <c r="NV44" s="272"/>
      <c r="NW44" s="272"/>
      <c r="NX44" s="272"/>
      <c r="NY44" s="272"/>
      <c r="NZ44" s="272"/>
      <c r="OA44" s="272"/>
      <c r="OB44" s="272"/>
      <c r="OC44" s="272"/>
      <c r="OD44" s="272"/>
      <c r="OE44" s="272"/>
      <c r="OF44" s="272"/>
      <c r="OG44" s="272"/>
      <c r="OH44" s="272"/>
      <c r="OI44" s="272"/>
      <c r="OJ44" s="272"/>
      <c r="OK44" s="272"/>
      <c r="OL44" s="272"/>
      <c r="OM44" s="272"/>
      <c r="ON44" s="272"/>
      <c r="OO44" s="272"/>
      <c r="OP44" s="272"/>
      <c r="OQ44" s="272"/>
      <c r="OR44" s="272"/>
      <c r="OS44" s="272"/>
      <c r="OT44" s="272"/>
      <c r="OU44" s="272"/>
      <c r="OV44" s="272"/>
      <c r="OW44" s="272"/>
      <c r="OX44" s="272"/>
      <c r="OY44" s="272"/>
      <c r="OZ44" s="272"/>
      <c r="PA44" s="272"/>
      <c r="PB44" s="272"/>
      <c r="PC44" s="272"/>
      <c r="PD44" s="272"/>
      <c r="PE44" s="272"/>
      <c r="PF44" s="272"/>
      <c r="PG44" s="272"/>
      <c r="PH44" s="272"/>
      <c r="PI44" s="272"/>
      <c r="PJ44" s="272"/>
      <c r="PK44" s="272"/>
      <c r="PL44" s="272"/>
      <c r="PM44" s="272"/>
      <c r="PN44" s="272"/>
      <c r="PO44" s="272"/>
      <c r="PP44" s="272"/>
      <c r="PQ44" s="272"/>
      <c r="PR44" s="272"/>
      <c r="PS44" s="272"/>
      <c r="PT44" s="272"/>
      <c r="PU44" s="272"/>
      <c r="PV44" s="272"/>
      <c r="PW44" s="272"/>
      <c r="PX44" s="272"/>
      <c r="PY44" s="272"/>
      <c r="PZ44" s="272"/>
      <c r="QA44" s="272"/>
      <c r="QB44" s="272"/>
      <c r="QC44" s="272"/>
      <c r="QD44" s="272"/>
      <c r="QE44" s="272"/>
      <c r="QF44" s="272"/>
      <c r="QG44" s="272"/>
      <c r="QH44" s="272"/>
      <c r="QI44" s="272"/>
      <c r="QJ44" s="272"/>
      <c r="QK44" s="272"/>
      <c r="QL44" s="272"/>
      <c r="QM44" s="272"/>
      <c r="QN44" s="272"/>
      <c r="QO44" s="272"/>
      <c r="QP44" s="272"/>
      <c r="QQ44" s="272"/>
      <c r="QR44" s="272"/>
      <c r="QS44" s="272"/>
      <c r="QT44" s="272"/>
      <c r="QU44" s="272"/>
      <c r="QV44" s="272"/>
      <c r="QW44" s="272"/>
      <c r="QX44" s="272"/>
      <c r="QY44" s="272"/>
      <c r="QZ44" s="272"/>
      <c r="RA44" s="272"/>
      <c r="RB44" s="272"/>
      <c r="RC44" s="272"/>
      <c r="RD44" s="272"/>
      <c r="RE44" s="272"/>
      <c r="RF44" s="272"/>
      <c r="RG44" s="272"/>
      <c r="RH44" s="272"/>
      <c r="RI44" s="272"/>
      <c r="RJ44" s="272"/>
      <c r="RK44" s="272"/>
      <c r="RL44" s="272"/>
      <c r="RM44" s="272"/>
      <c r="RN44" s="272"/>
      <c r="RO44" s="272"/>
      <c r="RP44" s="272"/>
      <c r="RQ44" s="272"/>
      <c r="RR44" s="272"/>
      <c r="RS44" s="272"/>
      <c r="RT44" s="272"/>
      <c r="RU44" s="272"/>
      <c r="RV44" s="272"/>
      <c r="RW44" s="272"/>
      <c r="RX44" s="272"/>
      <c r="RY44" s="272"/>
      <c r="RZ44" s="272"/>
      <c r="SA44" s="272"/>
      <c r="SB44" s="272"/>
      <c r="SC44" s="272"/>
      <c r="SD44" s="272"/>
      <c r="SE44" s="272"/>
      <c r="SF44" s="272"/>
      <c r="SG44" s="272"/>
      <c r="SH44" s="272"/>
      <c r="SI44" s="272"/>
      <c r="SJ44" s="272"/>
      <c r="SK44" s="272"/>
      <c r="SL44" s="272"/>
      <c r="SM44" s="272"/>
      <c r="SN44" s="272"/>
      <c r="SO44" s="272"/>
      <c r="SP44" s="272"/>
      <c r="SQ44" s="272"/>
      <c r="SR44" s="272"/>
      <c r="SS44" s="272"/>
      <c r="ST44" s="272"/>
      <c r="SU44" s="272"/>
      <c r="SV44" s="272"/>
      <c r="SW44" s="272"/>
      <c r="SX44" s="272"/>
      <c r="SY44" s="272"/>
      <c r="SZ44" s="272"/>
      <c r="TA44" s="272"/>
      <c r="TB44" s="272"/>
      <c r="TC44" s="272"/>
      <c r="TD44" s="272"/>
      <c r="TE44" s="272"/>
      <c r="TF44" s="272"/>
      <c r="TG44" s="272"/>
      <c r="TH44" s="272"/>
      <c r="TI44" s="272"/>
      <c r="TJ44" s="272"/>
      <c r="TK44" s="272"/>
      <c r="TL44" s="272"/>
      <c r="TM44" s="272"/>
      <c r="TN44" s="272"/>
      <c r="TO44" s="272"/>
      <c r="TP44" s="272"/>
      <c r="TQ44" s="272"/>
      <c r="TR44" s="272"/>
      <c r="TS44" s="272"/>
      <c r="TT44" s="272"/>
      <c r="TU44" s="272"/>
      <c r="TV44" s="272"/>
      <c r="TW44" s="272"/>
      <c r="TX44" s="272"/>
      <c r="TY44" s="272"/>
      <c r="TZ44" s="272"/>
      <c r="UA44" s="272"/>
      <c r="UB44" s="272"/>
      <c r="UC44" s="272"/>
      <c r="UD44" s="272"/>
      <c r="UE44" s="272"/>
      <c r="UF44" s="272"/>
      <c r="UG44" s="272"/>
      <c r="UH44" s="272"/>
      <c r="UI44" s="272"/>
      <c r="UJ44" s="272"/>
      <c r="UK44" s="272"/>
      <c r="UL44" s="272"/>
      <c r="UM44" s="272"/>
      <c r="UN44" s="272"/>
      <c r="UO44" s="272"/>
      <c r="UP44" s="272"/>
      <c r="UQ44" s="272"/>
      <c r="UR44" s="272"/>
      <c r="US44" s="272"/>
      <c r="UT44" s="272"/>
      <c r="UU44" s="272"/>
      <c r="UV44" s="272"/>
      <c r="UW44" s="272"/>
      <c r="UX44" s="272"/>
      <c r="UY44" s="272"/>
      <c r="UZ44" s="272"/>
      <c r="VA44" s="272"/>
      <c r="VB44" s="272"/>
      <c r="VC44" s="272"/>
      <c r="VD44" s="272"/>
      <c r="VE44" s="272"/>
      <c r="VF44" s="272"/>
      <c r="VG44" s="272"/>
      <c r="VH44" s="272"/>
      <c r="VI44" s="272"/>
      <c r="VJ44" s="272"/>
      <c r="VK44" s="272"/>
      <c r="VL44" s="272"/>
      <c r="VM44" s="272"/>
      <c r="VN44" s="272"/>
      <c r="VO44" s="272"/>
      <c r="VP44" s="272"/>
      <c r="VQ44" s="272"/>
      <c r="VR44" s="272"/>
      <c r="VS44" s="272"/>
      <c r="VT44" s="272"/>
      <c r="VU44" s="272"/>
      <c r="VV44" s="272"/>
      <c r="VW44" s="272"/>
      <c r="VX44" s="272"/>
      <c r="VY44" s="272"/>
      <c r="VZ44" s="272"/>
      <c r="WA44" s="272"/>
      <c r="WB44" s="272"/>
      <c r="WC44" s="272"/>
      <c r="WD44" s="272"/>
      <c r="WE44" s="272"/>
      <c r="WF44" s="272"/>
      <c r="WG44" s="272"/>
      <c r="WH44" s="272"/>
      <c r="WI44" s="272"/>
      <c r="WJ44" s="272"/>
      <c r="WK44" s="272"/>
      <c r="WL44" s="272"/>
      <c r="WM44" s="272"/>
      <c r="WN44" s="272"/>
      <c r="WO44" s="272"/>
      <c r="WP44" s="272"/>
      <c r="WQ44" s="272"/>
      <c r="WR44" s="272"/>
      <c r="WS44" s="272"/>
      <c r="WT44" s="272"/>
      <c r="WU44" s="272"/>
      <c r="WV44" s="272"/>
      <c r="WW44" s="272"/>
      <c r="WX44" s="272"/>
      <c r="WY44" s="272"/>
      <c r="WZ44" s="272"/>
      <c r="XA44" s="272"/>
      <c r="XB44" s="272"/>
      <c r="XC44" s="272"/>
      <c r="XD44" s="272"/>
      <c r="XE44" s="272"/>
      <c r="XF44" s="272"/>
      <c r="XG44" s="272"/>
      <c r="XH44" s="272"/>
      <c r="XI44" s="272"/>
      <c r="XJ44" s="272"/>
      <c r="XK44" s="272"/>
      <c r="XL44" s="272"/>
      <c r="XM44" s="272"/>
      <c r="XN44" s="272"/>
      <c r="XO44" s="272"/>
      <c r="XP44" s="272"/>
      <c r="XQ44" s="272"/>
      <c r="XR44" s="272"/>
      <c r="XS44" s="272"/>
      <c r="XT44" s="272"/>
      <c r="XU44" s="272"/>
      <c r="XV44" s="272"/>
      <c r="XW44" s="272"/>
      <c r="XX44" s="272"/>
      <c r="XY44" s="272"/>
      <c r="XZ44" s="272"/>
      <c r="YA44" s="272"/>
      <c r="YB44" s="272"/>
      <c r="YC44" s="272"/>
      <c r="YD44" s="272"/>
      <c r="YE44" s="272"/>
      <c r="YF44" s="272"/>
      <c r="YG44" s="272"/>
      <c r="YH44" s="272"/>
      <c r="YI44" s="272"/>
      <c r="YJ44" s="272"/>
      <c r="YK44" s="272"/>
      <c r="YL44" s="272"/>
      <c r="YM44" s="272"/>
      <c r="YN44" s="272"/>
      <c r="YO44" s="272"/>
      <c r="YP44" s="272"/>
      <c r="YQ44" s="272"/>
      <c r="YR44" s="272"/>
      <c r="YS44" s="272"/>
      <c r="YT44" s="272"/>
      <c r="YU44" s="272"/>
      <c r="YV44" s="272"/>
      <c r="YW44" s="272"/>
      <c r="YX44" s="272"/>
      <c r="YY44" s="272"/>
      <c r="YZ44" s="272"/>
      <c r="ZA44" s="272"/>
      <c r="ZB44" s="272"/>
      <c r="ZC44" s="272"/>
      <c r="ZD44" s="272"/>
      <c r="ZE44" s="272"/>
      <c r="ZF44" s="272"/>
      <c r="ZG44" s="272"/>
      <c r="ZH44" s="272"/>
      <c r="ZI44" s="272"/>
      <c r="ZJ44" s="272"/>
      <c r="ZK44" s="272"/>
      <c r="ZL44" s="272"/>
      <c r="ZM44" s="272"/>
      <c r="ZN44" s="272"/>
      <c r="ZO44" s="272"/>
      <c r="ZP44" s="272"/>
      <c r="ZQ44" s="272"/>
      <c r="ZR44" s="272"/>
      <c r="ZS44" s="272"/>
      <c r="ZT44" s="272"/>
      <c r="ZU44" s="272"/>
      <c r="ZV44" s="272"/>
      <c r="ZW44" s="272"/>
      <c r="ZX44" s="272"/>
      <c r="ZY44" s="272"/>
      <c r="ZZ44" s="272"/>
      <c r="AAA44" s="272"/>
      <c r="AAB44" s="272"/>
      <c r="AAC44" s="272"/>
      <c r="AAD44" s="272"/>
      <c r="AAE44" s="272"/>
      <c r="AAF44" s="272"/>
      <c r="AAG44" s="272"/>
      <c r="AAH44" s="272"/>
      <c r="AAI44" s="272"/>
      <c r="AAJ44" s="272"/>
      <c r="AAK44" s="272"/>
      <c r="AAL44" s="272"/>
      <c r="AAM44" s="272"/>
      <c r="AAN44" s="272"/>
      <c r="AAO44" s="272"/>
      <c r="AAP44" s="272"/>
      <c r="AAQ44" s="272"/>
      <c r="AAR44" s="272"/>
      <c r="AAS44" s="272"/>
      <c r="AAT44" s="272"/>
      <c r="AAU44" s="272"/>
      <c r="AAV44" s="272"/>
      <c r="AAW44" s="272"/>
      <c r="AAX44" s="272"/>
      <c r="AAY44" s="272"/>
      <c r="AAZ44" s="272"/>
      <c r="ABA44" s="272"/>
      <c r="ABB44" s="272"/>
      <c r="ABC44" s="272"/>
      <c r="ABD44" s="272"/>
      <c r="ABE44" s="272"/>
      <c r="ABF44" s="272"/>
      <c r="ABG44" s="272"/>
    </row>
    <row r="45" spans="1:735" s="19" customFormat="1" ht="15">
      <c r="A45" s="47"/>
      <c r="B45" s="74"/>
      <c r="C45" s="20" t="s">
        <v>53</v>
      </c>
      <c r="D45" s="508"/>
      <c r="E45" s="509"/>
      <c r="F45" s="506"/>
      <c r="G45" s="507"/>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272"/>
      <c r="ED45" s="272"/>
      <c r="EE45" s="272"/>
      <c r="EF45" s="272"/>
      <c r="EG45" s="272"/>
      <c r="EH45" s="272"/>
      <c r="EI45" s="272"/>
      <c r="EJ45" s="272"/>
      <c r="EK45" s="272"/>
      <c r="EL45" s="272"/>
      <c r="EM45" s="272"/>
      <c r="EN45" s="272"/>
      <c r="EO45" s="272"/>
      <c r="EP45" s="272"/>
      <c r="EQ45" s="272"/>
      <c r="ER45" s="272"/>
      <c r="ES45" s="272"/>
      <c r="ET45" s="272"/>
      <c r="EU45" s="272"/>
      <c r="EV45" s="272"/>
      <c r="EW45" s="272"/>
      <c r="EX45" s="272"/>
      <c r="EY45" s="272"/>
      <c r="EZ45" s="272"/>
      <c r="FA45" s="272"/>
      <c r="FB45" s="272"/>
      <c r="FC45" s="272"/>
      <c r="FD45" s="272"/>
      <c r="FE45" s="272"/>
      <c r="FF45" s="272"/>
      <c r="FG45" s="272"/>
      <c r="FH45" s="272"/>
      <c r="FI45" s="272"/>
      <c r="FJ45" s="272"/>
      <c r="FK45" s="272"/>
      <c r="FL45" s="272"/>
      <c r="FM45" s="272"/>
      <c r="FN45" s="272"/>
      <c r="FO45" s="272"/>
      <c r="FP45" s="272"/>
      <c r="FQ45" s="272"/>
      <c r="FR45" s="272"/>
      <c r="FS45" s="272"/>
      <c r="FT45" s="272"/>
      <c r="FU45" s="272"/>
      <c r="FV45" s="272"/>
      <c r="FW45" s="272"/>
      <c r="FX45" s="272"/>
      <c r="FY45" s="272"/>
      <c r="FZ45" s="272"/>
      <c r="GA45" s="272"/>
      <c r="GB45" s="272"/>
      <c r="GC45" s="272"/>
      <c r="GD45" s="272"/>
      <c r="GE45" s="272"/>
      <c r="GF45" s="272"/>
      <c r="GG45" s="272"/>
      <c r="GH45" s="272"/>
      <c r="GI45" s="272"/>
      <c r="GJ45" s="272"/>
      <c r="GK45" s="272"/>
      <c r="GL45" s="272"/>
      <c r="GM45" s="272"/>
      <c r="GN45" s="272"/>
      <c r="GO45" s="272"/>
      <c r="GP45" s="272"/>
      <c r="GQ45" s="272"/>
      <c r="GR45" s="272"/>
      <c r="GS45" s="272"/>
      <c r="GT45" s="272"/>
      <c r="GU45" s="272"/>
      <c r="GV45" s="272"/>
      <c r="GW45" s="272"/>
      <c r="GX45" s="272"/>
      <c r="GY45" s="272"/>
      <c r="GZ45" s="272"/>
      <c r="HA45" s="272"/>
      <c r="HB45" s="272"/>
      <c r="HC45" s="272"/>
      <c r="HD45" s="272"/>
      <c r="HE45" s="272"/>
      <c r="HF45" s="272"/>
      <c r="HG45" s="272"/>
      <c r="HH45" s="272"/>
      <c r="HI45" s="272"/>
      <c r="HJ45" s="272"/>
      <c r="HK45" s="272"/>
      <c r="HL45" s="272"/>
      <c r="HM45" s="272"/>
      <c r="HN45" s="272"/>
      <c r="HO45" s="272"/>
      <c r="HP45" s="272"/>
      <c r="HQ45" s="272"/>
      <c r="HR45" s="272"/>
      <c r="HS45" s="272"/>
      <c r="HT45" s="272"/>
      <c r="HU45" s="272"/>
      <c r="HV45" s="272"/>
      <c r="HW45" s="272"/>
      <c r="HX45" s="272"/>
      <c r="HY45" s="272"/>
      <c r="HZ45" s="272"/>
      <c r="IA45" s="272"/>
      <c r="IB45" s="272"/>
      <c r="IC45" s="272"/>
      <c r="ID45" s="272"/>
      <c r="IE45" s="272"/>
      <c r="IF45" s="272"/>
      <c r="IG45" s="272"/>
      <c r="IH45" s="272"/>
      <c r="II45" s="272"/>
      <c r="IJ45" s="272"/>
      <c r="IK45" s="272"/>
      <c r="IL45" s="272"/>
      <c r="IM45" s="272"/>
      <c r="IN45" s="272"/>
      <c r="IO45" s="272"/>
      <c r="IP45" s="272"/>
      <c r="IQ45" s="272"/>
      <c r="IR45" s="272"/>
      <c r="IS45" s="272"/>
      <c r="IT45" s="272"/>
      <c r="IU45" s="272"/>
      <c r="IV45" s="272"/>
      <c r="IW45" s="272"/>
      <c r="IX45" s="272"/>
      <c r="IY45" s="272"/>
      <c r="IZ45" s="272"/>
      <c r="JA45" s="272"/>
      <c r="JB45" s="272"/>
      <c r="JC45" s="272"/>
      <c r="JD45" s="272"/>
      <c r="JE45" s="272"/>
      <c r="JF45" s="272"/>
      <c r="JG45" s="272"/>
      <c r="JH45" s="272"/>
      <c r="JI45" s="272"/>
      <c r="JJ45" s="272"/>
      <c r="JK45" s="272"/>
      <c r="JL45" s="272"/>
      <c r="JM45" s="272"/>
      <c r="JN45" s="272"/>
      <c r="JO45" s="272"/>
      <c r="JP45" s="272"/>
      <c r="JQ45" s="272"/>
      <c r="JR45" s="272"/>
      <c r="JS45" s="272"/>
      <c r="JT45" s="272"/>
      <c r="JU45" s="272"/>
      <c r="JV45" s="272"/>
      <c r="JW45" s="272"/>
      <c r="JX45" s="272"/>
      <c r="JY45" s="272"/>
      <c r="JZ45" s="272"/>
      <c r="KA45" s="272"/>
      <c r="KB45" s="272"/>
      <c r="KC45" s="272"/>
      <c r="KD45" s="272"/>
      <c r="KE45" s="272"/>
      <c r="KF45" s="272"/>
      <c r="KG45" s="272"/>
      <c r="KH45" s="272"/>
      <c r="KI45" s="272"/>
      <c r="KJ45" s="272"/>
      <c r="KK45" s="272"/>
      <c r="KL45" s="272"/>
      <c r="KM45" s="272"/>
      <c r="KN45" s="272"/>
      <c r="KO45" s="272"/>
      <c r="KP45" s="272"/>
      <c r="KQ45" s="272"/>
      <c r="KR45" s="272"/>
      <c r="KS45" s="272"/>
      <c r="KT45" s="272"/>
      <c r="KU45" s="272"/>
      <c r="KV45" s="272"/>
      <c r="KW45" s="272"/>
      <c r="KX45" s="272"/>
      <c r="KY45" s="272"/>
      <c r="KZ45" s="272"/>
      <c r="LA45" s="272"/>
      <c r="LB45" s="272"/>
      <c r="LC45" s="272"/>
      <c r="LD45" s="272"/>
      <c r="LE45" s="272"/>
      <c r="LF45" s="272"/>
      <c r="LG45" s="272"/>
      <c r="LH45" s="272"/>
      <c r="LI45" s="272"/>
      <c r="LJ45" s="272"/>
      <c r="LK45" s="272"/>
      <c r="LL45" s="272"/>
      <c r="LM45" s="272"/>
      <c r="LN45" s="272"/>
      <c r="LO45" s="272"/>
      <c r="LP45" s="272"/>
      <c r="LQ45" s="272"/>
      <c r="LR45" s="272"/>
      <c r="LS45" s="272"/>
      <c r="LT45" s="272"/>
      <c r="LU45" s="272"/>
      <c r="LV45" s="272"/>
      <c r="LW45" s="272"/>
      <c r="LX45" s="272"/>
      <c r="LY45" s="272"/>
      <c r="LZ45" s="272"/>
      <c r="MA45" s="272"/>
      <c r="MB45" s="272"/>
      <c r="MC45" s="272"/>
      <c r="MD45" s="272"/>
      <c r="ME45" s="272"/>
      <c r="MF45" s="272"/>
      <c r="MG45" s="272"/>
      <c r="MH45" s="272"/>
      <c r="MI45" s="272"/>
      <c r="MJ45" s="272"/>
      <c r="MK45" s="272"/>
      <c r="ML45" s="272"/>
      <c r="MM45" s="272"/>
      <c r="MN45" s="272"/>
      <c r="MO45" s="272"/>
      <c r="MP45" s="272"/>
      <c r="MQ45" s="272"/>
      <c r="MR45" s="272"/>
      <c r="MS45" s="272"/>
      <c r="MT45" s="272"/>
      <c r="MU45" s="272"/>
      <c r="MV45" s="272"/>
      <c r="MW45" s="272"/>
      <c r="MX45" s="272"/>
      <c r="MY45" s="272"/>
      <c r="MZ45" s="272"/>
      <c r="NA45" s="272"/>
      <c r="NB45" s="272"/>
      <c r="NC45" s="272"/>
      <c r="ND45" s="272"/>
      <c r="NE45" s="272"/>
      <c r="NF45" s="272"/>
      <c r="NG45" s="272"/>
      <c r="NH45" s="272"/>
      <c r="NI45" s="272"/>
      <c r="NJ45" s="272"/>
      <c r="NK45" s="272"/>
      <c r="NL45" s="272"/>
      <c r="NM45" s="272"/>
      <c r="NN45" s="272"/>
      <c r="NO45" s="272"/>
      <c r="NP45" s="272"/>
      <c r="NQ45" s="272"/>
      <c r="NR45" s="272"/>
      <c r="NS45" s="272"/>
      <c r="NT45" s="272"/>
      <c r="NU45" s="272"/>
      <c r="NV45" s="272"/>
      <c r="NW45" s="272"/>
      <c r="NX45" s="272"/>
      <c r="NY45" s="272"/>
      <c r="NZ45" s="272"/>
      <c r="OA45" s="272"/>
      <c r="OB45" s="272"/>
      <c r="OC45" s="272"/>
      <c r="OD45" s="272"/>
      <c r="OE45" s="272"/>
      <c r="OF45" s="272"/>
      <c r="OG45" s="272"/>
      <c r="OH45" s="272"/>
      <c r="OI45" s="272"/>
      <c r="OJ45" s="272"/>
      <c r="OK45" s="272"/>
      <c r="OL45" s="272"/>
      <c r="OM45" s="272"/>
      <c r="ON45" s="272"/>
      <c r="OO45" s="272"/>
      <c r="OP45" s="272"/>
      <c r="OQ45" s="272"/>
      <c r="OR45" s="272"/>
      <c r="OS45" s="272"/>
      <c r="OT45" s="272"/>
      <c r="OU45" s="272"/>
      <c r="OV45" s="272"/>
      <c r="OW45" s="272"/>
      <c r="OX45" s="272"/>
      <c r="OY45" s="272"/>
      <c r="OZ45" s="272"/>
      <c r="PA45" s="272"/>
      <c r="PB45" s="272"/>
      <c r="PC45" s="272"/>
      <c r="PD45" s="272"/>
      <c r="PE45" s="272"/>
      <c r="PF45" s="272"/>
      <c r="PG45" s="272"/>
      <c r="PH45" s="272"/>
      <c r="PI45" s="272"/>
      <c r="PJ45" s="272"/>
      <c r="PK45" s="272"/>
      <c r="PL45" s="272"/>
      <c r="PM45" s="272"/>
      <c r="PN45" s="272"/>
      <c r="PO45" s="272"/>
      <c r="PP45" s="272"/>
      <c r="PQ45" s="272"/>
      <c r="PR45" s="272"/>
      <c r="PS45" s="272"/>
      <c r="PT45" s="272"/>
      <c r="PU45" s="272"/>
      <c r="PV45" s="272"/>
      <c r="PW45" s="272"/>
      <c r="PX45" s="272"/>
      <c r="PY45" s="272"/>
      <c r="PZ45" s="272"/>
      <c r="QA45" s="272"/>
      <c r="QB45" s="272"/>
      <c r="QC45" s="272"/>
      <c r="QD45" s="272"/>
      <c r="QE45" s="272"/>
      <c r="QF45" s="272"/>
      <c r="QG45" s="272"/>
      <c r="QH45" s="272"/>
      <c r="QI45" s="272"/>
      <c r="QJ45" s="272"/>
      <c r="QK45" s="272"/>
      <c r="QL45" s="272"/>
      <c r="QM45" s="272"/>
      <c r="QN45" s="272"/>
      <c r="QO45" s="272"/>
      <c r="QP45" s="272"/>
      <c r="QQ45" s="272"/>
      <c r="QR45" s="272"/>
      <c r="QS45" s="272"/>
      <c r="QT45" s="272"/>
      <c r="QU45" s="272"/>
      <c r="QV45" s="272"/>
      <c r="QW45" s="272"/>
      <c r="QX45" s="272"/>
      <c r="QY45" s="272"/>
      <c r="QZ45" s="272"/>
      <c r="RA45" s="272"/>
      <c r="RB45" s="272"/>
      <c r="RC45" s="272"/>
      <c r="RD45" s="272"/>
      <c r="RE45" s="272"/>
      <c r="RF45" s="272"/>
      <c r="RG45" s="272"/>
      <c r="RH45" s="272"/>
      <c r="RI45" s="272"/>
      <c r="RJ45" s="272"/>
      <c r="RK45" s="272"/>
      <c r="RL45" s="272"/>
      <c r="RM45" s="272"/>
      <c r="RN45" s="272"/>
      <c r="RO45" s="272"/>
      <c r="RP45" s="272"/>
      <c r="RQ45" s="272"/>
      <c r="RR45" s="272"/>
      <c r="RS45" s="272"/>
      <c r="RT45" s="272"/>
      <c r="RU45" s="272"/>
      <c r="RV45" s="272"/>
      <c r="RW45" s="272"/>
      <c r="RX45" s="272"/>
      <c r="RY45" s="272"/>
      <c r="RZ45" s="272"/>
      <c r="SA45" s="272"/>
      <c r="SB45" s="272"/>
      <c r="SC45" s="272"/>
      <c r="SD45" s="272"/>
      <c r="SE45" s="272"/>
      <c r="SF45" s="272"/>
      <c r="SG45" s="272"/>
      <c r="SH45" s="272"/>
      <c r="SI45" s="272"/>
      <c r="SJ45" s="272"/>
      <c r="SK45" s="272"/>
      <c r="SL45" s="272"/>
      <c r="SM45" s="272"/>
      <c r="SN45" s="272"/>
      <c r="SO45" s="272"/>
      <c r="SP45" s="272"/>
      <c r="SQ45" s="272"/>
      <c r="SR45" s="272"/>
      <c r="SS45" s="272"/>
      <c r="ST45" s="272"/>
      <c r="SU45" s="272"/>
      <c r="SV45" s="272"/>
      <c r="SW45" s="272"/>
      <c r="SX45" s="272"/>
      <c r="SY45" s="272"/>
      <c r="SZ45" s="272"/>
      <c r="TA45" s="272"/>
      <c r="TB45" s="272"/>
      <c r="TC45" s="272"/>
      <c r="TD45" s="272"/>
      <c r="TE45" s="272"/>
      <c r="TF45" s="272"/>
      <c r="TG45" s="272"/>
      <c r="TH45" s="272"/>
      <c r="TI45" s="272"/>
      <c r="TJ45" s="272"/>
      <c r="TK45" s="272"/>
      <c r="TL45" s="272"/>
      <c r="TM45" s="272"/>
      <c r="TN45" s="272"/>
      <c r="TO45" s="272"/>
      <c r="TP45" s="272"/>
      <c r="TQ45" s="272"/>
      <c r="TR45" s="272"/>
      <c r="TS45" s="272"/>
      <c r="TT45" s="272"/>
      <c r="TU45" s="272"/>
      <c r="TV45" s="272"/>
      <c r="TW45" s="272"/>
      <c r="TX45" s="272"/>
      <c r="TY45" s="272"/>
      <c r="TZ45" s="272"/>
      <c r="UA45" s="272"/>
      <c r="UB45" s="272"/>
      <c r="UC45" s="272"/>
      <c r="UD45" s="272"/>
      <c r="UE45" s="272"/>
      <c r="UF45" s="272"/>
      <c r="UG45" s="272"/>
      <c r="UH45" s="272"/>
      <c r="UI45" s="272"/>
      <c r="UJ45" s="272"/>
      <c r="UK45" s="272"/>
      <c r="UL45" s="272"/>
      <c r="UM45" s="272"/>
      <c r="UN45" s="272"/>
      <c r="UO45" s="272"/>
      <c r="UP45" s="272"/>
      <c r="UQ45" s="272"/>
      <c r="UR45" s="272"/>
      <c r="US45" s="272"/>
      <c r="UT45" s="272"/>
      <c r="UU45" s="272"/>
      <c r="UV45" s="272"/>
      <c r="UW45" s="272"/>
      <c r="UX45" s="272"/>
      <c r="UY45" s="272"/>
      <c r="UZ45" s="272"/>
      <c r="VA45" s="272"/>
      <c r="VB45" s="272"/>
      <c r="VC45" s="272"/>
      <c r="VD45" s="272"/>
      <c r="VE45" s="272"/>
      <c r="VF45" s="272"/>
      <c r="VG45" s="272"/>
      <c r="VH45" s="272"/>
      <c r="VI45" s="272"/>
      <c r="VJ45" s="272"/>
      <c r="VK45" s="272"/>
      <c r="VL45" s="272"/>
      <c r="VM45" s="272"/>
      <c r="VN45" s="272"/>
      <c r="VO45" s="272"/>
      <c r="VP45" s="272"/>
      <c r="VQ45" s="272"/>
      <c r="VR45" s="272"/>
      <c r="VS45" s="272"/>
      <c r="VT45" s="272"/>
      <c r="VU45" s="272"/>
      <c r="VV45" s="272"/>
      <c r="VW45" s="272"/>
      <c r="VX45" s="272"/>
      <c r="VY45" s="272"/>
      <c r="VZ45" s="272"/>
      <c r="WA45" s="272"/>
      <c r="WB45" s="272"/>
      <c r="WC45" s="272"/>
      <c r="WD45" s="272"/>
      <c r="WE45" s="272"/>
      <c r="WF45" s="272"/>
      <c r="WG45" s="272"/>
      <c r="WH45" s="272"/>
      <c r="WI45" s="272"/>
      <c r="WJ45" s="272"/>
      <c r="WK45" s="272"/>
      <c r="WL45" s="272"/>
      <c r="WM45" s="272"/>
      <c r="WN45" s="272"/>
      <c r="WO45" s="272"/>
      <c r="WP45" s="272"/>
      <c r="WQ45" s="272"/>
      <c r="WR45" s="272"/>
      <c r="WS45" s="272"/>
      <c r="WT45" s="272"/>
      <c r="WU45" s="272"/>
      <c r="WV45" s="272"/>
      <c r="WW45" s="272"/>
      <c r="WX45" s="272"/>
      <c r="WY45" s="272"/>
      <c r="WZ45" s="272"/>
      <c r="XA45" s="272"/>
      <c r="XB45" s="272"/>
      <c r="XC45" s="272"/>
      <c r="XD45" s="272"/>
      <c r="XE45" s="272"/>
      <c r="XF45" s="272"/>
      <c r="XG45" s="272"/>
      <c r="XH45" s="272"/>
      <c r="XI45" s="272"/>
      <c r="XJ45" s="272"/>
      <c r="XK45" s="272"/>
      <c r="XL45" s="272"/>
      <c r="XM45" s="272"/>
      <c r="XN45" s="272"/>
      <c r="XO45" s="272"/>
      <c r="XP45" s="272"/>
      <c r="XQ45" s="272"/>
      <c r="XR45" s="272"/>
      <c r="XS45" s="272"/>
      <c r="XT45" s="272"/>
      <c r="XU45" s="272"/>
      <c r="XV45" s="272"/>
      <c r="XW45" s="272"/>
      <c r="XX45" s="272"/>
      <c r="XY45" s="272"/>
      <c r="XZ45" s="272"/>
      <c r="YA45" s="272"/>
      <c r="YB45" s="272"/>
      <c r="YC45" s="272"/>
      <c r="YD45" s="272"/>
      <c r="YE45" s="272"/>
      <c r="YF45" s="272"/>
      <c r="YG45" s="272"/>
      <c r="YH45" s="272"/>
      <c r="YI45" s="272"/>
      <c r="YJ45" s="272"/>
      <c r="YK45" s="272"/>
      <c r="YL45" s="272"/>
      <c r="YM45" s="272"/>
      <c r="YN45" s="272"/>
      <c r="YO45" s="272"/>
      <c r="YP45" s="272"/>
      <c r="YQ45" s="272"/>
      <c r="YR45" s="272"/>
      <c r="YS45" s="272"/>
      <c r="YT45" s="272"/>
      <c r="YU45" s="272"/>
      <c r="YV45" s="272"/>
      <c r="YW45" s="272"/>
      <c r="YX45" s="272"/>
      <c r="YY45" s="272"/>
      <c r="YZ45" s="272"/>
      <c r="ZA45" s="272"/>
      <c r="ZB45" s="272"/>
      <c r="ZC45" s="272"/>
      <c r="ZD45" s="272"/>
      <c r="ZE45" s="272"/>
      <c r="ZF45" s="272"/>
      <c r="ZG45" s="272"/>
      <c r="ZH45" s="272"/>
      <c r="ZI45" s="272"/>
      <c r="ZJ45" s="272"/>
      <c r="ZK45" s="272"/>
      <c r="ZL45" s="272"/>
      <c r="ZM45" s="272"/>
      <c r="ZN45" s="272"/>
      <c r="ZO45" s="272"/>
      <c r="ZP45" s="272"/>
      <c r="ZQ45" s="272"/>
      <c r="ZR45" s="272"/>
      <c r="ZS45" s="272"/>
      <c r="ZT45" s="272"/>
      <c r="ZU45" s="272"/>
      <c r="ZV45" s="272"/>
      <c r="ZW45" s="272"/>
      <c r="ZX45" s="272"/>
      <c r="ZY45" s="272"/>
      <c r="ZZ45" s="272"/>
      <c r="AAA45" s="272"/>
      <c r="AAB45" s="272"/>
      <c r="AAC45" s="272"/>
      <c r="AAD45" s="272"/>
      <c r="AAE45" s="272"/>
      <c r="AAF45" s="272"/>
      <c r="AAG45" s="272"/>
      <c r="AAH45" s="272"/>
      <c r="AAI45" s="272"/>
      <c r="AAJ45" s="272"/>
      <c r="AAK45" s="272"/>
      <c r="AAL45" s="272"/>
      <c r="AAM45" s="272"/>
      <c r="AAN45" s="272"/>
      <c r="AAO45" s="272"/>
      <c r="AAP45" s="272"/>
      <c r="AAQ45" s="272"/>
      <c r="AAR45" s="272"/>
      <c r="AAS45" s="272"/>
      <c r="AAT45" s="272"/>
      <c r="AAU45" s="272"/>
      <c r="AAV45" s="272"/>
      <c r="AAW45" s="272"/>
      <c r="AAX45" s="272"/>
      <c r="AAY45" s="272"/>
      <c r="AAZ45" s="272"/>
      <c r="ABA45" s="272"/>
      <c r="ABB45" s="272"/>
      <c r="ABC45" s="272"/>
      <c r="ABD45" s="272"/>
      <c r="ABE45" s="272"/>
      <c r="ABF45" s="272"/>
      <c r="ABG45" s="272"/>
    </row>
    <row r="46" spans="1:735" s="62" customFormat="1" ht="13.5" thickBot="1">
      <c r="A46" s="48"/>
      <c r="B46" s="75"/>
      <c r="C46" s="32" t="s">
        <v>54</v>
      </c>
      <c r="D46" s="513"/>
      <c r="E46" s="509"/>
      <c r="F46" s="515"/>
      <c r="G46" s="516"/>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72"/>
      <c r="CZ46" s="272"/>
      <c r="DA46" s="272"/>
      <c r="DB46" s="272"/>
      <c r="DC46" s="272"/>
      <c r="DD46" s="272"/>
      <c r="DE46" s="272"/>
      <c r="DF46" s="272"/>
      <c r="DG46" s="272"/>
      <c r="DH46" s="272"/>
      <c r="DI46" s="272"/>
      <c r="DJ46" s="272"/>
      <c r="DK46" s="272"/>
      <c r="DL46" s="272"/>
      <c r="DM46" s="272"/>
      <c r="DN46" s="272"/>
      <c r="DO46" s="272"/>
      <c r="DP46" s="272"/>
      <c r="DQ46" s="272"/>
      <c r="DR46" s="272"/>
      <c r="DS46" s="272"/>
      <c r="DT46" s="272"/>
      <c r="DU46" s="272"/>
      <c r="DV46" s="272"/>
      <c r="DW46" s="272"/>
      <c r="DX46" s="272"/>
      <c r="DY46" s="272"/>
      <c r="DZ46" s="272"/>
      <c r="EA46" s="272"/>
      <c r="EB46" s="272"/>
      <c r="EC46" s="272"/>
      <c r="ED46" s="272"/>
      <c r="EE46" s="272"/>
      <c r="EF46" s="272"/>
      <c r="EG46" s="272"/>
      <c r="EH46" s="272"/>
      <c r="EI46" s="272"/>
      <c r="EJ46" s="272"/>
      <c r="EK46" s="272"/>
      <c r="EL46" s="272"/>
      <c r="EM46" s="272"/>
      <c r="EN46" s="272"/>
      <c r="EO46" s="272"/>
      <c r="EP46" s="272"/>
      <c r="EQ46" s="272"/>
      <c r="ER46" s="272"/>
      <c r="ES46" s="272"/>
      <c r="ET46" s="272"/>
      <c r="EU46" s="272"/>
      <c r="EV46" s="272"/>
      <c r="EW46" s="272"/>
      <c r="EX46" s="272"/>
      <c r="EY46" s="272"/>
      <c r="EZ46" s="272"/>
      <c r="FA46" s="272"/>
      <c r="FB46" s="272"/>
      <c r="FC46" s="272"/>
      <c r="FD46" s="272"/>
      <c r="FE46" s="272"/>
      <c r="FF46" s="272"/>
      <c r="FG46" s="272"/>
      <c r="FH46" s="272"/>
      <c r="FI46" s="272"/>
      <c r="FJ46" s="272"/>
      <c r="FK46" s="272"/>
      <c r="FL46" s="272"/>
      <c r="FM46" s="272"/>
      <c r="FN46" s="272"/>
      <c r="FO46" s="272"/>
      <c r="FP46" s="272"/>
      <c r="FQ46" s="272"/>
      <c r="FR46" s="272"/>
      <c r="FS46" s="272"/>
      <c r="FT46" s="272"/>
      <c r="FU46" s="272"/>
      <c r="FV46" s="272"/>
      <c r="FW46" s="272"/>
      <c r="FX46" s="272"/>
      <c r="FY46" s="272"/>
      <c r="FZ46" s="272"/>
      <c r="GA46" s="272"/>
      <c r="GB46" s="272"/>
      <c r="GC46" s="272"/>
      <c r="GD46" s="272"/>
      <c r="GE46" s="272"/>
      <c r="GF46" s="272"/>
      <c r="GG46" s="272"/>
      <c r="GH46" s="272"/>
      <c r="GI46" s="272"/>
      <c r="GJ46" s="272"/>
      <c r="GK46" s="272"/>
      <c r="GL46" s="272"/>
      <c r="GM46" s="272"/>
      <c r="GN46" s="272"/>
      <c r="GO46" s="272"/>
      <c r="GP46" s="272"/>
      <c r="GQ46" s="272"/>
      <c r="GR46" s="272"/>
      <c r="GS46" s="272"/>
      <c r="GT46" s="272"/>
      <c r="GU46" s="272"/>
      <c r="GV46" s="272"/>
      <c r="GW46" s="272"/>
      <c r="GX46" s="272"/>
      <c r="GY46" s="272"/>
      <c r="GZ46" s="272"/>
      <c r="HA46" s="272"/>
      <c r="HB46" s="272"/>
      <c r="HC46" s="272"/>
      <c r="HD46" s="272"/>
      <c r="HE46" s="272"/>
      <c r="HF46" s="272"/>
      <c r="HG46" s="272"/>
      <c r="HH46" s="272"/>
      <c r="HI46" s="272"/>
      <c r="HJ46" s="272"/>
      <c r="HK46" s="272"/>
      <c r="HL46" s="272"/>
      <c r="HM46" s="272"/>
      <c r="HN46" s="272"/>
      <c r="HO46" s="272"/>
      <c r="HP46" s="272"/>
      <c r="HQ46" s="272"/>
      <c r="HR46" s="272"/>
      <c r="HS46" s="272"/>
      <c r="HT46" s="272"/>
      <c r="HU46" s="272"/>
      <c r="HV46" s="272"/>
      <c r="HW46" s="272"/>
      <c r="HX46" s="272"/>
      <c r="HY46" s="272"/>
      <c r="HZ46" s="272"/>
      <c r="IA46" s="272"/>
      <c r="IB46" s="272"/>
      <c r="IC46" s="272"/>
      <c r="ID46" s="272"/>
      <c r="IE46" s="272"/>
      <c r="IF46" s="272"/>
      <c r="IG46" s="272"/>
      <c r="IH46" s="272"/>
      <c r="II46" s="272"/>
      <c r="IJ46" s="272"/>
      <c r="IK46" s="272"/>
      <c r="IL46" s="272"/>
      <c r="IM46" s="272"/>
      <c r="IN46" s="272"/>
      <c r="IO46" s="272"/>
      <c r="IP46" s="272"/>
      <c r="IQ46" s="272"/>
      <c r="IR46" s="272"/>
      <c r="IS46" s="272"/>
      <c r="IT46" s="272"/>
      <c r="IU46" s="272"/>
      <c r="IV46" s="272"/>
      <c r="IW46" s="272"/>
      <c r="IX46" s="272"/>
      <c r="IY46" s="272"/>
      <c r="IZ46" s="272"/>
      <c r="JA46" s="272"/>
      <c r="JB46" s="272"/>
      <c r="JC46" s="272"/>
      <c r="JD46" s="272"/>
      <c r="JE46" s="272"/>
      <c r="JF46" s="272"/>
      <c r="JG46" s="272"/>
      <c r="JH46" s="272"/>
      <c r="JI46" s="272"/>
      <c r="JJ46" s="272"/>
      <c r="JK46" s="272"/>
      <c r="JL46" s="272"/>
      <c r="JM46" s="272"/>
      <c r="JN46" s="272"/>
      <c r="JO46" s="272"/>
      <c r="JP46" s="272"/>
      <c r="JQ46" s="272"/>
      <c r="JR46" s="272"/>
      <c r="JS46" s="272"/>
      <c r="JT46" s="272"/>
      <c r="JU46" s="272"/>
      <c r="JV46" s="272"/>
      <c r="JW46" s="272"/>
      <c r="JX46" s="272"/>
      <c r="JY46" s="272"/>
      <c r="JZ46" s="272"/>
      <c r="KA46" s="272"/>
      <c r="KB46" s="272"/>
      <c r="KC46" s="272"/>
      <c r="KD46" s="272"/>
      <c r="KE46" s="272"/>
      <c r="KF46" s="272"/>
      <c r="KG46" s="272"/>
      <c r="KH46" s="272"/>
      <c r="KI46" s="272"/>
      <c r="KJ46" s="272"/>
      <c r="KK46" s="272"/>
      <c r="KL46" s="272"/>
      <c r="KM46" s="272"/>
      <c r="KN46" s="272"/>
      <c r="KO46" s="272"/>
      <c r="KP46" s="272"/>
      <c r="KQ46" s="272"/>
      <c r="KR46" s="272"/>
      <c r="KS46" s="272"/>
      <c r="KT46" s="272"/>
      <c r="KU46" s="272"/>
      <c r="KV46" s="272"/>
      <c r="KW46" s="272"/>
      <c r="KX46" s="272"/>
      <c r="KY46" s="272"/>
      <c r="KZ46" s="272"/>
      <c r="LA46" s="272"/>
      <c r="LB46" s="272"/>
      <c r="LC46" s="272"/>
      <c r="LD46" s="272"/>
      <c r="LE46" s="272"/>
      <c r="LF46" s="272"/>
      <c r="LG46" s="272"/>
      <c r="LH46" s="272"/>
      <c r="LI46" s="272"/>
      <c r="LJ46" s="272"/>
      <c r="LK46" s="272"/>
      <c r="LL46" s="272"/>
      <c r="LM46" s="272"/>
      <c r="LN46" s="272"/>
      <c r="LO46" s="272"/>
      <c r="LP46" s="272"/>
      <c r="LQ46" s="272"/>
      <c r="LR46" s="272"/>
      <c r="LS46" s="272"/>
      <c r="LT46" s="272"/>
      <c r="LU46" s="272"/>
      <c r="LV46" s="272"/>
      <c r="LW46" s="272"/>
      <c r="LX46" s="272"/>
      <c r="LY46" s="272"/>
      <c r="LZ46" s="272"/>
      <c r="MA46" s="272"/>
      <c r="MB46" s="272"/>
      <c r="MC46" s="272"/>
      <c r="MD46" s="272"/>
      <c r="ME46" s="272"/>
      <c r="MF46" s="272"/>
      <c r="MG46" s="272"/>
      <c r="MH46" s="272"/>
      <c r="MI46" s="272"/>
      <c r="MJ46" s="272"/>
      <c r="MK46" s="272"/>
      <c r="ML46" s="272"/>
      <c r="MM46" s="272"/>
      <c r="MN46" s="272"/>
      <c r="MO46" s="272"/>
      <c r="MP46" s="272"/>
      <c r="MQ46" s="272"/>
      <c r="MR46" s="272"/>
      <c r="MS46" s="272"/>
      <c r="MT46" s="272"/>
      <c r="MU46" s="272"/>
      <c r="MV46" s="272"/>
      <c r="MW46" s="272"/>
      <c r="MX46" s="272"/>
      <c r="MY46" s="272"/>
      <c r="MZ46" s="272"/>
      <c r="NA46" s="272"/>
      <c r="NB46" s="272"/>
      <c r="NC46" s="272"/>
      <c r="ND46" s="272"/>
      <c r="NE46" s="272"/>
      <c r="NF46" s="272"/>
      <c r="NG46" s="272"/>
      <c r="NH46" s="272"/>
      <c r="NI46" s="272"/>
      <c r="NJ46" s="272"/>
      <c r="NK46" s="272"/>
      <c r="NL46" s="272"/>
      <c r="NM46" s="272"/>
      <c r="NN46" s="272"/>
      <c r="NO46" s="272"/>
      <c r="NP46" s="272"/>
      <c r="NQ46" s="272"/>
      <c r="NR46" s="272"/>
      <c r="NS46" s="272"/>
      <c r="NT46" s="272"/>
      <c r="NU46" s="272"/>
      <c r="NV46" s="272"/>
      <c r="NW46" s="272"/>
      <c r="NX46" s="272"/>
      <c r="NY46" s="272"/>
      <c r="NZ46" s="272"/>
      <c r="OA46" s="272"/>
      <c r="OB46" s="272"/>
      <c r="OC46" s="272"/>
      <c r="OD46" s="272"/>
      <c r="OE46" s="272"/>
      <c r="OF46" s="272"/>
      <c r="OG46" s="272"/>
      <c r="OH46" s="272"/>
      <c r="OI46" s="272"/>
      <c r="OJ46" s="272"/>
      <c r="OK46" s="272"/>
      <c r="OL46" s="272"/>
      <c r="OM46" s="272"/>
      <c r="ON46" s="272"/>
      <c r="OO46" s="272"/>
      <c r="OP46" s="272"/>
      <c r="OQ46" s="272"/>
      <c r="OR46" s="272"/>
      <c r="OS46" s="272"/>
      <c r="OT46" s="272"/>
      <c r="OU46" s="272"/>
      <c r="OV46" s="272"/>
      <c r="OW46" s="272"/>
      <c r="OX46" s="272"/>
      <c r="OY46" s="272"/>
      <c r="OZ46" s="272"/>
      <c r="PA46" s="272"/>
      <c r="PB46" s="272"/>
      <c r="PC46" s="272"/>
      <c r="PD46" s="272"/>
      <c r="PE46" s="272"/>
      <c r="PF46" s="272"/>
      <c r="PG46" s="272"/>
      <c r="PH46" s="272"/>
      <c r="PI46" s="272"/>
      <c r="PJ46" s="272"/>
      <c r="PK46" s="272"/>
      <c r="PL46" s="272"/>
      <c r="PM46" s="272"/>
      <c r="PN46" s="272"/>
      <c r="PO46" s="272"/>
      <c r="PP46" s="272"/>
      <c r="PQ46" s="272"/>
      <c r="PR46" s="272"/>
      <c r="PS46" s="272"/>
      <c r="PT46" s="272"/>
      <c r="PU46" s="272"/>
      <c r="PV46" s="272"/>
      <c r="PW46" s="272"/>
      <c r="PX46" s="272"/>
      <c r="PY46" s="272"/>
      <c r="PZ46" s="272"/>
      <c r="QA46" s="272"/>
      <c r="QB46" s="272"/>
      <c r="QC46" s="272"/>
      <c r="QD46" s="272"/>
      <c r="QE46" s="272"/>
      <c r="QF46" s="272"/>
      <c r="QG46" s="272"/>
      <c r="QH46" s="272"/>
      <c r="QI46" s="272"/>
      <c r="QJ46" s="272"/>
      <c r="QK46" s="272"/>
      <c r="QL46" s="272"/>
      <c r="QM46" s="272"/>
      <c r="QN46" s="272"/>
      <c r="QO46" s="272"/>
      <c r="QP46" s="272"/>
      <c r="QQ46" s="272"/>
      <c r="QR46" s="272"/>
      <c r="QS46" s="272"/>
      <c r="QT46" s="272"/>
      <c r="QU46" s="272"/>
      <c r="QV46" s="272"/>
      <c r="QW46" s="272"/>
      <c r="QX46" s="272"/>
      <c r="QY46" s="272"/>
      <c r="QZ46" s="272"/>
      <c r="RA46" s="272"/>
      <c r="RB46" s="272"/>
      <c r="RC46" s="272"/>
      <c r="RD46" s="272"/>
      <c r="RE46" s="272"/>
      <c r="RF46" s="272"/>
      <c r="RG46" s="272"/>
      <c r="RH46" s="272"/>
      <c r="RI46" s="272"/>
      <c r="RJ46" s="272"/>
      <c r="RK46" s="272"/>
      <c r="RL46" s="272"/>
      <c r="RM46" s="272"/>
      <c r="RN46" s="272"/>
      <c r="RO46" s="272"/>
      <c r="RP46" s="272"/>
      <c r="RQ46" s="272"/>
      <c r="RR46" s="272"/>
      <c r="RS46" s="272"/>
      <c r="RT46" s="272"/>
      <c r="RU46" s="272"/>
      <c r="RV46" s="272"/>
      <c r="RW46" s="272"/>
      <c r="RX46" s="272"/>
      <c r="RY46" s="272"/>
      <c r="RZ46" s="272"/>
      <c r="SA46" s="272"/>
      <c r="SB46" s="272"/>
      <c r="SC46" s="272"/>
      <c r="SD46" s="272"/>
      <c r="SE46" s="272"/>
      <c r="SF46" s="272"/>
      <c r="SG46" s="272"/>
      <c r="SH46" s="272"/>
      <c r="SI46" s="272"/>
      <c r="SJ46" s="272"/>
      <c r="SK46" s="272"/>
      <c r="SL46" s="272"/>
      <c r="SM46" s="272"/>
      <c r="SN46" s="272"/>
      <c r="SO46" s="272"/>
      <c r="SP46" s="272"/>
      <c r="SQ46" s="272"/>
      <c r="SR46" s="272"/>
      <c r="SS46" s="272"/>
      <c r="ST46" s="272"/>
      <c r="SU46" s="272"/>
      <c r="SV46" s="272"/>
      <c r="SW46" s="272"/>
      <c r="SX46" s="272"/>
      <c r="SY46" s="272"/>
      <c r="SZ46" s="272"/>
      <c r="TA46" s="272"/>
      <c r="TB46" s="272"/>
      <c r="TC46" s="272"/>
      <c r="TD46" s="272"/>
      <c r="TE46" s="272"/>
      <c r="TF46" s="272"/>
      <c r="TG46" s="272"/>
      <c r="TH46" s="272"/>
      <c r="TI46" s="272"/>
      <c r="TJ46" s="272"/>
      <c r="TK46" s="272"/>
      <c r="TL46" s="272"/>
      <c r="TM46" s="272"/>
      <c r="TN46" s="272"/>
      <c r="TO46" s="272"/>
      <c r="TP46" s="272"/>
      <c r="TQ46" s="272"/>
      <c r="TR46" s="272"/>
      <c r="TS46" s="272"/>
      <c r="TT46" s="272"/>
      <c r="TU46" s="272"/>
      <c r="TV46" s="272"/>
      <c r="TW46" s="272"/>
      <c r="TX46" s="272"/>
      <c r="TY46" s="272"/>
      <c r="TZ46" s="272"/>
      <c r="UA46" s="272"/>
      <c r="UB46" s="272"/>
      <c r="UC46" s="272"/>
      <c r="UD46" s="272"/>
      <c r="UE46" s="272"/>
      <c r="UF46" s="272"/>
      <c r="UG46" s="272"/>
      <c r="UH46" s="272"/>
      <c r="UI46" s="272"/>
      <c r="UJ46" s="272"/>
      <c r="UK46" s="272"/>
      <c r="UL46" s="272"/>
      <c r="UM46" s="272"/>
      <c r="UN46" s="272"/>
      <c r="UO46" s="272"/>
      <c r="UP46" s="272"/>
      <c r="UQ46" s="272"/>
      <c r="UR46" s="272"/>
      <c r="US46" s="272"/>
      <c r="UT46" s="272"/>
      <c r="UU46" s="272"/>
      <c r="UV46" s="272"/>
      <c r="UW46" s="272"/>
      <c r="UX46" s="272"/>
      <c r="UY46" s="272"/>
      <c r="UZ46" s="272"/>
      <c r="VA46" s="272"/>
      <c r="VB46" s="272"/>
      <c r="VC46" s="272"/>
      <c r="VD46" s="272"/>
      <c r="VE46" s="272"/>
      <c r="VF46" s="272"/>
      <c r="VG46" s="272"/>
      <c r="VH46" s="272"/>
      <c r="VI46" s="272"/>
      <c r="VJ46" s="272"/>
      <c r="VK46" s="272"/>
      <c r="VL46" s="272"/>
      <c r="VM46" s="272"/>
      <c r="VN46" s="272"/>
      <c r="VO46" s="272"/>
      <c r="VP46" s="272"/>
      <c r="VQ46" s="272"/>
      <c r="VR46" s="272"/>
      <c r="VS46" s="272"/>
      <c r="VT46" s="272"/>
      <c r="VU46" s="272"/>
      <c r="VV46" s="272"/>
      <c r="VW46" s="272"/>
      <c r="VX46" s="272"/>
      <c r="VY46" s="272"/>
      <c r="VZ46" s="272"/>
      <c r="WA46" s="272"/>
      <c r="WB46" s="272"/>
      <c r="WC46" s="272"/>
      <c r="WD46" s="272"/>
      <c r="WE46" s="272"/>
      <c r="WF46" s="272"/>
      <c r="WG46" s="272"/>
      <c r="WH46" s="272"/>
      <c r="WI46" s="272"/>
      <c r="WJ46" s="272"/>
      <c r="WK46" s="272"/>
      <c r="WL46" s="272"/>
      <c r="WM46" s="272"/>
      <c r="WN46" s="272"/>
      <c r="WO46" s="272"/>
      <c r="WP46" s="272"/>
      <c r="WQ46" s="272"/>
      <c r="WR46" s="272"/>
      <c r="WS46" s="272"/>
      <c r="WT46" s="272"/>
      <c r="WU46" s="272"/>
      <c r="WV46" s="272"/>
      <c r="WW46" s="272"/>
      <c r="WX46" s="272"/>
      <c r="WY46" s="272"/>
      <c r="WZ46" s="272"/>
      <c r="XA46" s="272"/>
      <c r="XB46" s="272"/>
      <c r="XC46" s="272"/>
      <c r="XD46" s="272"/>
      <c r="XE46" s="272"/>
      <c r="XF46" s="272"/>
      <c r="XG46" s="272"/>
      <c r="XH46" s="272"/>
      <c r="XI46" s="272"/>
      <c r="XJ46" s="272"/>
      <c r="XK46" s="272"/>
      <c r="XL46" s="272"/>
      <c r="XM46" s="272"/>
      <c r="XN46" s="272"/>
      <c r="XO46" s="272"/>
      <c r="XP46" s="272"/>
      <c r="XQ46" s="272"/>
      <c r="XR46" s="272"/>
      <c r="XS46" s="272"/>
      <c r="XT46" s="272"/>
      <c r="XU46" s="272"/>
      <c r="XV46" s="272"/>
      <c r="XW46" s="272"/>
      <c r="XX46" s="272"/>
      <c r="XY46" s="272"/>
      <c r="XZ46" s="272"/>
      <c r="YA46" s="272"/>
      <c r="YB46" s="272"/>
      <c r="YC46" s="272"/>
      <c r="YD46" s="272"/>
      <c r="YE46" s="272"/>
      <c r="YF46" s="272"/>
      <c r="YG46" s="272"/>
      <c r="YH46" s="272"/>
      <c r="YI46" s="272"/>
      <c r="YJ46" s="272"/>
      <c r="YK46" s="272"/>
      <c r="YL46" s="272"/>
      <c r="YM46" s="272"/>
      <c r="YN46" s="272"/>
      <c r="YO46" s="272"/>
      <c r="YP46" s="272"/>
      <c r="YQ46" s="272"/>
      <c r="YR46" s="272"/>
      <c r="YS46" s="272"/>
      <c r="YT46" s="272"/>
      <c r="YU46" s="272"/>
      <c r="YV46" s="272"/>
      <c r="YW46" s="272"/>
      <c r="YX46" s="272"/>
      <c r="YY46" s="272"/>
      <c r="YZ46" s="272"/>
      <c r="ZA46" s="272"/>
      <c r="ZB46" s="272"/>
      <c r="ZC46" s="272"/>
      <c r="ZD46" s="272"/>
      <c r="ZE46" s="272"/>
      <c r="ZF46" s="272"/>
      <c r="ZG46" s="272"/>
      <c r="ZH46" s="272"/>
      <c r="ZI46" s="272"/>
      <c r="ZJ46" s="272"/>
      <c r="ZK46" s="272"/>
      <c r="ZL46" s="272"/>
      <c r="ZM46" s="272"/>
      <c r="ZN46" s="272"/>
      <c r="ZO46" s="272"/>
      <c r="ZP46" s="272"/>
      <c r="ZQ46" s="272"/>
      <c r="ZR46" s="272"/>
      <c r="ZS46" s="272"/>
      <c r="ZT46" s="272"/>
      <c r="ZU46" s="272"/>
      <c r="ZV46" s="272"/>
      <c r="ZW46" s="272"/>
      <c r="ZX46" s="272"/>
      <c r="ZY46" s="272"/>
      <c r="ZZ46" s="272"/>
      <c r="AAA46" s="272"/>
      <c r="AAB46" s="272"/>
      <c r="AAC46" s="272"/>
      <c r="AAD46" s="272"/>
      <c r="AAE46" s="272"/>
      <c r="AAF46" s="272"/>
      <c r="AAG46" s="272"/>
      <c r="AAH46" s="272"/>
      <c r="AAI46" s="272"/>
      <c r="AAJ46" s="272"/>
      <c r="AAK46" s="272"/>
      <c r="AAL46" s="272"/>
      <c r="AAM46" s="272"/>
      <c r="AAN46" s="272"/>
      <c r="AAO46" s="272"/>
      <c r="AAP46" s="272"/>
      <c r="AAQ46" s="272"/>
      <c r="AAR46" s="272"/>
      <c r="AAS46" s="272"/>
      <c r="AAT46" s="272"/>
      <c r="AAU46" s="272"/>
      <c r="AAV46" s="272"/>
      <c r="AAW46" s="272"/>
      <c r="AAX46" s="272"/>
      <c r="AAY46" s="272"/>
      <c r="AAZ46" s="272"/>
      <c r="ABA46" s="272"/>
      <c r="ABB46" s="272"/>
      <c r="ABC46" s="272"/>
      <c r="ABD46" s="272"/>
      <c r="ABE46" s="272"/>
      <c r="ABF46" s="272"/>
      <c r="ABG46" s="272"/>
    </row>
    <row r="47" spans="1:735" s="61" customFormat="1" ht="15">
      <c r="A47" s="611" t="s">
        <v>3</v>
      </c>
      <c r="B47" s="614" t="s">
        <v>26</v>
      </c>
      <c r="C47" s="30" t="s">
        <v>52</v>
      </c>
      <c r="D47" s="501"/>
      <c r="E47" s="502"/>
      <c r="F47" s="503"/>
      <c r="G47" s="504"/>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72"/>
      <c r="EI47" s="272"/>
      <c r="EJ47" s="272"/>
      <c r="EK47" s="272"/>
      <c r="EL47" s="272"/>
      <c r="EM47" s="272"/>
      <c r="EN47" s="272"/>
      <c r="EO47" s="272"/>
      <c r="EP47" s="272"/>
      <c r="EQ47" s="272"/>
      <c r="ER47" s="272"/>
      <c r="ES47" s="272"/>
      <c r="ET47" s="272"/>
      <c r="EU47" s="272"/>
      <c r="EV47" s="272"/>
      <c r="EW47" s="272"/>
      <c r="EX47" s="272"/>
      <c r="EY47" s="272"/>
      <c r="EZ47" s="272"/>
      <c r="FA47" s="272"/>
      <c r="FB47" s="272"/>
      <c r="FC47" s="272"/>
      <c r="FD47" s="272"/>
      <c r="FE47" s="272"/>
      <c r="FF47" s="272"/>
      <c r="FG47" s="272"/>
      <c r="FH47" s="272"/>
      <c r="FI47" s="272"/>
      <c r="FJ47" s="272"/>
      <c r="FK47" s="272"/>
      <c r="FL47" s="272"/>
      <c r="FM47" s="272"/>
      <c r="FN47" s="272"/>
      <c r="FO47" s="272"/>
      <c r="FP47" s="272"/>
      <c r="FQ47" s="272"/>
      <c r="FR47" s="272"/>
      <c r="FS47" s="272"/>
      <c r="FT47" s="272"/>
      <c r="FU47" s="272"/>
      <c r="FV47" s="272"/>
      <c r="FW47" s="272"/>
      <c r="FX47" s="272"/>
      <c r="FY47" s="272"/>
      <c r="FZ47" s="272"/>
      <c r="GA47" s="272"/>
      <c r="GB47" s="272"/>
      <c r="GC47" s="272"/>
      <c r="GD47" s="272"/>
      <c r="GE47" s="272"/>
      <c r="GF47" s="272"/>
      <c r="GG47" s="272"/>
      <c r="GH47" s="272"/>
      <c r="GI47" s="272"/>
      <c r="GJ47" s="272"/>
      <c r="GK47" s="272"/>
      <c r="GL47" s="272"/>
      <c r="GM47" s="272"/>
      <c r="GN47" s="272"/>
      <c r="GO47" s="272"/>
      <c r="GP47" s="272"/>
      <c r="GQ47" s="272"/>
      <c r="GR47" s="272"/>
      <c r="GS47" s="272"/>
      <c r="GT47" s="272"/>
      <c r="GU47" s="272"/>
      <c r="GV47" s="272"/>
      <c r="GW47" s="272"/>
      <c r="GX47" s="272"/>
      <c r="GY47" s="272"/>
      <c r="GZ47" s="272"/>
      <c r="HA47" s="272"/>
      <c r="HB47" s="272"/>
      <c r="HC47" s="272"/>
      <c r="HD47" s="272"/>
      <c r="HE47" s="272"/>
      <c r="HF47" s="272"/>
      <c r="HG47" s="272"/>
      <c r="HH47" s="272"/>
      <c r="HI47" s="272"/>
      <c r="HJ47" s="272"/>
      <c r="HK47" s="272"/>
      <c r="HL47" s="272"/>
      <c r="HM47" s="272"/>
      <c r="HN47" s="272"/>
      <c r="HO47" s="272"/>
      <c r="HP47" s="272"/>
      <c r="HQ47" s="272"/>
      <c r="HR47" s="272"/>
      <c r="HS47" s="272"/>
      <c r="HT47" s="272"/>
      <c r="HU47" s="272"/>
      <c r="HV47" s="272"/>
      <c r="HW47" s="272"/>
      <c r="HX47" s="272"/>
      <c r="HY47" s="272"/>
      <c r="HZ47" s="272"/>
      <c r="IA47" s="272"/>
      <c r="IB47" s="272"/>
      <c r="IC47" s="272"/>
      <c r="ID47" s="272"/>
      <c r="IE47" s="272"/>
      <c r="IF47" s="272"/>
      <c r="IG47" s="272"/>
      <c r="IH47" s="272"/>
      <c r="II47" s="272"/>
      <c r="IJ47" s="272"/>
      <c r="IK47" s="272"/>
      <c r="IL47" s="272"/>
      <c r="IM47" s="272"/>
      <c r="IN47" s="272"/>
      <c r="IO47" s="272"/>
      <c r="IP47" s="272"/>
      <c r="IQ47" s="272"/>
      <c r="IR47" s="272"/>
      <c r="IS47" s="272"/>
      <c r="IT47" s="272"/>
      <c r="IU47" s="272"/>
      <c r="IV47" s="272"/>
      <c r="IW47" s="272"/>
      <c r="IX47" s="272"/>
      <c r="IY47" s="272"/>
      <c r="IZ47" s="272"/>
      <c r="JA47" s="272"/>
      <c r="JB47" s="272"/>
      <c r="JC47" s="272"/>
      <c r="JD47" s="272"/>
      <c r="JE47" s="272"/>
      <c r="JF47" s="272"/>
      <c r="JG47" s="272"/>
      <c r="JH47" s="272"/>
      <c r="JI47" s="272"/>
      <c r="JJ47" s="272"/>
      <c r="JK47" s="272"/>
      <c r="JL47" s="272"/>
      <c r="JM47" s="272"/>
      <c r="JN47" s="272"/>
      <c r="JO47" s="272"/>
      <c r="JP47" s="272"/>
      <c r="JQ47" s="272"/>
      <c r="JR47" s="272"/>
      <c r="JS47" s="272"/>
      <c r="JT47" s="272"/>
      <c r="JU47" s="272"/>
      <c r="JV47" s="272"/>
      <c r="JW47" s="272"/>
      <c r="JX47" s="272"/>
      <c r="JY47" s="272"/>
      <c r="JZ47" s="272"/>
      <c r="KA47" s="272"/>
      <c r="KB47" s="272"/>
      <c r="KC47" s="272"/>
      <c r="KD47" s="272"/>
      <c r="KE47" s="272"/>
      <c r="KF47" s="272"/>
      <c r="KG47" s="272"/>
      <c r="KH47" s="272"/>
      <c r="KI47" s="272"/>
      <c r="KJ47" s="272"/>
      <c r="KK47" s="272"/>
      <c r="KL47" s="272"/>
      <c r="KM47" s="272"/>
      <c r="KN47" s="272"/>
      <c r="KO47" s="272"/>
      <c r="KP47" s="272"/>
      <c r="KQ47" s="272"/>
      <c r="KR47" s="272"/>
      <c r="KS47" s="272"/>
      <c r="KT47" s="272"/>
      <c r="KU47" s="272"/>
      <c r="KV47" s="272"/>
      <c r="KW47" s="272"/>
      <c r="KX47" s="272"/>
      <c r="KY47" s="272"/>
      <c r="KZ47" s="272"/>
      <c r="LA47" s="272"/>
      <c r="LB47" s="272"/>
      <c r="LC47" s="272"/>
      <c r="LD47" s="272"/>
      <c r="LE47" s="272"/>
      <c r="LF47" s="272"/>
      <c r="LG47" s="272"/>
      <c r="LH47" s="272"/>
      <c r="LI47" s="272"/>
      <c r="LJ47" s="272"/>
      <c r="LK47" s="272"/>
      <c r="LL47" s="272"/>
      <c r="LM47" s="272"/>
      <c r="LN47" s="272"/>
      <c r="LO47" s="272"/>
      <c r="LP47" s="272"/>
      <c r="LQ47" s="272"/>
      <c r="LR47" s="272"/>
      <c r="LS47" s="272"/>
      <c r="LT47" s="272"/>
      <c r="LU47" s="272"/>
      <c r="LV47" s="272"/>
      <c r="LW47" s="272"/>
      <c r="LX47" s="272"/>
      <c r="LY47" s="272"/>
      <c r="LZ47" s="272"/>
      <c r="MA47" s="272"/>
      <c r="MB47" s="272"/>
      <c r="MC47" s="272"/>
      <c r="MD47" s="272"/>
      <c r="ME47" s="272"/>
      <c r="MF47" s="272"/>
      <c r="MG47" s="272"/>
      <c r="MH47" s="272"/>
      <c r="MI47" s="272"/>
      <c r="MJ47" s="272"/>
      <c r="MK47" s="272"/>
      <c r="ML47" s="272"/>
      <c r="MM47" s="272"/>
      <c r="MN47" s="272"/>
      <c r="MO47" s="272"/>
      <c r="MP47" s="272"/>
      <c r="MQ47" s="272"/>
      <c r="MR47" s="272"/>
      <c r="MS47" s="272"/>
      <c r="MT47" s="272"/>
      <c r="MU47" s="272"/>
      <c r="MV47" s="272"/>
      <c r="MW47" s="272"/>
      <c r="MX47" s="272"/>
      <c r="MY47" s="272"/>
      <c r="MZ47" s="272"/>
      <c r="NA47" s="272"/>
      <c r="NB47" s="272"/>
      <c r="NC47" s="272"/>
      <c r="ND47" s="272"/>
      <c r="NE47" s="272"/>
      <c r="NF47" s="272"/>
      <c r="NG47" s="272"/>
      <c r="NH47" s="272"/>
      <c r="NI47" s="272"/>
      <c r="NJ47" s="272"/>
      <c r="NK47" s="272"/>
      <c r="NL47" s="272"/>
      <c r="NM47" s="272"/>
      <c r="NN47" s="272"/>
      <c r="NO47" s="272"/>
      <c r="NP47" s="272"/>
      <c r="NQ47" s="272"/>
      <c r="NR47" s="272"/>
      <c r="NS47" s="272"/>
      <c r="NT47" s="272"/>
      <c r="NU47" s="272"/>
      <c r="NV47" s="272"/>
      <c r="NW47" s="272"/>
      <c r="NX47" s="272"/>
      <c r="NY47" s="272"/>
      <c r="NZ47" s="272"/>
      <c r="OA47" s="272"/>
      <c r="OB47" s="272"/>
      <c r="OC47" s="272"/>
      <c r="OD47" s="272"/>
      <c r="OE47" s="272"/>
      <c r="OF47" s="272"/>
      <c r="OG47" s="272"/>
      <c r="OH47" s="272"/>
      <c r="OI47" s="272"/>
      <c r="OJ47" s="272"/>
      <c r="OK47" s="272"/>
      <c r="OL47" s="272"/>
      <c r="OM47" s="272"/>
      <c r="ON47" s="272"/>
      <c r="OO47" s="272"/>
      <c r="OP47" s="272"/>
      <c r="OQ47" s="272"/>
      <c r="OR47" s="272"/>
      <c r="OS47" s="272"/>
      <c r="OT47" s="272"/>
      <c r="OU47" s="272"/>
      <c r="OV47" s="272"/>
      <c r="OW47" s="272"/>
      <c r="OX47" s="272"/>
      <c r="OY47" s="272"/>
      <c r="OZ47" s="272"/>
      <c r="PA47" s="272"/>
      <c r="PB47" s="272"/>
      <c r="PC47" s="272"/>
      <c r="PD47" s="272"/>
      <c r="PE47" s="272"/>
      <c r="PF47" s="272"/>
      <c r="PG47" s="272"/>
      <c r="PH47" s="272"/>
      <c r="PI47" s="272"/>
      <c r="PJ47" s="272"/>
      <c r="PK47" s="272"/>
      <c r="PL47" s="272"/>
      <c r="PM47" s="272"/>
      <c r="PN47" s="272"/>
      <c r="PO47" s="272"/>
      <c r="PP47" s="272"/>
      <c r="PQ47" s="272"/>
      <c r="PR47" s="272"/>
      <c r="PS47" s="272"/>
      <c r="PT47" s="272"/>
      <c r="PU47" s="272"/>
      <c r="PV47" s="272"/>
      <c r="PW47" s="272"/>
      <c r="PX47" s="272"/>
      <c r="PY47" s="272"/>
      <c r="PZ47" s="272"/>
      <c r="QA47" s="272"/>
      <c r="QB47" s="272"/>
      <c r="QC47" s="272"/>
      <c r="QD47" s="272"/>
      <c r="QE47" s="272"/>
      <c r="QF47" s="272"/>
      <c r="QG47" s="272"/>
      <c r="QH47" s="272"/>
      <c r="QI47" s="272"/>
      <c r="QJ47" s="272"/>
      <c r="QK47" s="272"/>
      <c r="QL47" s="272"/>
      <c r="QM47" s="272"/>
      <c r="QN47" s="272"/>
      <c r="QO47" s="272"/>
      <c r="QP47" s="272"/>
      <c r="QQ47" s="272"/>
      <c r="QR47" s="272"/>
      <c r="QS47" s="272"/>
      <c r="QT47" s="272"/>
      <c r="QU47" s="272"/>
      <c r="QV47" s="272"/>
      <c r="QW47" s="272"/>
      <c r="QX47" s="272"/>
      <c r="QY47" s="272"/>
      <c r="QZ47" s="272"/>
      <c r="RA47" s="272"/>
      <c r="RB47" s="272"/>
      <c r="RC47" s="272"/>
      <c r="RD47" s="272"/>
      <c r="RE47" s="272"/>
      <c r="RF47" s="272"/>
      <c r="RG47" s="272"/>
      <c r="RH47" s="272"/>
      <c r="RI47" s="272"/>
      <c r="RJ47" s="272"/>
      <c r="RK47" s="272"/>
      <c r="RL47" s="272"/>
      <c r="RM47" s="272"/>
      <c r="RN47" s="272"/>
      <c r="RO47" s="272"/>
      <c r="RP47" s="272"/>
      <c r="RQ47" s="272"/>
      <c r="RR47" s="272"/>
      <c r="RS47" s="272"/>
      <c r="RT47" s="272"/>
      <c r="RU47" s="272"/>
      <c r="RV47" s="272"/>
      <c r="RW47" s="272"/>
      <c r="RX47" s="272"/>
      <c r="RY47" s="272"/>
      <c r="RZ47" s="272"/>
      <c r="SA47" s="272"/>
      <c r="SB47" s="272"/>
      <c r="SC47" s="272"/>
      <c r="SD47" s="272"/>
      <c r="SE47" s="272"/>
      <c r="SF47" s="272"/>
      <c r="SG47" s="272"/>
      <c r="SH47" s="272"/>
      <c r="SI47" s="272"/>
      <c r="SJ47" s="272"/>
      <c r="SK47" s="272"/>
      <c r="SL47" s="272"/>
      <c r="SM47" s="272"/>
      <c r="SN47" s="272"/>
      <c r="SO47" s="272"/>
      <c r="SP47" s="272"/>
      <c r="SQ47" s="272"/>
      <c r="SR47" s="272"/>
      <c r="SS47" s="272"/>
      <c r="ST47" s="272"/>
      <c r="SU47" s="272"/>
      <c r="SV47" s="272"/>
      <c r="SW47" s="272"/>
      <c r="SX47" s="272"/>
      <c r="SY47" s="272"/>
      <c r="SZ47" s="272"/>
      <c r="TA47" s="272"/>
      <c r="TB47" s="272"/>
      <c r="TC47" s="272"/>
      <c r="TD47" s="272"/>
      <c r="TE47" s="272"/>
      <c r="TF47" s="272"/>
      <c r="TG47" s="272"/>
      <c r="TH47" s="272"/>
      <c r="TI47" s="272"/>
      <c r="TJ47" s="272"/>
      <c r="TK47" s="272"/>
      <c r="TL47" s="272"/>
      <c r="TM47" s="272"/>
      <c r="TN47" s="272"/>
      <c r="TO47" s="272"/>
      <c r="TP47" s="272"/>
      <c r="TQ47" s="272"/>
      <c r="TR47" s="272"/>
      <c r="TS47" s="272"/>
      <c r="TT47" s="272"/>
      <c r="TU47" s="272"/>
      <c r="TV47" s="272"/>
      <c r="TW47" s="272"/>
      <c r="TX47" s="272"/>
      <c r="TY47" s="272"/>
      <c r="TZ47" s="272"/>
      <c r="UA47" s="272"/>
      <c r="UB47" s="272"/>
      <c r="UC47" s="272"/>
      <c r="UD47" s="272"/>
      <c r="UE47" s="272"/>
      <c r="UF47" s="272"/>
      <c r="UG47" s="272"/>
      <c r="UH47" s="272"/>
      <c r="UI47" s="272"/>
      <c r="UJ47" s="272"/>
      <c r="UK47" s="272"/>
      <c r="UL47" s="272"/>
      <c r="UM47" s="272"/>
      <c r="UN47" s="272"/>
      <c r="UO47" s="272"/>
      <c r="UP47" s="272"/>
      <c r="UQ47" s="272"/>
      <c r="UR47" s="272"/>
      <c r="US47" s="272"/>
      <c r="UT47" s="272"/>
      <c r="UU47" s="272"/>
      <c r="UV47" s="272"/>
      <c r="UW47" s="272"/>
      <c r="UX47" s="272"/>
      <c r="UY47" s="272"/>
      <c r="UZ47" s="272"/>
      <c r="VA47" s="272"/>
      <c r="VB47" s="272"/>
      <c r="VC47" s="272"/>
      <c r="VD47" s="272"/>
      <c r="VE47" s="272"/>
      <c r="VF47" s="272"/>
      <c r="VG47" s="272"/>
      <c r="VH47" s="272"/>
      <c r="VI47" s="272"/>
      <c r="VJ47" s="272"/>
      <c r="VK47" s="272"/>
      <c r="VL47" s="272"/>
      <c r="VM47" s="272"/>
      <c r="VN47" s="272"/>
      <c r="VO47" s="272"/>
      <c r="VP47" s="272"/>
      <c r="VQ47" s="272"/>
      <c r="VR47" s="272"/>
      <c r="VS47" s="272"/>
      <c r="VT47" s="272"/>
      <c r="VU47" s="272"/>
      <c r="VV47" s="272"/>
      <c r="VW47" s="272"/>
      <c r="VX47" s="272"/>
      <c r="VY47" s="272"/>
      <c r="VZ47" s="272"/>
      <c r="WA47" s="272"/>
      <c r="WB47" s="272"/>
      <c r="WC47" s="272"/>
      <c r="WD47" s="272"/>
      <c r="WE47" s="272"/>
      <c r="WF47" s="272"/>
      <c r="WG47" s="272"/>
      <c r="WH47" s="272"/>
      <c r="WI47" s="272"/>
      <c r="WJ47" s="272"/>
      <c r="WK47" s="272"/>
      <c r="WL47" s="272"/>
      <c r="WM47" s="272"/>
      <c r="WN47" s="272"/>
      <c r="WO47" s="272"/>
      <c r="WP47" s="272"/>
      <c r="WQ47" s="272"/>
      <c r="WR47" s="272"/>
      <c r="WS47" s="272"/>
      <c r="WT47" s="272"/>
      <c r="WU47" s="272"/>
      <c r="WV47" s="272"/>
      <c r="WW47" s="272"/>
      <c r="WX47" s="272"/>
      <c r="WY47" s="272"/>
      <c r="WZ47" s="272"/>
      <c r="XA47" s="272"/>
      <c r="XB47" s="272"/>
      <c r="XC47" s="272"/>
      <c r="XD47" s="272"/>
      <c r="XE47" s="272"/>
      <c r="XF47" s="272"/>
      <c r="XG47" s="272"/>
      <c r="XH47" s="272"/>
      <c r="XI47" s="272"/>
      <c r="XJ47" s="272"/>
      <c r="XK47" s="272"/>
      <c r="XL47" s="272"/>
      <c r="XM47" s="272"/>
      <c r="XN47" s="272"/>
      <c r="XO47" s="272"/>
      <c r="XP47" s="272"/>
      <c r="XQ47" s="272"/>
      <c r="XR47" s="272"/>
      <c r="XS47" s="272"/>
      <c r="XT47" s="272"/>
      <c r="XU47" s="272"/>
      <c r="XV47" s="272"/>
      <c r="XW47" s="272"/>
      <c r="XX47" s="272"/>
      <c r="XY47" s="272"/>
      <c r="XZ47" s="272"/>
      <c r="YA47" s="272"/>
      <c r="YB47" s="272"/>
      <c r="YC47" s="272"/>
      <c r="YD47" s="272"/>
      <c r="YE47" s="272"/>
      <c r="YF47" s="272"/>
      <c r="YG47" s="272"/>
      <c r="YH47" s="272"/>
      <c r="YI47" s="272"/>
      <c r="YJ47" s="272"/>
      <c r="YK47" s="272"/>
      <c r="YL47" s="272"/>
      <c r="YM47" s="272"/>
      <c r="YN47" s="272"/>
      <c r="YO47" s="272"/>
      <c r="YP47" s="272"/>
      <c r="YQ47" s="272"/>
      <c r="YR47" s="272"/>
      <c r="YS47" s="272"/>
      <c r="YT47" s="272"/>
      <c r="YU47" s="272"/>
      <c r="YV47" s="272"/>
      <c r="YW47" s="272"/>
      <c r="YX47" s="272"/>
      <c r="YY47" s="272"/>
      <c r="YZ47" s="272"/>
      <c r="ZA47" s="272"/>
      <c r="ZB47" s="272"/>
      <c r="ZC47" s="272"/>
      <c r="ZD47" s="272"/>
      <c r="ZE47" s="272"/>
      <c r="ZF47" s="272"/>
      <c r="ZG47" s="272"/>
      <c r="ZH47" s="272"/>
      <c r="ZI47" s="272"/>
      <c r="ZJ47" s="272"/>
      <c r="ZK47" s="272"/>
      <c r="ZL47" s="272"/>
      <c r="ZM47" s="272"/>
      <c r="ZN47" s="272"/>
      <c r="ZO47" s="272"/>
      <c r="ZP47" s="272"/>
      <c r="ZQ47" s="272"/>
      <c r="ZR47" s="272"/>
      <c r="ZS47" s="272"/>
      <c r="ZT47" s="272"/>
      <c r="ZU47" s="272"/>
      <c r="ZV47" s="272"/>
      <c r="ZW47" s="272"/>
      <c r="ZX47" s="272"/>
      <c r="ZY47" s="272"/>
      <c r="ZZ47" s="272"/>
      <c r="AAA47" s="272"/>
      <c r="AAB47" s="272"/>
      <c r="AAC47" s="272"/>
      <c r="AAD47" s="272"/>
      <c r="AAE47" s="272"/>
      <c r="AAF47" s="272"/>
      <c r="AAG47" s="272"/>
      <c r="AAH47" s="272"/>
      <c r="AAI47" s="272"/>
      <c r="AAJ47" s="272"/>
      <c r="AAK47" s="272"/>
      <c r="AAL47" s="272"/>
      <c r="AAM47" s="272"/>
      <c r="AAN47" s="272"/>
      <c r="AAO47" s="272"/>
      <c r="AAP47" s="272"/>
      <c r="AAQ47" s="272"/>
      <c r="AAR47" s="272"/>
      <c r="AAS47" s="272"/>
      <c r="AAT47" s="272"/>
      <c r="AAU47" s="272"/>
      <c r="AAV47" s="272"/>
      <c r="AAW47" s="272"/>
      <c r="AAX47" s="272"/>
      <c r="AAY47" s="272"/>
      <c r="AAZ47" s="272"/>
      <c r="ABA47" s="272"/>
      <c r="ABB47" s="272"/>
      <c r="ABC47" s="272"/>
      <c r="ABD47" s="272"/>
      <c r="ABE47" s="272"/>
      <c r="ABF47" s="272"/>
      <c r="ABG47" s="272"/>
    </row>
    <row r="48" spans="1:735" s="19" customFormat="1" ht="15">
      <c r="A48" s="612"/>
      <c r="B48" s="615"/>
      <c r="C48" s="55" t="s">
        <v>53</v>
      </c>
      <c r="D48" s="55"/>
      <c r="E48" s="57"/>
      <c r="F48" s="263"/>
      <c r="G48" s="388"/>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2"/>
      <c r="CY48" s="272"/>
      <c r="CZ48" s="272"/>
      <c r="DA48" s="272"/>
      <c r="DB48" s="272"/>
      <c r="DC48" s="272"/>
      <c r="DD48" s="272"/>
      <c r="DE48" s="272"/>
      <c r="DF48" s="272"/>
      <c r="DG48" s="272"/>
      <c r="DH48" s="272"/>
      <c r="DI48" s="272"/>
      <c r="DJ48" s="272"/>
      <c r="DK48" s="272"/>
      <c r="DL48" s="272"/>
      <c r="DM48" s="272"/>
      <c r="DN48" s="272"/>
      <c r="DO48" s="272"/>
      <c r="DP48" s="272"/>
      <c r="DQ48" s="272"/>
      <c r="DR48" s="272"/>
      <c r="DS48" s="272"/>
      <c r="DT48" s="272"/>
      <c r="DU48" s="272"/>
      <c r="DV48" s="272"/>
      <c r="DW48" s="272"/>
      <c r="DX48" s="272"/>
      <c r="DY48" s="272"/>
      <c r="DZ48" s="272"/>
      <c r="EA48" s="272"/>
      <c r="EB48" s="272"/>
      <c r="EC48" s="272"/>
      <c r="ED48" s="272"/>
      <c r="EE48" s="272"/>
      <c r="EF48" s="272"/>
      <c r="EG48" s="272"/>
      <c r="EH48" s="272"/>
      <c r="EI48" s="272"/>
      <c r="EJ48" s="272"/>
      <c r="EK48" s="272"/>
      <c r="EL48" s="272"/>
      <c r="EM48" s="272"/>
      <c r="EN48" s="272"/>
      <c r="EO48" s="272"/>
      <c r="EP48" s="272"/>
      <c r="EQ48" s="272"/>
      <c r="ER48" s="272"/>
      <c r="ES48" s="272"/>
      <c r="ET48" s="272"/>
      <c r="EU48" s="272"/>
      <c r="EV48" s="272"/>
      <c r="EW48" s="272"/>
      <c r="EX48" s="272"/>
      <c r="EY48" s="272"/>
      <c r="EZ48" s="272"/>
      <c r="FA48" s="272"/>
      <c r="FB48" s="272"/>
      <c r="FC48" s="272"/>
      <c r="FD48" s="272"/>
      <c r="FE48" s="272"/>
      <c r="FF48" s="272"/>
      <c r="FG48" s="272"/>
      <c r="FH48" s="272"/>
      <c r="FI48" s="272"/>
      <c r="FJ48" s="272"/>
      <c r="FK48" s="272"/>
      <c r="FL48" s="272"/>
      <c r="FM48" s="272"/>
      <c r="FN48" s="272"/>
      <c r="FO48" s="272"/>
      <c r="FP48" s="272"/>
      <c r="FQ48" s="272"/>
      <c r="FR48" s="272"/>
      <c r="FS48" s="272"/>
      <c r="FT48" s="272"/>
      <c r="FU48" s="272"/>
      <c r="FV48" s="272"/>
      <c r="FW48" s="272"/>
      <c r="FX48" s="272"/>
      <c r="FY48" s="272"/>
      <c r="FZ48" s="272"/>
      <c r="GA48" s="272"/>
      <c r="GB48" s="272"/>
      <c r="GC48" s="272"/>
      <c r="GD48" s="272"/>
      <c r="GE48" s="272"/>
      <c r="GF48" s="272"/>
      <c r="GG48" s="272"/>
      <c r="GH48" s="272"/>
      <c r="GI48" s="272"/>
      <c r="GJ48" s="272"/>
      <c r="GK48" s="272"/>
      <c r="GL48" s="272"/>
      <c r="GM48" s="272"/>
      <c r="GN48" s="272"/>
      <c r="GO48" s="272"/>
      <c r="GP48" s="272"/>
      <c r="GQ48" s="272"/>
      <c r="GR48" s="272"/>
      <c r="GS48" s="272"/>
      <c r="GT48" s="272"/>
      <c r="GU48" s="272"/>
      <c r="GV48" s="272"/>
      <c r="GW48" s="272"/>
      <c r="GX48" s="272"/>
      <c r="GY48" s="272"/>
      <c r="GZ48" s="272"/>
      <c r="HA48" s="272"/>
      <c r="HB48" s="272"/>
      <c r="HC48" s="272"/>
      <c r="HD48" s="272"/>
      <c r="HE48" s="272"/>
      <c r="HF48" s="272"/>
      <c r="HG48" s="272"/>
      <c r="HH48" s="272"/>
      <c r="HI48" s="272"/>
      <c r="HJ48" s="272"/>
      <c r="HK48" s="272"/>
      <c r="HL48" s="272"/>
      <c r="HM48" s="272"/>
      <c r="HN48" s="272"/>
      <c r="HO48" s="272"/>
      <c r="HP48" s="272"/>
      <c r="HQ48" s="272"/>
      <c r="HR48" s="272"/>
      <c r="HS48" s="272"/>
      <c r="HT48" s="272"/>
      <c r="HU48" s="272"/>
      <c r="HV48" s="272"/>
      <c r="HW48" s="272"/>
      <c r="HX48" s="272"/>
      <c r="HY48" s="272"/>
      <c r="HZ48" s="272"/>
      <c r="IA48" s="272"/>
      <c r="IB48" s="272"/>
      <c r="IC48" s="272"/>
      <c r="ID48" s="272"/>
      <c r="IE48" s="272"/>
      <c r="IF48" s="272"/>
      <c r="IG48" s="272"/>
      <c r="IH48" s="272"/>
      <c r="II48" s="272"/>
      <c r="IJ48" s="272"/>
      <c r="IK48" s="272"/>
      <c r="IL48" s="272"/>
      <c r="IM48" s="272"/>
      <c r="IN48" s="272"/>
      <c r="IO48" s="272"/>
      <c r="IP48" s="272"/>
      <c r="IQ48" s="272"/>
      <c r="IR48" s="272"/>
      <c r="IS48" s="272"/>
      <c r="IT48" s="272"/>
      <c r="IU48" s="272"/>
      <c r="IV48" s="272"/>
      <c r="IW48" s="272"/>
      <c r="IX48" s="272"/>
      <c r="IY48" s="272"/>
      <c r="IZ48" s="272"/>
      <c r="JA48" s="272"/>
      <c r="JB48" s="272"/>
      <c r="JC48" s="272"/>
      <c r="JD48" s="272"/>
      <c r="JE48" s="272"/>
      <c r="JF48" s="272"/>
      <c r="JG48" s="272"/>
      <c r="JH48" s="272"/>
      <c r="JI48" s="272"/>
      <c r="JJ48" s="272"/>
      <c r="JK48" s="272"/>
      <c r="JL48" s="272"/>
      <c r="JM48" s="272"/>
      <c r="JN48" s="272"/>
      <c r="JO48" s="272"/>
      <c r="JP48" s="272"/>
      <c r="JQ48" s="272"/>
      <c r="JR48" s="272"/>
      <c r="JS48" s="272"/>
      <c r="JT48" s="272"/>
      <c r="JU48" s="272"/>
      <c r="JV48" s="272"/>
      <c r="JW48" s="272"/>
      <c r="JX48" s="272"/>
      <c r="JY48" s="272"/>
      <c r="JZ48" s="272"/>
      <c r="KA48" s="272"/>
      <c r="KB48" s="272"/>
      <c r="KC48" s="272"/>
      <c r="KD48" s="272"/>
      <c r="KE48" s="272"/>
      <c r="KF48" s="272"/>
      <c r="KG48" s="272"/>
      <c r="KH48" s="272"/>
      <c r="KI48" s="272"/>
      <c r="KJ48" s="272"/>
      <c r="KK48" s="272"/>
      <c r="KL48" s="272"/>
      <c r="KM48" s="272"/>
      <c r="KN48" s="272"/>
      <c r="KO48" s="272"/>
      <c r="KP48" s="272"/>
      <c r="KQ48" s="272"/>
      <c r="KR48" s="272"/>
      <c r="KS48" s="272"/>
      <c r="KT48" s="272"/>
      <c r="KU48" s="272"/>
      <c r="KV48" s="272"/>
      <c r="KW48" s="272"/>
      <c r="KX48" s="272"/>
      <c r="KY48" s="272"/>
      <c r="KZ48" s="272"/>
      <c r="LA48" s="272"/>
      <c r="LB48" s="272"/>
      <c r="LC48" s="272"/>
      <c r="LD48" s="272"/>
      <c r="LE48" s="272"/>
      <c r="LF48" s="272"/>
      <c r="LG48" s="272"/>
      <c r="LH48" s="272"/>
      <c r="LI48" s="272"/>
      <c r="LJ48" s="272"/>
      <c r="LK48" s="272"/>
      <c r="LL48" s="272"/>
      <c r="LM48" s="272"/>
      <c r="LN48" s="272"/>
      <c r="LO48" s="272"/>
      <c r="LP48" s="272"/>
      <c r="LQ48" s="272"/>
      <c r="LR48" s="272"/>
      <c r="LS48" s="272"/>
      <c r="LT48" s="272"/>
      <c r="LU48" s="272"/>
      <c r="LV48" s="272"/>
      <c r="LW48" s="272"/>
      <c r="LX48" s="272"/>
      <c r="LY48" s="272"/>
      <c r="LZ48" s="272"/>
      <c r="MA48" s="272"/>
      <c r="MB48" s="272"/>
      <c r="MC48" s="272"/>
      <c r="MD48" s="272"/>
      <c r="ME48" s="272"/>
      <c r="MF48" s="272"/>
      <c r="MG48" s="272"/>
      <c r="MH48" s="272"/>
      <c r="MI48" s="272"/>
      <c r="MJ48" s="272"/>
      <c r="MK48" s="272"/>
      <c r="ML48" s="272"/>
      <c r="MM48" s="272"/>
      <c r="MN48" s="272"/>
      <c r="MO48" s="272"/>
      <c r="MP48" s="272"/>
      <c r="MQ48" s="272"/>
      <c r="MR48" s="272"/>
      <c r="MS48" s="272"/>
      <c r="MT48" s="272"/>
      <c r="MU48" s="272"/>
      <c r="MV48" s="272"/>
      <c r="MW48" s="272"/>
      <c r="MX48" s="272"/>
      <c r="MY48" s="272"/>
      <c r="MZ48" s="272"/>
      <c r="NA48" s="272"/>
      <c r="NB48" s="272"/>
      <c r="NC48" s="272"/>
      <c r="ND48" s="272"/>
      <c r="NE48" s="272"/>
      <c r="NF48" s="272"/>
      <c r="NG48" s="272"/>
      <c r="NH48" s="272"/>
      <c r="NI48" s="272"/>
      <c r="NJ48" s="272"/>
      <c r="NK48" s="272"/>
      <c r="NL48" s="272"/>
      <c r="NM48" s="272"/>
      <c r="NN48" s="272"/>
      <c r="NO48" s="272"/>
      <c r="NP48" s="272"/>
      <c r="NQ48" s="272"/>
      <c r="NR48" s="272"/>
      <c r="NS48" s="272"/>
      <c r="NT48" s="272"/>
      <c r="NU48" s="272"/>
      <c r="NV48" s="272"/>
      <c r="NW48" s="272"/>
      <c r="NX48" s="272"/>
      <c r="NY48" s="272"/>
      <c r="NZ48" s="272"/>
      <c r="OA48" s="272"/>
      <c r="OB48" s="272"/>
      <c r="OC48" s="272"/>
      <c r="OD48" s="272"/>
      <c r="OE48" s="272"/>
      <c r="OF48" s="272"/>
      <c r="OG48" s="272"/>
      <c r="OH48" s="272"/>
      <c r="OI48" s="272"/>
      <c r="OJ48" s="272"/>
      <c r="OK48" s="272"/>
      <c r="OL48" s="272"/>
      <c r="OM48" s="272"/>
      <c r="ON48" s="272"/>
      <c r="OO48" s="272"/>
      <c r="OP48" s="272"/>
      <c r="OQ48" s="272"/>
      <c r="OR48" s="272"/>
      <c r="OS48" s="272"/>
      <c r="OT48" s="272"/>
      <c r="OU48" s="272"/>
      <c r="OV48" s="272"/>
      <c r="OW48" s="272"/>
      <c r="OX48" s="272"/>
      <c r="OY48" s="272"/>
      <c r="OZ48" s="272"/>
      <c r="PA48" s="272"/>
      <c r="PB48" s="272"/>
      <c r="PC48" s="272"/>
      <c r="PD48" s="272"/>
      <c r="PE48" s="272"/>
      <c r="PF48" s="272"/>
      <c r="PG48" s="272"/>
      <c r="PH48" s="272"/>
      <c r="PI48" s="272"/>
      <c r="PJ48" s="272"/>
      <c r="PK48" s="272"/>
      <c r="PL48" s="272"/>
      <c r="PM48" s="272"/>
      <c r="PN48" s="272"/>
      <c r="PO48" s="272"/>
      <c r="PP48" s="272"/>
      <c r="PQ48" s="272"/>
      <c r="PR48" s="272"/>
      <c r="PS48" s="272"/>
      <c r="PT48" s="272"/>
      <c r="PU48" s="272"/>
      <c r="PV48" s="272"/>
      <c r="PW48" s="272"/>
      <c r="PX48" s="272"/>
      <c r="PY48" s="272"/>
      <c r="PZ48" s="272"/>
      <c r="QA48" s="272"/>
      <c r="QB48" s="272"/>
      <c r="QC48" s="272"/>
      <c r="QD48" s="272"/>
      <c r="QE48" s="272"/>
      <c r="QF48" s="272"/>
      <c r="QG48" s="272"/>
      <c r="QH48" s="272"/>
      <c r="QI48" s="272"/>
      <c r="QJ48" s="272"/>
      <c r="QK48" s="272"/>
      <c r="QL48" s="272"/>
      <c r="QM48" s="272"/>
      <c r="QN48" s="272"/>
      <c r="QO48" s="272"/>
      <c r="QP48" s="272"/>
      <c r="QQ48" s="272"/>
      <c r="QR48" s="272"/>
      <c r="QS48" s="272"/>
      <c r="QT48" s="272"/>
      <c r="QU48" s="272"/>
      <c r="QV48" s="272"/>
      <c r="QW48" s="272"/>
      <c r="QX48" s="272"/>
      <c r="QY48" s="272"/>
      <c r="QZ48" s="272"/>
      <c r="RA48" s="272"/>
      <c r="RB48" s="272"/>
      <c r="RC48" s="272"/>
      <c r="RD48" s="272"/>
      <c r="RE48" s="272"/>
      <c r="RF48" s="272"/>
      <c r="RG48" s="272"/>
      <c r="RH48" s="272"/>
      <c r="RI48" s="272"/>
      <c r="RJ48" s="272"/>
      <c r="RK48" s="272"/>
      <c r="RL48" s="272"/>
      <c r="RM48" s="272"/>
      <c r="RN48" s="272"/>
      <c r="RO48" s="272"/>
      <c r="RP48" s="272"/>
      <c r="RQ48" s="272"/>
      <c r="RR48" s="272"/>
      <c r="RS48" s="272"/>
      <c r="RT48" s="272"/>
      <c r="RU48" s="272"/>
      <c r="RV48" s="272"/>
      <c r="RW48" s="272"/>
      <c r="RX48" s="272"/>
      <c r="RY48" s="272"/>
      <c r="RZ48" s="272"/>
      <c r="SA48" s="272"/>
      <c r="SB48" s="272"/>
      <c r="SC48" s="272"/>
      <c r="SD48" s="272"/>
      <c r="SE48" s="272"/>
      <c r="SF48" s="272"/>
      <c r="SG48" s="272"/>
      <c r="SH48" s="272"/>
      <c r="SI48" s="272"/>
      <c r="SJ48" s="272"/>
      <c r="SK48" s="272"/>
      <c r="SL48" s="272"/>
      <c r="SM48" s="272"/>
      <c r="SN48" s="272"/>
      <c r="SO48" s="272"/>
      <c r="SP48" s="272"/>
      <c r="SQ48" s="272"/>
      <c r="SR48" s="272"/>
      <c r="SS48" s="272"/>
      <c r="ST48" s="272"/>
      <c r="SU48" s="272"/>
      <c r="SV48" s="272"/>
      <c r="SW48" s="272"/>
      <c r="SX48" s="272"/>
      <c r="SY48" s="272"/>
      <c r="SZ48" s="272"/>
      <c r="TA48" s="272"/>
      <c r="TB48" s="272"/>
      <c r="TC48" s="272"/>
      <c r="TD48" s="272"/>
      <c r="TE48" s="272"/>
      <c r="TF48" s="272"/>
      <c r="TG48" s="272"/>
      <c r="TH48" s="272"/>
      <c r="TI48" s="272"/>
      <c r="TJ48" s="272"/>
      <c r="TK48" s="272"/>
      <c r="TL48" s="272"/>
      <c r="TM48" s="272"/>
      <c r="TN48" s="272"/>
      <c r="TO48" s="272"/>
      <c r="TP48" s="272"/>
      <c r="TQ48" s="272"/>
      <c r="TR48" s="272"/>
      <c r="TS48" s="272"/>
      <c r="TT48" s="272"/>
      <c r="TU48" s="272"/>
      <c r="TV48" s="272"/>
      <c r="TW48" s="272"/>
      <c r="TX48" s="272"/>
      <c r="TY48" s="272"/>
      <c r="TZ48" s="272"/>
      <c r="UA48" s="272"/>
      <c r="UB48" s="272"/>
      <c r="UC48" s="272"/>
      <c r="UD48" s="272"/>
      <c r="UE48" s="272"/>
      <c r="UF48" s="272"/>
      <c r="UG48" s="272"/>
      <c r="UH48" s="272"/>
      <c r="UI48" s="272"/>
      <c r="UJ48" s="272"/>
      <c r="UK48" s="272"/>
      <c r="UL48" s="272"/>
      <c r="UM48" s="272"/>
      <c r="UN48" s="272"/>
      <c r="UO48" s="272"/>
      <c r="UP48" s="272"/>
      <c r="UQ48" s="272"/>
      <c r="UR48" s="272"/>
      <c r="US48" s="272"/>
      <c r="UT48" s="272"/>
      <c r="UU48" s="272"/>
      <c r="UV48" s="272"/>
      <c r="UW48" s="272"/>
      <c r="UX48" s="272"/>
      <c r="UY48" s="272"/>
      <c r="UZ48" s="272"/>
      <c r="VA48" s="272"/>
      <c r="VB48" s="272"/>
      <c r="VC48" s="272"/>
      <c r="VD48" s="272"/>
      <c r="VE48" s="272"/>
      <c r="VF48" s="272"/>
      <c r="VG48" s="272"/>
      <c r="VH48" s="272"/>
      <c r="VI48" s="272"/>
      <c r="VJ48" s="272"/>
      <c r="VK48" s="272"/>
      <c r="VL48" s="272"/>
      <c r="VM48" s="272"/>
      <c r="VN48" s="272"/>
      <c r="VO48" s="272"/>
      <c r="VP48" s="272"/>
      <c r="VQ48" s="272"/>
      <c r="VR48" s="272"/>
      <c r="VS48" s="272"/>
      <c r="VT48" s="272"/>
      <c r="VU48" s="272"/>
      <c r="VV48" s="272"/>
      <c r="VW48" s="272"/>
      <c r="VX48" s="272"/>
      <c r="VY48" s="272"/>
      <c r="VZ48" s="272"/>
      <c r="WA48" s="272"/>
      <c r="WB48" s="272"/>
      <c r="WC48" s="272"/>
      <c r="WD48" s="272"/>
      <c r="WE48" s="272"/>
      <c r="WF48" s="272"/>
      <c r="WG48" s="272"/>
      <c r="WH48" s="272"/>
      <c r="WI48" s="272"/>
      <c r="WJ48" s="272"/>
      <c r="WK48" s="272"/>
      <c r="WL48" s="272"/>
      <c r="WM48" s="272"/>
      <c r="WN48" s="272"/>
      <c r="WO48" s="272"/>
      <c r="WP48" s="272"/>
      <c r="WQ48" s="272"/>
      <c r="WR48" s="272"/>
      <c r="WS48" s="272"/>
      <c r="WT48" s="272"/>
      <c r="WU48" s="272"/>
      <c r="WV48" s="272"/>
      <c r="WW48" s="272"/>
      <c r="WX48" s="272"/>
      <c r="WY48" s="272"/>
      <c r="WZ48" s="272"/>
      <c r="XA48" s="272"/>
      <c r="XB48" s="272"/>
      <c r="XC48" s="272"/>
      <c r="XD48" s="272"/>
      <c r="XE48" s="272"/>
      <c r="XF48" s="272"/>
      <c r="XG48" s="272"/>
      <c r="XH48" s="272"/>
      <c r="XI48" s="272"/>
      <c r="XJ48" s="272"/>
      <c r="XK48" s="272"/>
      <c r="XL48" s="272"/>
      <c r="XM48" s="272"/>
      <c r="XN48" s="272"/>
      <c r="XO48" s="272"/>
      <c r="XP48" s="272"/>
      <c r="XQ48" s="272"/>
      <c r="XR48" s="272"/>
      <c r="XS48" s="272"/>
      <c r="XT48" s="272"/>
      <c r="XU48" s="272"/>
      <c r="XV48" s="272"/>
      <c r="XW48" s="272"/>
      <c r="XX48" s="272"/>
      <c r="XY48" s="272"/>
      <c r="XZ48" s="272"/>
      <c r="YA48" s="272"/>
      <c r="YB48" s="272"/>
      <c r="YC48" s="272"/>
      <c r="YD48" s="272"/>
      <c r="YE48" s="272"/>
      <c r="YF48" s="272"/>
      <c r="YG48" s="272"/>
      <c r="YH48" s="272"/>
      <c r="YI48" s="272"/>
      <c r="YJ48" s="272"/>
      <c r="YK48" s="272"/>
      <c r="YL48" s="272"/>
      <c r="YM48" s="272"/>
      <c r="YN48" s="272"/>
      <c r="YO48" s="272"/>
      <c r="YP48" s="272"/>
      <c r="YQ48" s="272"/>
      <c r="YR48" s="272"/>
      <c r="YS48" s="272"/>
      <c r="YT48" s="272"/>
      <c r="YU48" s="272"/>
      <c r="YV48" s="272"/>
      <c r="YW48" s="272"/>
      <c r="YX48" s="272"/>
      <c r="YY48" s="272"/>
      <c r="YZ48" s="272"/>
      <c r="ZA48" s="272"/>
      <c r="ZB48" s="272"/>
      <c r="ZC48" s="272"/>
      <c r="ZD48" s="272"/>
      <c r="ZE48" s="272"/>
      <c r="ZF48" s="272"/>
      <c r="ZG48" s="272"/>
      <c r="ZH48" s="272"/>
      <c r="ZI48" s="272"/>
      <c r="ZJ48" s="272"/>
      <c r="ZK48" s="272"/>
      <c r="ZL48" s="272"/>
      <c r="ZM48" s="272"/>
      <c r="ZN48" s="272"/>
      <c r="ZO48" s="272"/>
      <c r="ZP48" s="272"/>
      <c r="ZQ48" s="272"/>
      <c r="ZR48" s="272"/>
      <c r="ZS48" s="272"/>
      <c r="ZT48" s="272"/>
      <c r="ZU48" s="272"/>
      <c r="ZV48" s="272"/>
      <c r="ZW48" s="272"/>
      <c r="ZX48" s="272"/>
      <c r="ZY48" s="272"/>
      <c r="ZZ48" s="272"/>
      <c r="AAA48" s="272"/>
      <c r="AAB48" s="272"/>
      <c r="AAC48" s="272"/>
      <c r="AAD48" s="272"/>
      <c r="AAE48" s="272"/>
      <c r="AAF48" s="272"/>
      <c r="AAG48" s="272"/>
      <c r="AAH48" s="272"/>
      <c r="AAI48" s="272"/>
      <c r="AAJ48" s="272"/>
      <c r="AAK48" s="272"/>
      <c r="AAL48" s="272"/>
      <c r="AAM48" s="272"/>
      <c r="AAN48" s="272"/>
      <c r="AAO48" s="272"/>
      <c r="AAP48" s="272"/>
      <c r="AAQ48" s="272"/>
      <c r="AAR48" s="272"/>
      <c r="AAS48" s="272"/>
      <c r="AAT48" s="272"/>
      <c r="AAU48" s="272"/>
      <c r="AAV48" s="272"/>
      <c r="AAW48" s="272"/>
      <c r="AAX48" s="272"/>
      <c r="AAY48" s="272"/>
      <c r="AAZ48" s="272"/>
      <c r="ABA48" s="272"/>
      <c r="ABB48" s="272"/>
      <c r="ABC48" s="272"/>
      <c r="ABD48" s="272"/>
      <c r="ABE48" s="272"/>
      <c r="ABF48" s="272"/>
      <c r="ABG48" s="272"/>
    </row>
    <row r="49" spans="1:735" s="62" customFormat="1" ht="13.5" thickBot="1">
      <c r="A49" s="613"/>
      <c r="B49" s="616"/>
      <c r="C49" s="58" t="s">
        <v>54</v>
      </c>
      <c r="D49" s="58"/>
      <c r="E49" s="60"/>
      <c r="F49" s="264"/>
      <c r="G49" s="389"/>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2"/>
      <c r="FF49" s="272"/>
      <c r="FG49" s="272"/>
      <c r="FH49" s="272"/>
      <c r="FI49" s="272"/>
      <c r="FJ49" s="272"/>
      <c r="FK49" s="272"/>
      <c r="FL49" s="272"/>
      <c r="FM49" s="272"/>
      <c r="FN49" s="272"/>
      <c r="FO49" s="272"/>
      <c r="FP49" s="272"/>
      <c r="FQ49" s="272"/>
      <c r="FR49" s="272"/>
      <c r="FS49" s="272"/>
      <c r="FT49" s="272"/>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c r="HE49" s="272"/>
      <c r="HF49" s="272"/>
      <c r="HG49" s="272"/>
      <c r="HH49" s="272"/>
      <c r="HI49" s="272"/>
      <c r="HJ49" s="272"/>
      <c r="HK49" s="272"/>
      <c r="HL49" s="272"/>
      <c r="HM49" s="272"/>
      <c r="HN49" s="272"/>
      <c r="HO49" s="272"/>
      <c r="HP49" s="272"/>
      <c r="HQ49" s="272"/>
      <c r="HR49" s="272"/>
      <c r="HS49" s="272"/>
      <c r="HT49" s="272"/>
      <c r="HU49" s="272"/>
      <c r="HV49" s="272"/>
      <c r="HW49" s="272"/>
      <c r="HX49" s="272"/>
      <c r="HY49" s="272"/>
      <c r="HZ49" s="272"/>
      <c r="IA49" s="272"/>
      <c r="IB49" s="272"/>
      <c r="IC49" s="272"/>
      <c r="ID49" s="272"/>
      <c r="IE49" s="272"/>
      <c r="IF49" s="272"/>
      <c r="IG49" s="272"/>
      <c r="IH49" s="272"/>
      <c r="II49" s="272"/>
      <c r="IJ49" s="272"/>
      <c r="IK49" s="272"/>
      <c r="IL49" s="272"/>
      <c r="IM49" s="272"/>
      <c r="IN49" s="272"/>
      <c r="IO49" s="272"/>
      <c r="IP49" s="272"/>
      <c r="IQ49" s="272"/>
      <c r="IR49" s="272"/>
      <c r="IS49" s="272"/>
      <c r="IT49" s="272"/>
      <c r="IU49" s="272"/>
      <c r="IV49" s="272"/>
      <c r="IW49" s="272"/>
      <c r="IX49" s="272"/>
      <c r="IY49" s="272"/>
      <c r="IZ49" s="272"/>
      <c r="JA49" s="272"/>
      <c r="JB49" s="272"/>
      <c r="JC49" s="272"/>
      <c r="JD49" s="272"/>
      <c r="JE49" s="272"/>
      <c r="JF49" s="272"/>
      <c r="JG49" s="272"/>
      <c r="JH49" s="272"/>
      <c r="JI49" s="272"/>
      <c r="JJ49" s="272"/>
      <c r="JK49" s="272"/>
      <c r="JL49" s="272"/>
      <c r="JM49" s="272"/>
      <c r="JN49" s="272"/>
      <c r="JO49" s="272"/>
      <c r="JP49" s="272"/>
      <c r="JQ49" s="272"/>
      <c r="JR49" s="272"/>
      <c r="JS49" s="272"/>
      <c r="JT49" s="272"/>
      <c r="JU49" s="272"/>
      <c r="JV49" s="272"/>
      <c r="JW49" s="272"/>
      <c r="JX49" s="272"/>
      <c r="JY49" s="272"/>
      <c r="JZ49" s="272"/>
      <c r="KA49" s="272"/>
      <c r="KB49" s="272"/>
      <c r="KC49" s="272"/>
      <c r="KD49" s="272"/>
      <c r="KE49" s="272"/>
      <c r="KF49" s="272"/>
      <c r="KG49" s="272"/>
      <c r="KH49" s="272"/>
      <c r="KI49" s="272"/>
      <c r="KJ49" s="272"/>
      <c r="KK49" s="272"/>
      <c r="KL49" s="272"/>
      <c r="KM49" s="272"/>
      <c r="KN49" s="272"/>
      <c r="KO49" s="272"/>
      <c r="KP49" s="272"/>
      <c r="KQ49" s="272"/>
      <c r="KR49" s="272"/>
      <c r="KS49" s="272"/>
      <c r="KT49" s="272"/>
      <c r="KU49" s="272"/>
      <c r="KV49" s="272"/>
      <c r="KW49" s="272"/>
      <c r="KX49" s="272"/>
      <c r="KY49" s="272"/>
      <c r="KZ49" s="272"/>
      <c r="LA49" s="272"/>
      <c r="LB49" s="272"/>
      <c r="LC49" s="272"/>
      <c r="LD49" s="272"/>
      <c r="LE49" s="272"/>
      <c r="LF49" s="272"/>
      <c r="LG49" s="272"/>
      <c r="LH49" s="272"/>
      <c r="LI49" s="272"/>
      <c r="LJ49" s="272"/>
      <c r="LK49" s="272"/>
      <c r="LL49" s="272"/>
      <c r="LM49" s="272"/>
      <c r="LN49" s="272"/>
      <c r="LO49" s="272"/>
      <c r="LP49" s="272"/>
      <c r="LQ49" s="272"/>
      <c r="LR49" s="272"/>
      <c r="LS49" s="272"/>
      <c r="LT49" s="272"/>
      <c r="LU49" s="272"/>
      <c r="LV49" s="272"/>
      <c r="LW49" s="272"/>
      <c r="LX49" s="272"/>
      <c r="LY49" s="272"/>
      <c r="LZ49" s="272"/>
      <c r="MA49" s="272"/>
      <c r="MB49" s="272"/>
      <c r="MC49" s="272"/>
      <c r="MD49" s="272"/>
      <c r="ME49" s="272"/>
      <c r="MF49" s="272"/>
      <c r="MG49" s="272"/>
      <c r="MH49" s="272"/>
      <c r="MI49" s="272"/>
      <c r="MJ49" s="272"/>
      <c r="MK49" s="272"/>
      <c r="ML49" s="272"/>
      <c r="MM49" s="272"/>
      <c r="MN49" s="272"/>
      <c r="MO49" s="272"/>
      <c r="MP49" s="272"/>
      <c r="MQ49" s="272"/>
      <c r="MR49" s="272"/>
      <c r="MS49" s="272"/>
      <c r="MT49" s="272"/>
      <c r="MU49" s="272"/>
      <c r="MV49" s="272"/>
      <c r="MW49" s="272"/>
      <c r="MX49" s="272"/>
      <c r="MY49" s="272"/>
      <c r="MZ49" s="272"/>
      <c r="NA49" s="272"/>
      <c r="NB49" s="272"/>
      <c r="NC49" s="272"/>
      <c r="ND49" s="272"/>
      <c r="NE49" s="272"/>
      <c r="NF49" s="272"/>
      <c r="NG49" s="272"/>
      <c r="NH49" s="272"/>
      <c r="NI49" s="272"/>
      <c r="NJ49" s="272"/>
      <c r="NK49" s="272"/>
      <c r="NL49" s="272"/>
      <c r="NM49" s="272"/>
      <c r="NN49" s="272"/>
      <c r="NO49" s="272"/>
      <c r="NP49" s="272"/>
      <c r="NQ49" s="272"/>
      <c r="NR49" s="272"/>
      <c r="NS49" s="272"/>
      <c r="NT49" s="272"/>
      <c r="NU49" s="272"/>
      <c r="NV49" s="272"/>
      <c r="NW49" s="272"/>
      <c r="NX49" s="272"/>
      <c r="NY49" s="272"/>
      <c r="NZ49" s="272"/>
      <c r="OA49" s="272"/>
      <c r="OB49" s="272"/>
      <c r="OC49" s="272"/>
      <c r="OD49" s="272"/>
      <c r="OE49" s="272"/>
      <c r="OF49" s="272"/>
      <c r="OG49" s="272"/>
      <c r="OH49" s="272"/>
      <c r="OI49" s="272"/>
      <c r="OJ49" s="272"/>
      <c r="OK49" s="272"/>
      <c r="OL49" s="272"/>
      <c r="OM49" s="272"/>
      <c r="ON49" s="272"/>
      <c r="OO49" s="272"/>
      <c r="OP49" s="272"/>
      <c r="OQ49" s="272"/>
      <c r="OR49" s="272"/>
      <c r="OS49" s="272"/>
      <c r="OT49" s="272"/>
      <c r="OU49" s="272"/>
      <c r="OV49" s="272"/>
      <c r="OW49" s="272"/>
      <c r="OX49" s="272"/>
      <c r="OY49" s="272"/>
      <c r="OZ49" s="272"/>
      <c r="PA49" s="272"/>
      <c r="PB49" s="272"/>
      <c r="PC49" s="272"/>
      <c r="PD49" s="272"/>
      <c r="PE49" s="272"/>
      <c r="PF49" s="272"/>
      <c r="PG49" s="272"/>
      <c r="PH49" s="272"/>
      <c r="PI49" s="272"/>
      <c r="PJ49" s="272"/>
      <c r="PK49" s="272"/>
      <c r="PL49" s="272"/>
      <c r="PM49" s="272"/>
      <c r="PN49" s="272"/>
      <c r="PO49" s="272"/>
      <c r="PP49" s="272"/>
      <c r="PQ49" s="272"/>
      <c r="PR49" s="272"/>
      <c r="PS49" s="272"/>
      <c r="PT49" s="272"/>
      <c r="PU49" s="272"/>
      <c r="PV49" s="272"/>
      <c r="PW49" s="272"/>
      <c r="PX49" s="272"/>
      <c r="PY49" s="272"/>
      <c r="PZ49" s="272"/>
      <c r="QA49" s="272"/>
      <c r="QB49" s="272"/>
      <c r="QC49" s="272"/>
      <c r="QD49" s="272"/>
      <c r="QE49" s="272"/>
      <c r="QF49" s="272"/>
      <c r="QG49" s="272"/>
      <c r="QH49" s="272"/>
      <c r="QI49" s="272"/>
      <c r="QJ49" s="272"/>
      <c r="QK49" s="272"/>
      <c r="QL49" s="272"/>
      <c r="QM49" s="272"/>
      <c r="QN49" s="272"/>
      <c r="QO49" s="272"/>
      <c r="QP49" s="272"/>
      <c r="QQ49" s="272"/>
      <c r="QR49" s="272"/>
      <c r="QS49" s="272"/>
      <c r="QT49" s="272"/>
      <c r="QU49" s="272"/>
      <c r="QV49" s="272"/>
      <c r="QW49" s="272"/>
      <c r="QX49" s="272"/>
      <c r="QY49" s="272"/>
      <c r="QZ49" s="272"/>
      <c r="RA49" s="272"/>
      <c r="RB49" s="272"/>
      <c r="RC49" s="272"/>
      <c r="RD49" s="272"/>
      <c r="RE49" s="272"/>
      <c r="RF49" s="272"/>
      <c r="RG49" s="272"/>
      <c r="RH49" s="272"/>
      <c r="RI49" s="272"/>
      <c r="RJ49" s="272"/>
      <c r="RK49" s="272"/>
      <c r="RL49" s="272"/>
      <c r="RM49" s="272"/>
      <c r="RN49" s="272"/>
      <c r="RO49" s="272"/>
      <c r="RP49" s="272"/>
      <c r="RQ49" s="272"/>
      <c r="RR49" s="272"/>
      <c r="RS49" s="272"/>
      <c r="RT49" s="272"/>
      <c r="RU49" s="272"/>
      <c r="RV49" s="272"/>
      <c r="RW49" s="272"/>
      <c r="RX49" s="272"/>
      <c r="RY49" s="272"/>
      <c r="RZ49" s="272"/>
      <c r="SA49" s="272"/>
      <c r="SB49" s="272"/>
      <c r="SC49" s="272"/>
      <c r="SD49" s="272"/>
      <c r="SE49" s="272"/>
      <c r="SF49" s="272"/>
      <c r="SG49" s="272"/>
      <c r="SH49" s="272"/>
      <c r="SI49" s="272"/>
      <c r="SJ49" s="272"/>
      <c r="SK49" s="272"/>
      <c r="SL49" s="272"/>
      <c r="SM49" s="272"/>
      <c r="SN49" s="272"/>
      <c r="SO49" s="272"/>
      <c r="SP49" s="272"/>
      <c r="SQ49" s="272"/>
      <c r="SR49" s="272"/>
      <c r="SS49" s="272"/>
      <c r="ST49" s="272"/>
      <c r="SU49" s="272"/>
      <c r="SV49" s="272"/>
      <c r="SW49" s="272"/>
      <c r="SX49" s="272"/>
      <c r="SY49" s="272"/>
      <c r="SZ49" s="272"/>
      <c r="TA49" s="272"/>
      <c r="TB49" s="272"/>
      <c r="TC49" s="272"/>
      <c r="TD49" s="272"/>
      <c r="TE49" s="272"/>
      <c r="TF49" s="272"/>
      <c r="TG49" s="272"/>
      <c r="TH49" s="272"/>
      <c r="TI49" s="272"/>
      <c r="TJ49" s="272"/>
      <c r="TK49" s="272"/>
      <c r="TL49" s="272"/>
      <c r="TM49" s="272"/>
      <c r="TN49" s="272"/>
      <c r="TO49" s="272"/>
      <c r="TP49" s="272"/>
      <c r="TQ49" s="272"/>
      <c r="TR49" s="272"/>
      <c r="TS49" s="272"/>
      <c r="TT49" s="272"/>
      <c r="TU49" s="272"/>
      <c r="TV49" s="272"/>
      <c r="TW49" s="272"/>
      <c r="TX49" s="272"/>
      <c r="TY49" s="272"/>
      <c r="TZ49" s="272"/>
      <c r="UA49" s="272"/>
      <c r="UB49" s="272"/>
      <c r="UC49" s="272"/>
      <c r="UD49" s="272"/>
      <c r="UE49" s="272"/>
      <c r="UF49" s="272"/>
      <c r="UG49" s="272"/>
      <c r="UH49" s="272"/>
      <c r="UI49" s="272"/>
      <c r="UJ49" s="272"/>
      <c r="UK49" s="272"/>
      <c r="UL49" s="272"/>
      <c r="UM49" s="272"/>
      <c r="UN49" s="272"/>
      <c r="UO49" s="272"/>
      <c r="UP49" s="272"/>
      <c r="UQ49" s="272"/>
      <c r="UR49" s="272"/>
      <c r="US49" s="272"/>
      <c r="UT49" s="272"/>
      <c r="UU49" s="272"/>
      <c r="UV49" s="272"/>
      <c r="UW49" s="272"/>
      <c r="UX49" s="272"/>
      <c r="UY49" s="272"/>
      <c r="UZ49" s="272"/>
      <c r="VA49" s="272"/>
      <c r="VB49" s="272"/>
      <c r="VC49" s="272"/>
      <c r="VD49" s="272"/>
      <c r="VE49" s="272"/>
      <c r="VF49" s="272"/>
      <c r="VG49" s="272"/>
      <c r="VH49" s="272"/>
      <c r="VI49" s="272"/>
      <c r="VJ49" s="272"/>
      <c r="VK49" s="272"/>
      <c r="VL49" s="272"/>
      <c r="VM49" s="272"/>
      <c r="VN49" s="272"/>
      <c r="VO49" s="272"/>
      <c r="VP49" s="272"/>
      <c r="VQ49" s="272"/>
      <c r="VR49" s="272"/>
      <c r="VS49" s="272"/>
      <c r="VT49" s="272"/>
      <c r="VU49" s="272"/>
      <c r="VV49" s="272"/>
      <c r="VW49" s="272"/>
      <c r="VX49" s="272"/>
      <c r="VY49" s="272"/>
      <c r="VZ49" s="272"/>
      <c r="WA49" s="272"/>
      <c r="WB49" s="272"/>
      <c r="WC49" s="272"/>
      <c r="WD49" s="272"/>
      <c r="WE49" s="272"/>
      <c r="WF49" s="272"/>
      <c r="WG49" s="272"/>
      <c r="WH49" s="272"/>
      <c r="WI49" s="272"/>
      <c r="WJ49" s="272"/>
      <c r="WK49" s="272"/>
      <c r="WL49" s="272"/>
      <c r="WM49" s="272"/>
      <c r="WN49" s="272"/>
      <c r="WO49" s="272"/>
      <c r="WP49" s="272"/>
      <c r="WQ49" s="272"/>
      <c r="WR49" s="272"/>
      <c r="WS49" s="272"/>
      <c r="WT49" s="272"/>
      <c r="WU49" s="272"/>
      <c r="WV49" s="272"/>
      <c r="WW49" s="272"/>
      <c r="WX49" s="272"/>
      <c r="WY49" s="272"/>
      <c r="WZ49" s="272"/>
      <c r="XA49" s="272"/>
      <c r="XB49" s="272"/>
      <c r="XC49" s="272"/>
      <c r="XD49" s="272"/>
      <c r="XE49" s="272"/>
      <c r="XF49" s="272"/>
      <c r="XG49" s="272"/>
      <c r="XH49" s="272"/>
      <c r="XI49" s="272"/>
      <c r="XJ49" s="272"/>
      <c r="XK49" s="272"/>
      <c r="XL49" s="272"/>
      <c r="XM49" s="272"/>
      <c r="XN49" s="272"/>
      <c r="XO49" s="272"/>
      <c r="XP49" s="272"/>
      <c r="XQ49" s="272"/>
      <c r="XR49" s="272"/>
      <c r="XS49" s="272"/>
      <c r="XT49" s="272"/>
      <c r="XU49" s="272"/>
      <c r="XV49" s="272"/>
      <c r="XW49" s="272"/>
      <c r="XX49" s="272"/>
      <c r="XY49" s="272"/>
      <c r="XZ49" s="272"/>
      <c r="YA49" s="272"/>
      <c r="YB49" s="272"/>
      <c r="YC49" s="272"/>
      <c r="YD49" s="272"/>
      <c r="YE49" s="272"/>
      <c r="YF49" s="272"/>
      <c r="YG49" s="272"/>
      <c r="YH49" s="272"/>
      <c r="YI49" s="272"/>
      <c r="YJ49" s="272"/>
      <c r="YK49" s="272"/>
      <c r="YL49" s="272"/>
      <c r="YM49" s="272"/>
      <c r="YN49" s="272"/>
      <c r="YO49" s="272"/>
      <c r="YP49" s="272"/>
      <c r="YQ49" s="272"/>
      <c r="YR49" s="272"/>
      <c r="YS49" s="272"/>
      <c r="YT49" s="272"/>
      <c r="YU49" s="272"/>
      <c r="YV49" s="272"/>
      <c r="YW49" s="272"/>
      <c r="YX49" s="272"/>
      <c r="YY49" s="272"/>
      <c r="YZ49" s="272"/>
      <c r="ZA49" s="272"/>
      <c r="ZB49" s="272"/>
      <c r="ZC49" s="272"/>
      <c r="ZD49" s="272"/>
      <c r="ZE49" s="272"/>
      <c r="ZF49" s="272"/>
      <c r="ZG49" s="272"/>
      <c r="ZH49" s="272"/>
      <c r="ZI49" s="272"/>
      <c r="ZJ49" s="272"/>
      <c r="ZK49" s="272"/>
      <c r="ZL49" s="272"/>
      <c r="ZM49" s="272"/>
      <c r="ZN49" s="272"/>
      <c r="ZO49" s="272"/>
      <c r="ZP49" s="272"/>
      <c r="ZQ49" s="272"/>
      <c r="ZR49" s="272"/>
      <c r="ZS49" s="272"/>
      <c r="ZT49" s="272"/>
      <c r="ZU49" s="272"/>
      <c r="ZV49" s="272"/>
      <c r="ZW49" s="272"/>
      <c r="ZX49" s="272"/>
      <c r="ZY49" s="272"/>
      <c r="ZZ49" s="272"/>
      <c r="AAA49" s="272"/>
      <c r="AAB49" s="272"/>
      <c r="AAC49" s="272"/>
      <c r="AAD49" s="272"/>
      <c r="AAE49" s="272"/>
      <c r="AAF49" s="272"/>
      <c r="AAG49" s="272"/>
      <c r="AAH49" s="272"/>
      <c r="AAI49" s="272"/>
      <c r="AAJ49" s="272"/>
      <c r="AAK49" s="272"/>
      <c r="AAL49" s="272"/>
      <c r="AAM49" s="272"/>
      <c r="AAN49" s="272"/>
      <c r="AAO49" s="272"/>
      <c r="AAP49" s="272"/>
      <c r="AAQ49" s="272"/>
      <c r="AAR49" s="272"/>
      <c r="AAS49" s="272"/>
      <c r="AAT49" s="272"/>
      <c r="AAU49" s="272"/>
      <c r="AAV49" s="272"/>
      <c r="AAW49" s="272"/>
      <c r="AAX49" s="272"/>
      <c r="AAY49" s="272"/>
      <c r="AAZ49" s="272"/>
      <c r="ABA49" s="272"/>
      <c r="ABB49" s="272"/>
      <c r="ABC49" s="272"/>
      <c r="ABD49" s="272"/>
      <c r="ABE49" s="272"/>
      <c r="ABF49" s="272"/>
      <c r="ABG49" s="272"/>
    </row>
    <row r="50" spans="1:7" ht="26.25" thickBot="1">
      <c r="A50" s="3" t="s">
        <v>4</v>
      </c>
      <c r="B50" s="4"/>
      <c r="C50" s="4"/>
      <c r="D50" s="4"/>
      <c r="E50" s="4"/>
      <c r="F50" s="4"/>
      <c r="G50" s="5"/>
    </row>
    <row r="51" spans="1:735" s="61" customFormat="1" ht="81" customHeight="1">
      <c r="A51" s="37" t="s">
        <v>5</v>
      </c>
      <c r="B51" s="38" t="s">
        <v>27</v>
      </c>
      <c r="C51" s="608" t="s">
        <v>52</v>
      </c>
      <c r="D51" s="605"/>
      <c r="E51" s="618"/>
      <c r="F51" s="628"/>
      <c r="G51" s="634"/>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c r="CC51" s="272"/>
      <c r="CD51" s="272"/>
      <c r="CE51" s="272"/>
      <c r="CF51" s="272"/>
      <c r="CG51" s="272"/>
      <c r="CH51" s="272"/>
      <c r="CI51" s="272"/>
      <c r="CJ51" s="272"/>
      <c r="CK51" s="272"/>
      <c r="CL51" s="272"/>
      <c r="CM51" s="272"/>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c r="EO51" s="272"/>
      <c r="EP51" s="272"/>
      <c r="EQ51" s="272"/>
      <c r="ER51" s="272"/>
      <c r="ES51" s="272"/>
      <c r="ET51" s="272"/>
      <c r="EU51" s="272"/>
      <c r="EV51" s="272"/>
      <c r="EW51" s="272"/>
      <c r="EX51" s="272"/>
      <c r="EY51" s="272"/>
      <c r="EZ51" s="272"/>
      <c r="FA51" s="272"/>
      <c r="FB51" s="272"/>
      <c r="FC51" s="272"/>
      <c r="FD51" s="272"/>
      <c r="FE51" s="272"/>
      <c r="FF51" s="272"/>
      <c r="FG51" s="272"/>
      <c r="FH51" s="272"/>
      <c r="FI51" s="272"/>
      <c r="FJ51" s="272"/>
      <c r="FK51" s="272"/>
      <c r="FL51" s="272"/>
      <c r="FM51" s="272"/>
      <c r="FN51" s="272"/>
      <c r="FO51" s="272"/>
      <c r="FP51" s="272"/>
      <c r="FQ51" s="272"/>
      <c r="FR51" s="272"/>
      <c r="FS51" s="272"/>
      <c r="FT51" s="272"/>
      <c r="FU51" s="272"/>
      <c r="FV51" s="272"/>
      <c r="FW51" s="272"/>
      <c r="FX51" s="272"/>
      <c r="FY51" s="272"/>
      <c r="FZ51" s="272"/>
      <c r="GA51" s="272"/>
      <c r="GB51" s="272"/>
      <c r="GC51" s="272"/>
      <c r="GD51" s="272"/>
      <c r="GE51" s="272"/>
      <c r="GF51" s="272"/>
      <c r="GG51" s="272"/>
      <c r="GH51" s="272"/>
      <c r="GI51" s="272"/>
      <c r="GJ51" s="272"/>
      <c r="GK51" s="272"/>
      <c r="GL51" s="272"/>
      <c r="GM51" s="272"/>
      <c r="GN51" s="272"/>
      <c r="GO51" s="272"/>
      <c r="GP51" s="272"/>
      <c r="GQ51" s="272"/>
      <c r="GR51" s="272"/>
      <c r="GS51" s="272"/>
      <c r="GT51" s="272"/>
      <c r="GU51" s="272"/>
      <c r="GV51" s="272"/>
      <c r="GW51" s="272"/>
      <c r="GX51" s="272"/>
      <c r="GY51" s="272"/>
      <c r="GZ51" s="272"/>
      <c r="HA51" s="272"/>
      <c r="HB51" s="272"/>
      <c r="HC51" s="272"/>
      <c r="HD51" s="272"/>
      <c r="HE51" s="272"/>
      <c r="HF51" s="272"/>
      <c r="HG51" s="272"/>
      <c r="HH51" s="272"/>
      <c r="HI51" s="272"/>
      <c r="HJ51" s="272"/>
      <c r="HK51" s="272"/>
      <c r="HL51" s="272"/>
      <c r="HM51" s="272"/>
      <c r="HN51" s="272"/>
      <c r="HO51" s="272"/>
      <c r="HP51" s="272"/>
      <c r="HQ51" s="272"/>
      <c r="HR51" s="272"/>
      <c r="HS51" s="272"/>
      <c r="HT51" s="272"/>
      <c r="HU51" s="272"/>
      <c r="HV51" s="272"/>
      <c r="HW51" s="272"/>
      <c r="HX51" s="272"/>
      <c r="HY51" s="272"/>
      <c r="HZ51" s="272"/>
      <c r="IA51" s="272"/>
      <c r="IB51" s="272"/>
      <c r="IC51" s="272"/>
      <c r="ID51" s="272"/>
      <c r="IE51" s="272"/>
      <c r="IF51" s="272"/>
      <c r="IG51" s="272"/>
      <c r="IH51" s="272"/>
      <c r="II51" s="272"/>
      <c r="IJ51" s="272"/>
      <c r="IK51" s="272"/>
      <c r="IL51" s="272"/>
      <c r="IM51" s="272"/>
      <c r="IN51" s="272"/>
      <c r="IO51" s="272"/>
      <c r="IP51" s="272"/>
      <c r="IQ51" s="272"/>
      <c r="IR51" s="272"/>
      <c r="IS51" s="272"/>
      <c r="IT51" s="272"/>
      <c r="IU51" s="272"/>
      <c r="IV51" s="272"/>
      <c r="IW51" s="272"/>
      <c r="IX51" s="272"/>
      <c r="IY51" s="272"/>
      <c r="IZ51" s="272"/>
      <c r="JA51" s="272"/>
      <c r="JB51" s="272"/>
      <c r="JC51" s="272"/>
      <c r="JD51" s="272"/>
      <c r="JE51" s="272"/>
      <c r="JF51" s="272"/>
      <c r="JG51" s="272"/>
      <c r="JH51" s="272"/>
      <c r="JI51" s="272"/>
      <c r="JJ51" s="272"/>
      <c r="JK51" s="272"/>
      <c r="JL51" s="272"/>
      <c r="JM51" s="272"/>
      <c r="JN51" s="272"/>
      <c r="JO51" s="272"/>
      <c r="JP51" s="272"/>
      <c r="JQ51" s="272"/>
      <c r="JR51" s="272"/>
      <c r="JS51" s="272"/>
      <c r="JT51" s="272"/>
      <c r="JU51" s="272"/>
      <c r="JV51" s="272"/>
      <c r="JW51" s="272"/>
      <c r="JX51" s="272"/>
      <c r="JY51" s="272"/>
      <c r="JZ51" s="272"/>
      <c r="KA51" s="272"/>
      <c r="KB51" s="272"/>
      <c r="KC51" s="272"/>
      <c r="KD51" s="272"/>
      <c r="KE51" s="272"/>
      <c r="KF51" s="272"/>
      <c r="KG51" s="272"/>
      <c r="KH51" s="272"/>
      <c r="KI51" s="272"/>
      <c r="KJ51" s="272"/>
      <c r="KK51" s="272"/>
      <c r="KL51" s="272"/>
      <c r="KM51" s="272"/>
      <c r="KN51" s="272"/>
      <c r="KO51" s="272"/>
      <c r="KP51" s="272"/>
      <c r="KQ51" s="272"/>
      <c r="KR51" s="272"/>
      <c r="KS51" s="272"/>
      <c r="KT51" s="272"/>
      <c r="KU51" s="272"/>
      <c r="KV51" s="272"/>
      <c r="KW51" s="272"/>
      <c r="KX51" s="272"/>
      <c r="KY51" s="272"/>
      <c r="KZ51" s="272"/>
      <c r="LA51" s="272"/>
      <c r="LB51" s="272"/>
      <c r="LC51" s="272"/>
      <c r="LD51" s="272"/>
      <c r="LE51" s="272"/>
      <c r="LF51" s="272"/>
      <c r="LG51" s="272"/>
      <c r="LH51" s="272"/>
      <c r="LI51" s="272"/>
      <c r="LJ51" s="272"/>
      <c r="LK51" s="272"/>
      <c r="LL51" s="272"/>
      <c r="LM51" s="272"/>
      <c r="LN51" s="272"/>
      <c r="LO51" s="272"/>
      <c r="LP51" s="272"/>
      <c r="LQ51" s="272"/>
      <c r="LR51" s="272"/>
      <c r="LS51" s="272"/>
      <c r="LT51" s="272"/>
      <c r="LU51" s="272"/>
      <c r="LV51" s="272"/>
      <c r="LW51" s="272"/>
      <c r="LX51" s="272"/>
      <c r="LY51" s="272"/>
      <c r="LZ51" s="272"/>
      <c r="MA51" s="272"/>
      <c r="MB51" s="272"/>
      <c r="MC51" s="272"/>
      <c r="MD51" s="272"/>
      <c r="ME51" s="272"/>
      <c r="MF51" s="272"/>
      <c r="MG51" s="272"/>
      <c r="MH51" s="272"/>
      <c r="MI51" s="272"/>
      <c r="MJ51" s="272"/>
      <c r="MK51" s="272"/>
      <c r="ML51" s="272"/>
      <c r="MM51" s="272"/>
      <c r="MN51" s="272"/>
      <c r="MO51" s="272"/>
      <c r="MP51" s="272"/>
      <c r="MQ51" s="272"/>
      <c r="MR51" s="272"/>
      <c r="MS51" s="272"/>
      <c r="MT51" s="272"/>
      <c r="MU51" s="272"/>
      <c r="MV51" s="272"/>
      <c r="MW51" s="272"/>
      <c r="MX51" s="272"/>
      <c r="MY51" s="272"/>
      <c r="MZ51" s="272"/>
      <c r="NA51" s="272"/>
      <c r="NB51" s="272"/>
      <c r="NC51" s="272"/>
      <c r="ND51" s="272"/>
      <c r="NE51" s="272"/>
      <c r="NF51" s="272"/>
      <c r="NG51" s="272"/>
      <c r="NH51" s="272"/>
      <c r="NI51" s="272"/>
      <c r="NJ51" s="272"/>
      <c r="NK51" s="272"/>
      <c r="NL51" s="272"/>
      <c r="NM51" s="272"/>
      <c r="NN51" s="272"/>
      <c r="NO51" s="272"/>
      <c r="NP51" s="272"/>
      <c r="NQ51" s="272"/>
      <c r="NR51" s="272"/>
      <c r="NS51" s="272"/>
      <c r="NT51" s="272"/>
      <c r="NU51" s="272"/>
      <c r="NV51" s="272"/>
      <c r="NW51" s="272"/>
      <c r="NX51" s="272"/>
      <c r="NY51" s="272"/>
      <c r="NZ51" s="272"/>
      <c r="OA51" s="272"/>
      <c r="OB51" s="272"/>
      <c r="OC51" s="272"/>
      <c r="OD51" s="272"/>
      <c r="OE51" s="272"/>
      <c r="OF51" s="272"/>
      <c r="OG51" s="272"/>
      <c r="OH51" s="272"/>
      <c r="OI51" s="272"/>
      <c r="OJ51" s="272"/>
      <c r="OK51" s="272"/>
      <c r="OL51" s="272"/>
      <c r="OM51" s="272"/>
      <c r="ON51" s="272"/>
      <c r="OO51" s="272"/>
      <c r="OP51" s="272"/>
      <c r="OQ51" s="272"/>
      <c r="OR51" s="272"/>
      <c r="OS51" s="272"/>
      <c r="OT51" s="272"/>
      <c r="OU51" s="272"/>
      <c r="OV51" s="272"/>
      <c r="OW51" s="272"/>
      <c r="OX51" s="272"/>
      <c r="OY51" s="272"/>
      <c r="OZ51" s="272"/>
      <c r="PA51" s="272"/>
      <c r="PB51" s="272"/>
      <c r="PC51" s="272"/>
      <c r="PD51" s="272"/>
      <c r="PE51" s="272"/>
      <c r="PF51" s="272"/>
      <c r="PG51" s="272"/>
      <c r="PH51" s="272"/>
      <c r="PI51" s="272"/>
      <c r="PJ51" s="272"/>
      <c r="PK51" s="272"/>
      <c r="PL51" s="272"/>
      <c r="PM51" s="272"/>
      <c r="PN51" s="272"/>
      <c r="PO51" s="272"/>
      <c r="PP51" s="272"/>
      <c r="PQ51" s="272"/>
      <c r="PR51" s="272"/>
      <c r="PS51" s="272"/>
      <c r="PT51" s="272"/>
      <c r="PU51" s="272"/>
      <c r="PV51" s="272"/>
      <c r="PW51" s="272"/>
      <c r="PX51" s="272"/>
      <c r="PY51" s="272"/>
      <c r="PZ51" s="272"/>
      <c r="QA51" s="272"/>
      <c r="QB51" s="272"/>
      <c r="QC51" s="272"/>
      <c r="QD51" s="272"/>
      <c r="QE51" s="272"/>
      <c r="QF51" s="272"/>
      <c r="QG51" s="272"/>
      <c r="QH51" s="272"/>
      <c r="QI51" s="272"/>
      <c r="QJ51" s="272"/>
      <c r="QK51" s="272"/>
      <c r="QL51" s="272"/>
      <c r="QM51" s="272"/>
      <c r="QN51" s="272"/>
      <c r="QO51" s="272"/>
      <c r="QP51" s="272"/>
      <c r="QQ51" s="272"/>
      <c r="QR51" s="272"/>
      <c r="QS51" s="272"/>
      <c r="QT51" s="272"/>
      <c r="QU51" s="272"/>
      <c r="QV51" s="272"/>
      <c r="QW51" s="272"/>
      <c r="QX51" s="272"/>
      <c r="QY51" s="272"/>
      <c r="QZ51" s="272"/>
      <c r="RA51" s="272"/>
      <c r="RB51" s="272"/>
      <c r="RC51" s="272"/>
      <c r="RD51" s="272"/>
      <c r="RE51" s="272"/>
      <c r="RF51" s="272"/>
      <c r="RG51" s="272"/>
      <c r="RH51" s="272"/>
      <c r="RI51" s="272"/>
      <c r="RJ51" s="272"/>
      <c r="RK51" s="272"/>
      <c r="RL51" s="272"/>
      <c r="RM51" s="272"/>
      <c r="RN51" s="272"/>
      <c r="RO51" s="272"/>
      <c r="RP51" s="272"/>
      <c r="RQ51" s="272"/>
      <c r="RR51" s="272"/>
      <c r="RS51" s="272"/>
      <c r="RT51" s="272"/>
      <c r="RU51" s="272"/>
      <c r="RV51" s="272"/>
      <c r="RW51" s="272"/>
      <c r="RX51" s="272"/>
      <c r="RY51" s="272"/>
      <c r="RZ51" s="272"/>
      <c r="SA51" s="272"/>
      <c r="SB51" s="272"/>
      <c r="SC51" s="272"/>
      <c r="SD51" s="272"/>
      <c r="SE51" s="272"/>
      <c r="SF51" s="272"/>
      <c r="SG51" s="272"/>
      <c r="SH51" s="272"/>
      <c r="SI51" s="272"/>
      <c r="SJ51" s="272"/>
      <c r="SK51" s="272"/>
      <c r="SL51" s="272"/>
      <c r="SM51" s="272"/>
      <c r="SN51" s="272"/>
      <c r="SO51" s="272"/>
      <c r="SP51" s="272"/>
      <c r="SQ51" s="272"/>
      <c r="SR51" s="272"/>
      <c r="SS51" s="272"/>
      <c r="ST51" s="272"/>
      <c r="SU51" s="272"/>
      <c r="SV51" s="272"/>
      <c r="SW51" s="272"/>
      <c r="SX51" s="272"/>
      <c r="SY51" s="272"/>
      <c r="SZ51" s="272"/>
      <c r="TA51" s="272"/>
      <c r="TB51" s="272"/>
      <c r="TC51" s="272"/>
      <c r="TD51" s="272"/>
      <c r="TE51" s="272"/>
      <c r="TF51" s="272"/>
      <c r="TG51" s="272"/>
      <c r="TH51" s="272"/>
      <c r="TI51" s="272"/>
      <c r="TJ51" s="272"/>
      <c r="TK51" s="272"/>
      <c r="TL51" s="272"/>
      <c r="TM51" s="272"/>
      <c r="TN51" s="272"/>
      <c r="TO51" s="272"/>
      <c r="TP51" s="272"/>
      <c r="TQ51" s="272"/>
      <c r="TR51" s="272"/>
      <c r="TS51" s="272"/>
      <c r="TT51" s="272"/>
      <c r="TU51" s="272"/>
      <c r="TV51" s="272"/>
      <c r="TW51" s="272"/>
      <c r="TX51" s="272"/>
      <c r="TY51" s="272"/>
      <c r="TZ51" s="272"/>
      <c r="UA51" s="272"/>
      <c r="UB51" s="272"/>
      <c r="UC51" s="272"/>
      <c r="UD51" s="272"/>
      <c r="UE51" s="272"/>
      <c r="UF51" s="272"/>
      <c r="UG51" s="272"/>
      <c r="UH51" s="272"/>
      <c r="UI51" s="272"/>
      <c r="UJ51" s="272"/>
      <c r="UK51" s="272"/>
      <c r="UL51" s="272"/>
      <c r="UM51" s="272"/>
      <c r="UN51" s="272"/>
      <c r="UO51" s="272"/>
      <c r="UP51" s="272"/>
      <c r="UQ51" s="272"/>
      <c r="UR51" s="272"/>
      <c r="US51" s="272"/>
      <c r="UT51" s="272"/>
      <c r="UU51" s="272"/>
      <c r="UV51" s="272"/>
      <c r="UW51" s="272"/>
      <c r="UX51" s="272"/>
      <c r="UY51" s="272"/>
      <c r="UZ51" s="272"/>
      <c r="VA51" s="272"/>
      <c r="VB51" s="272"/>
      <c r="VC51" s="272"/>
      <c r="VD51" s="272"/>
      <c r="VE51" s="272"/>
      <c r="VF51" s="272"/>
      <c r="VG51" s="272"/>
      <c r="VH51" s="272"/>
      <c r="VI51" s="272"/>
      <c r="VJ51" s="272"/>
      <c r="VK51" s="272"/>
      <c r="VL51" s="272"/>
      <c r="VM51" s="272"/>
      <c r="VN51" s="272"/>
      <c r="VO51" s="272"/>
      <c r="VP51" s="272"/>
      <c r="VQ51" s="272"/>
      <c r="VR51" s="272"/>
      <c r="VS51" s="272"/>
      <c r="VT51" s="272"/>
      <c r="VU51" s="272"/>
      <c r="VV51" s="272"/>
      <c r="VW51" s="272"/>
      <c r="VX51" s="272"/>
      <c r="VY51" s="272"/>
      <c r="VZ51" s="272"/>
      <c r="WA51" s="272"/>
      <c r="WB51" s="272"/>
      <c r="WC51" s="272"/>
      <c r="WD51" s="272"/>
      <c r="WE51" s="272"/>
      <c r="WF51" s="272"/>
      <c r="WG51" s="272"/>
      <c r="WH51" s="272"/>
      <c r="WI51" s="272"/>
      <c r="WJ51" s="272"/>
      <c r="WK51" s="272"/>
      <c r="WL51" s="272"/>
      <c r="WM51" s="272"/>
      <c r="WN51" s="272"/>
      <c r="WO51" s="272"/>
      <c r="WP51" s="272"/>
      <c r="WQ51" s="272"/>
      <c r="WR51" s="272"/>
      <c r="WS51" s="272"/>
      <c r="WT51" s="272"/>
      <c r="WU51" s="272"/>
      <c r="WV51" s="272"/>
      <c r="WW51" s="272"/>
      <c r="WX51" s="272"/>
      <c r="WY51" s="272"/>
      <c r="WZ51" s="272"/>
      <c r="XA51" s="272"/>
      <c r="XB51" s="272"/>
      <c r="XC51" s="272"/>
      <c r="XD51" s="272"/>
      <c r="XE51" s="272"/>
      <c r="XF51" s="272"/>
      <c r="XG51" s="272"/>
      <c r="XH51" s="272"/>
      <c r="XI51" s="272"/>
      <c r="XJ51" s="272"/>
      <c r="XK51" s="272"/>
      <c r="XL51" s="272"/>
      <c r="XM51" s="272"/>
      <c r="XN51" s="272"/>
      <c r="XO51" s="272"/>
      <c r="XP51" s="272"/>
      <c r="XQ51" s="272"/>
      <c r="XR51" s="272"/>
      <c r="XS51" s="272"/>
      <c r="XT51" s="272"/>
      <c r="XU51" s="272"/>
      <c r="XV51" s="272"/>
      <c r="XW51" s="272"/>
      <c r="XX51" s="272"/>
      <c r="XY51" s="272"/>
      <c r="XZ51" s="272"/>
      <c r="YA51" s="272"/>
      <c r="YB51" s="272"/>
      <c r="YC51" s="272"/>
      <c r="YD51" s="272"/>
      <c r="YE51" s="272"/>
      <c r="YF51" s="272"/>
      <c r="YG51" s="272"/>
      <c r="YH51" s="272"/>
      <c r="YI51" s="272"/>
      <c r="YJ51" s="272"/>
      <c r="YK51" s="272"/>
      <c r="YL51" s="272"/>
      <c r="YM51" s="272"/>
      <c r="YN51" s="272"/>
      <c r="YO51" s="272"/>
      <c r="YP51" s="272"/>
      <c r="YQ51" s="272"/>
      <c r="YR51" s="272"/>
      <c r="YS51" s="272"/>
      <c r="YT51" s="272"/>
      <c r="YU51" s="272"/>
      <c r="YV51" s="272"/>
      <c r="YW51" s="272"/>
      <c r="YX51" s="272"/>
      <c r="YY51" s="272"/>
      <c r="YZ51" s="272"/>
      <c r="ZA51" s="272"/>
      <c r="ZB51" s="272"/>
      <c r="ZC51" s="272"/>
      <c r="ZD51" s="272"/>
      <c r="ZE51" s="272"/>
      <c r="ZF51" s="272"/>
      <c r="ZG51" s="272"/>
      <c r="ZH51" s="272"/>
      <c r="ZI51" s="272"/>
      <c r="ZJ51" s="272"/>
      <c r="ZK51" s="272"/>
      <c r="ZL51" s="272"/>
      <c r="ZM51" s="272"/>
      <c r="ZN51" s="272"/>
      <c r="ZO51" s="272"/>
      <c r="ZP51" s="272"/>
      <c r="ZQ51" s="272"/>
      <c r="ZR51" s="272"/>
      <c r="ZS51" s="272"/>
      <c r="ZT51" s="272"/>
      <c r="ZU51" s="272"/>
      <c r="ZV51" s="272"/>
      <c r="ZW51" s="272"/>
      <c r="ZX51" s="272"/>
      <c r="ZY51" s="272"/>
      <c r="ZZ51" s="272"/>
      <c r="AAA51" s="272"/>
      <c r="AAB51" s="272"/>
      <c r="AAC51" s="272"/>
      <c r="AAD51" s="272"/>
      <c r="AAE51" s="272"/>
      <c r="AAF51" s="272"/>
      <c r="AAG51" s="272"/>
      <c r="AAH51" s="272"/>
      <c r="AAI51" s="272"/>
      <c r="AAJ51" s="272"/>
      <c r="AAK51" s="272"/>
      <c r="AAL51" s="272"/>
      <c r="AAM51" s="272"/>
      <c r="AAN51" s="272"/>
      <c r="AAO51" s="272"/>
      <c r="AAP51" s="272"/>
      <c r="AAQ51" s="272"/>
      <c r="AAR51" s="272"/>
      <c r="AAS51" s="272"/>
      <c r="AAT51" s="272"/>
      <c r="AAU51" s="272"/>
      <c r="AAV51" s="272"/>
      <c r="AAW51" s="272"/>
      <c r="AAX51" s="272"/>
      <c r="AAY51" s="272"/>
      <c r="AAZ51" s="272"/>
      <c r="ABA51" s="272"/>
      <c r="ABB51" s="272"/>
      <c r="ABC51" s="272"/>
      <c r="ABD51" s="272"/>
      <c r="ABE51" s="272"/>
      <c r="ABF51" s="272"/>
      <c r="ABG51" s="272"/>
    </row>
    <row r="52" spans="1:735" s="86" customFormat="1" ht="9.75" customHeight="1">
      <c r="A52" s="49"/>
      <c r="B52" s="82"/>
      <c r="C52" s="598"/>
      <c r="D52" s="601"/>
      <c r="E52" s="620"/>
      <c r="F52" s="627"/>
      <c r="G52" s="635"/>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c r="EO52" s="272"/>
      <c r="EP52" s="272"/>
      <c r="EQ52" s="272"/>
      <c r="ER52" s="272"/>
      <c r="ES52" s="272"/>
      <c r="ET52" s="272"/>
      <c r="EU52" s="272"/>
      <c r="EV52" s="272"/>
      <c r="EW52" s="272"/>
      <c r="EX52" s="272"/>
      <c r="EY52" s="272"/>
      <c r="EZ52" s="272"/>
      <c r="FA52" s="272"/>
      <c r="FB52" s="272"/>
      <c r="FC52" s="272"/>
      <c r="FD52" s="272"/>
      <c r="FE52" s="272"/>
      <c r="FF52" s="272"/>
      <c r="FG52" s="272"/>
      <c r="FH52" s="272"/>
      <c r="FI52" s="272"/>
      <c r="FJ52" s="272"/>
      <c r="FK52" s="272"/>
      <c r="FL52" s="272"/>
      <c r="FM52" s="272"/>
      <c r="FN52" s="272"/>
      <c r="FO52" s="272"/>
      <c r="FP52" s="272"/>
      <c r="FQ52" s="272"/>
      <c r="FR52" s="272"/>
      <c r="FS52" s="272"/>
      <c r="FT52" s="272"/>
      <c r="FU52" s="272"/>
      <c r="FV52" s="272"/>
      <c r="FW52" s="272"/>
      <c r="FX52" s="272"/>
      <c r="FY52" s="272"/>
      <c r="FZ52" s="272"/>
      <c r="GA52" s="272"/>
      <c r="GB52" s="272"/>
      <c r="GC52" s="272"/>
      <c r="GD52" s="272"/>
      <c r="GE52" s="272"/>
      <c r="GF52" s="272"/>
      <c r="GG52" s="272"/>
      <c r="GH52" s="272"/>
      <c r="GI52" s="272"/>
      <c r="GJ52" s="272"/>
      <c r="GK52" s="272"/>
      <c r="GL52" s="272"/>
      <c r="GM52" s="272"/>
      <c r="GN52" s="272"/>
      <c r="GO52" s="272"/>
      <c r="GP52" s="272"/>
      <c r="GQ52" s="272"/>
      <c r="GR52" s="272"/>
      <c r="GS52" s="272"/>
      <c r="GT52" s="272"/>
      <c r="GU52" s="272"/>
      <c r="GV52" s="272"/>
      <c r="GW52" s="272"/>
      <c r="GX52" s="272"/>
      <c r="GY52" s="272"/>
      <c r="GZ52" s="272"/>
      <c r="HA52" s="272"/>
      <c r="HB52" s="272"/>
      <c r="HC52" s="272"/>
      <c r="HD52" s="272"/>
      <c r="HE52" s="272"/>
      <c r="HF52" s="272"/>
      <c r="HG52" s="272"/>
      <c r="HH52" s="272"/>
      <c r="HI52" s="272"/>
      <c r="HJ52" s="272"/>
      <c r="HK52" s="272"/>
      <c r="HL52" s="272"/>
      <c r="HM52" s="272"/>
      <c r="HN52" s="272"/>
      <c r="HO52" s="272"/>
      <c r="HP52" s="272"/>
      <c r="HQ52" s="272"/>
      <c r="HR52" s="272"/>
      <c r="HS52" s="272"/>
      <c r="HT52" s="272"/>
      <c r="HU52" s="272"/>
      <c r="HV52" s="272"/>
      <c r="HW52" s="272"/>
      <c r="HX52" s="272"/>
      <c r="HY52" s="272"/>
      <c r="HZ52" s="272"/>
      <c r="IA52" s="272"/>
      <c r="IB52" s="272"/>
      <c r="IC52" s="272"/>
      <c r="ID52" s="272"/>
      <c r="IE52" s="272"/>
      <c r="IF52" s="272"/>
      <c r="IG52" s="272"/>
      <c r="IH52" s="272"/>
      <c r="II52" s="272"/>
      <c r="IJ52" s="272"/>
      <c r="IK52" s="272"/>
      <c r="IL52" s="272"/>
      <c r="IM52" s="272"/>
      <c r="IN52" s="272"/>
      <c r="IO52" s="272"/>
      <c r="IP52" s="272"/>
      <c r="IQ52" s="272"/>
      <c r="IR52" s="272"/>
      <c r="IS52" s="272"/>
      <c r="IT52" s="272"/>
      <c r="IU52" s="272"/>
      <c r="IV52" s="272"/>
      <c r="IW52" s="272"/>
      <c r="IX52" s="272"/>
      <c r="IY52" s="272"/>
      <c r="IZ52" s="272"/>
      <c r="JA52" s="272"/>
      <c r="JB52" s="272"/>
      <c r="JC52" s="272"/>
      <c r="JD52" s="272"/>
      <c r="JE52" s="272"/>
      <c r="JF52" s="272"/>
      <c r="JG52" s="272"/>
      <c r="JH52" s="272"/>
      <c r="JI52" s="272"/>
      <c r="JJ52" s="272"/>
      <c r="JK52" s="272"/>
      <c r="JL52" s="272"/>
      <c r="JM52" s="272"/>
      <c r="JN52" s="272"/>
      <c r="JO52" s="272"/>
      <c r="JP52" s="272"/>
      <c r="JQ52" s="272"/>
      <c r="JR52" s="272"/>
      <c r="JS52" s="272"/>
      <c r="JT52" s="272"/>
      <c r="JU52" s="272"/>
      <c r="JV52" s="272"/>
      <c r="JW52" s="272"/>
      <c r="JX52" s="272"/>
      <c r="JY52" s="272"/>
      <c r="JZ52" s="272"/>
      <c r="KA52" s="272"/>
      <c r="KB52" s="272"/>
      <c r="KC52" s="272"/>
      <c r="KD52" s="272"/>
      <c r="KE52" s="272"/>
      <c r="KF52" s="272"/>
      <c r="KG52" s="272"/>
      <c r="KH52" s="272"/>
      <c r="KI52" s="272"/>
      <c r="KJ52" s="272"/>
      <c r="KK52" s="272"/>
      <c r="KL52" s="272"/>
      <c r="KM52" s="272"/>
      <c r="KN52" s="272"/>
      <c r="KO52" s="272"/>
      <c r="KP52" s="272"/>
      <c r="KQ52" s="272"/>
      <c r="KR52" s="272"/>
      <c r="KS52" s="272"/>
      <c r="KT52" s="272"/>
      <c r="KU52" s="272"/>
      <c r="KV52" s="272"/>
      <c r="KW52" s="272"/>
      <c r="KX52" s="272"/>
      <c r="KY52" s="272"/>
      <c r="KZ52" s="272"/>
      <c r="LA52" s="272"/>
      <c r="LB52" s="272"/>
      <c r="LC52" s="272"/>
      <c r="LD52" s="272"/>
      <c r="LE52" s="272"/>
      <c r="LF52" s="272"/>
      <c r="LG52" s="272"/>
      <c r="LH52" s="272"/>
      <c r="LI52" s="272"/>
      <c r="LJ52" s="272"/>
      <c r="LK52" s="272"/>
      <c r="LL52" s="272"/>
      <c r="LM52" s="272"/>
      <c r="LN52" s="272"/>
      <c r="LO52" s="272"/>
      <c r="LP52" s="272"/>
      <c r="LQ52" s="272"/>
      <c r="LR52" s="272"/>
      <c r="LS52" s="272"/>
      <c r="LT52" s="272"/>
      <c r="LU52" s="272"/>
      <c r="LV52" s="272"/>
      <c r="LW52" s="272"/>
      <c r="LX52" s="272"/>
      <c r="LY52" s="272"/>
      <c r="LZ52" s="272"/>
      <c r="MA52" s="272"/>
      <c r="MB52" s="272"/>
      <c r="MC52" s="272"/>
      <c r="MD52" s="272"/>
      <c r="ME52" s="272"/>
      <c r="MF52" s="272"/>
      <c r="MG52" s="272"/>
      <c r="MH52" s="272"/>
      <c r="MI52" s="272"/>
      <c r="MJ52" s="272"/>
      <c r="MK52" s="272"/>
      <c r="ML52" s="272"/>
      <c r="MM52" s="272"/>
      <c r="MN52" s="272"/>
      <c r="MO52" s="272"/>
      <c r="MP52" s="272"/>
      <c r="MQ52" s="272"/>
      <c r="MR52" s="272"/>
      <c r="MS52" s="272"/>
      <c r="MT52" s="272"/>
      <c r="MU52" s="272"/>
      <c r="MV52" s="272"/>
      <c r="MW52" s="272"/>
      <c r="MX52" s="272"/>
      <c r="MY52" s="272"/>
      <c r="MZ52" s="272"/>
      <c r="NA52" s="272"/>
      <c r="NB52" s="272"/>
      <c r="NC52" s="272"/>
      <c r="ND52" s="272"/>
      <c r="NE52" s="272"/>
      <c r="NF52" s="272"/>
      <c r="NG52" s="272"/>
      <c r="NH52" s="272"/>
      <c r="NI52" s="272"/>
      <c r="NJ52" s="272"/>
      <c r="NK52" s="272"/>
      <c r="NL52" s="272"/>
      <c r="NM52" s="272"/>
      <c r="NN52" s="272"/>
      <c r="NO52" s="272"/>
      <c r="NP52" s="272"/>
      <c r="NQ52" s="272"/>
      <c r="NR52" s="272"/>
      <c r="NS52" s="272"/>
      <c r="NT52" s="272"/>
      <c r="NU52" s="272"/>
      <c r="NV52" s="272"/>
      <c r="NW52" s="272"/>
      <c r="NX52" s="272"/>
      <c r="NY52" s="272"/>
      <c r="NZ52" s="272"/>
      <c r="OA52" s="272"/>
      <c r="OB52" s="272"/>
      <c r="OC52" s="272"/>
      <c r="OD52" s="272"/>
      <c r="OE52" s="272"/>
      <c r="OF52" s="272"/>
      <c r="OG52" s="272"/>
      <c r="OH52" s="272"/>
      <c r="OI52" s="272"/>
      <c r="OJ52" s="272"/>
      <c r="OK52" s="272"/>
      <c r="OL52" s="272"/>
      <c r="OM52" s="272"/>
      <c r="ON52" s="272"/>
      <c r="OO52" s="272"/>
      <c r="OP52" s="272"/>
      <c r="OQ52" s="272"/>
      <c r="OR52" s="272"/>
      <c r="OS52" s="272"/>
      <c r="OT52" s="272"/>
      <c r="OU52" s="272"/>
      <c r="OV52" s="272"/>
      <c r="OW52" s="272"/>
      <c r="OX52" s="272"/>
      <c r="OY52" s="272"/>
      <c r="OZ52" s="272"/>
      <c r="PA52" s="272"/>
      <c r="PB52" s="272"/>
      <c r="PC52" s="272"/>
      <c r="PD52" s="272"/>
      <c r="PE52" s="272"/>
      <c r="PF52" s="272"/>
      <c r="PG52" s="272"/>
      <c r="PH52" s="272"/>
      <c r="PI52" s="272"/>
      <c r="PJ52" s="272"/>
      <c r="PK52" s="272"/>
      <c r="PL52" s="272"/>
      <c r="PM52" s="272"/>
      <c r="PN52" s="272"/>
      <c r="PO52" s="272"/>
      <c r="PP52" s="272"/>
      <c r="PQ52" s="272"/>
      <c r="PR52" s="272"/>
      <c r="PS52" s="272"/>
      <c r="PT52" s="272"/>
      <c r="PU52" s="272"/>
      <c r="PV52" s="272"/>
      <c r="PW52" s="272"/>
      <c r="PX52" s="272"/>
      <c r="PY52" s="272"/>
      <c r="PZ52" s="272"/>
      <c r="QA52" s="272"/>
      <c r="QB52" s="272"/>
      <c r="QC52" s="272"/>
      <c r="QD52" s="272"/>
      <c r="QE52" s="272"/>
      <c r="QF52" s="272"/>
      <c r="QG52" s="272"/>
      <c r="QH52" s="272"/>
      <c r="QI52" s="272"/>
      <c r="QJ52" s="272"/>
      <c r="QK52" s="272"/>
      <c r="QL52" s="272"/>
      <c r="QM52" s="272"/>
      <c r="QN52" s="272"/>
      <c r="QO52" s="272"/>
      <c r="QP52" s="272"/>
      <c r="QQ52" s="272"/>
      <c r="QR52" s="272"/>
      <c r="QS52" s="272"/>
      <c r="QT52" s="272"/>
      <c r="QU52" s="272"/>
      <c r="QV52" s="272"/>
      <c r="QW52" s="272"/>
      <c r="QX52" s="272"/>
      <c r="QY52" s="272"/>
      <c r="QZ52" s="272"/>
      <c r="RA52" s="272"/>
      <c r="RB52" s="272"/>
      <c r="RC52" s="272"/>
      <c r="RD52" s="272"/>
      <c r="RE52" s="272"/>
      <c r="RF52" s="272"/>
      <c r="RG52" s="272"/>
      <c r="RH52" s="272"/>
      <c r="RI52" s="272"/>
      <c r="RJ52" s="272"/>
      <c r="RK52" s="272"/>
      <c r="RL52" s="272"/>
      <c r="RM52" s="272"/>
      <c r="RN52" s="272"/>
      <c r="RO52" s="272"/>
      <c r="RP52" s="272"/>
      <c r="RQ52" s="272"/>
      <c r="RR52" s="272"/>
      <c r="RS52" s="272"/>
      <c r="RT52" s="272"/>
      <c r="RU52" s="272"/>
      <c r="RV52" s="272"/>
      <c r="RW52" s="272"/>
      <c r="RX52" s="272"/>
      <c r="RY52" s="272"/>
      <c r="RZ52" s="272"/>
      <c r="SA52" s="272"/>
      <c r="SB52" s="272"/>
      <c r="SC52" s="272"/>
      <c r="SD52" s="272"/>
      <c r="SE52" s="272"/>
      <c r="SF52" s="272"/>
      <c r="SG52" s="272"/>
      <c r="SH52" s="272"/>
      <c r="SI52" s="272"/>
      <c r="SJ52" s="272"/>
      <c r="SK52" s="272"/>
      <c r="SL52" s="272"/>
      <c r="SM52" s="272"/>
      <c r="SN52" s="272"/>
      <c r="SO52" s="272"/>
      <c r="SP52" s="272"/>
      <c r="SQ52" s="272"/>
      <c r="SR52" s="272"/>
      <c r="SS52" s="272"/>
      <c r="ST52" s="272"/>
      <c r="SU52" s="272"/>
      <c r="SV52" s="272"/>
      <c r="SW52" s="272"/>
      <c r="SX52" s="272"/>
      <c r="SY52" s="272"/>
      <c r="SZ52" s="272"/>
      <c r="TA52" s="272"/>
      <c r="TB52" s="272"/>
      <c r="TC52" s="272"/>
      <c r="TD52" s="272"/>
      <c r="TE52" s="272"/>
      <c r="TF52" s="272"/>
      <c r="TG52" s="272"/>
      <c r="TH52" s="272"/>
      <c r="TI52" s="272"/>
      <c r="TJ52" s="272"/>
      <c r="TK52" s="272"/>
      <c r="TL52" s="272"/>
      <c r="TM52" s="272"/>
      <c r="TN52" s="272"/>
      <c r="TO52" s="272"/>
      <c r="TP52" s="272"/>
      <c r="TQ52" s="272"/>
      <c r="TR52" s="272"/>
      <c r="TS52" s="272"/>
      <c r="TT52" s="272"/>
      <c r="TU52" s="272"/>
      <c r="TV52" s="272"/>
      <c r="TW52" s="272"/>
      <c r="TX52" s="272"/>
      <c r="TY52" s="272"/>
      <c r="TZ52" s="272"/>
      <c r="UA52" s="272"/>
      <c r="UB52" s="272"/>
      <c r="UC52" s="272"/>
      <c r="UD52" s="272"/>
      <c r="UE52" s="272"/>
      <c r="UF52" s="272"/>
      <c r="UG52" s="272"/>
      <c r="UH52" s="272"/>
      <c r="UI52" s="272"/>
      <c r="UJ52" s="272"/>
      <c r="UK52" s="272"/>
      <c r="UL52" s="272"/>
      <c r="UM52" s="272"/>
      <c r="UN52" s="272"/>
      <c r="UO52" s="272"/>
      <c r="UP52" s="272"/>
      <c r="UQ52" s="272"/>
      <c r="UR52" s="272"/>
      <c r="US52" s="272"/>
      <c r="UT52" s="272"/>
      <c r="UU52" s="272"/>
      <c r="UV52" s="272"/>
      <c r="UW52" s="272"/>
      <c r="UX52" s="272"/>
      <c r="UY52" s="272"/>
      <c r="UZ52" s="272"/>
      <c r="VA52" s="272"/>
      <c r="VB52" s="272"/>
      <c r="VC52" s="272"/>
      <c r="VD52" s="272"/>
      <c r="VE52" s="272"/>
      <c r="VF52" s="272"/>
      <c r="VG52" s="272"/>
      <c r="VH52" s="272"/>
      <c r="VI52" s="272"/>
      <c r="VJ52" s="272"/>
      <c r="VK52" s="272"/>
      <c r="VL52" s="272"/>
      <c r="VM52" s="272"/>
      <c r="VN52" s="272"/>
      <c r="VO52" s="272"/>
      <c r="VP52" s="272"/>
      <c r="VQ52" s="272"/>
      <c r="VR52" s="272"/>
      <c r="VS52" s="272"/>
      <c r="VT52" s="272"/>
      <c r="VU52" s="272"/>
      <c r="VV52" s="272"/>
      <c r="VW52" s="272"/>
      <c r="VX52" s="272"/>
      <c r="VY52" s="272"/>
      <c r="VZ52" s="272"/>
      <c r="WA52" s="272"/>
      <c r="WB52" s="272"/>
      <c r="WC52" s="272"/>
      <c r="WD52" s="272"/>
      <c r="WE52" s="272"/>
      <c r="WF52" s="272"/>
      <c r="WG52" s="272"/>
      <c r="WH52" s="272"/>
      <c r="WI52" s="272"/>
      <c r="WJ52" s="272"/>
      <c r="WK52" s="272"/>
      <c r="WL52" s="272"/>
      <c r="WM52" s="272"/>
      <c r="WN52" s="272"/>
      <c r="WO52" s="272"/>
      <c r="WP52" s="272"/>
      <c r="WQ52" s="272"/>
      <c r="WR52" s="272"/>
      <c r="WS52" s="272"/>
      <c r="WT52" s="272"/>
      <c r="WU52" s="272"/>
      <c r="WV52" s="272"/>
      <c r="WW52" s="272"/>
      <c r="WX52" s="272"/>
      <c r="WY52" s="272"/>
      <c r="WZ52" s="272"/>
      <c r="XA52" s="272"/>
      <c r="XB52" s="272"/>
      <c r="XC52" s="272"/>
      <c r="XD52" s="272"/>
      <c r="XE52" s="272"/>
      <c r="XF52" s="272"/>
      <c r="XG52" s="272"/>
      <c r="XH52" s="272"/>
      <c r="XI52" s="272"/>
      <c r="XJ52" s="272"/>
      <c r="XK52" s="272"/>
      <c r="XL52" s="272"/>
      <c r="XM52" s="272"/>
      <c r="XN52" s="272"/>
      <c r="XO52" s="272"/>
      <c r="XP52" s="272"/>
      <c r="XQ52" s="272"/>
      <c r="XR52" s="272"/>
      <c r="XS52" s="272"/>
      <c r="XT52" s="272"/>
      <c r="XU52" s="272"/>
      <c r="XV52" s="272"/>
      <c r="XW52" s="272"/>
      <c r="XX52" s="272"/>
      <c r="XY52" s="272"/>
      <c r="XZ52" s="272"/>
      <c r="YA52" s="272"/>
      <c r="YB52" s="272"/>
      <c r="YC52" s="272"/>
      <c r="YD52" s="272"/>
      <c r="YE52" s="272"/>
      <c r="YF52" s="272"/>
      <c r="YG52" s="272"/>
      <c r="YH52" s="272"/>
      <c r="YI52" s="272"/>
      <c r="YJ52" s="272"/>
      <c r="YK52" s="272"/>
      <c r="YL52" s="272"/>
      <c r="YM52" s="272"/>
      <c r="YN52" s="272"/>
      <c r="YO52" s="272"/>
      <c r="YP52" s="272"/>
      <c r="YQ52" s="272"/>
      <c r="YR52" s="272"/>
      <c r="YS52" s="272"/>
      <c r="YT52" s="272"/>
      <c r="YU52" s="272"/>
      <c r="YV52" s="272"/>
      <c r="YW52" s="272"/>
      <c r="YX52" s="272"/>
      <c r="YY52" s="272"/>
      <c r="YZ52" s="272"/>
      <c r="ZA52" s="272"/>
      <c r="ZB52" s="272"/>
      <c r="ZC52" s="272"/>
      <c r="ZD52" s="272"/>
      <c r="ZE52" s="272"/>
      <c r="ZF52" s="272"/>
      <c r="ZG52" s="272"/>
      <c r="ZH52" s="272"/>
      <c r="ZI52" s="272"/>
      <c r="ZJ52" s="272"/>
      <c r="ZK52" s="272"/>
      <c r="ZL52" s="272"/>
      <c r="ZM52" s="272"/>
      <c r="ZN52" s="272"/>
      <c r="ZO52" s="272"/>
      <c r="ZP52" s="272"/>
      <c r="ZQ52" s="272"/>
      <c r="ZR52" s="272"/>
      <c r="ZS52" s="272"/>
      <c r="ZT52" s="272"/>
      <c r="ZU52" s="272"/>
      <c r="ZV52" s="272"/>
      <c r="ZW52" s="272"/>
      <c r="ZX52" s="272"/>
      <c r="ZY52" s="272"/>
      <c r="ZZ52" s="272"/>
      <c r="AAA52" s="272"/>
      <c r="AAB52" s="272"/>
      <c r="AAC52" s="272"/>
      <c r="AAD52" s="272"/>
      <c r="AAE52" s="272"/>
      <c r="AAF52" s="272"/>
      <c r="AAG52" s="272"/>
      <c r="AAH52" s="272"/>
      <c r="AAI52" s="272"/>
      <c r="AAJ52" s="272"/>
      <c r="AAK52" s="272"/>
      <c r="AAL52" s="272"/>
      <c r="AAM52" s="272"/>
      <c r="AAN52" s="272"/>
      <c r="AAO52" s="272"/>
      <c r="AAP52" s="272"/>
      <c r="AAQ52" s="272"/>
      <c r="AAR52" s="272"/>
      <c r="AAS52" s="272"/>
      <c r="AAT52" s="272"/>
      <c r="AAU52" s="272"/>
      <c r="AAV52" s="272"/>
      <c r="AAW52" s="272"/>
      <c r="AAX52" s="272"/>
      <c r="AAY52" s="272"/>
      <c r="AAZ52" s="272"/>
      <c r="ABA52" s="272"/>
      <c r="ABB52" s="272"/>
      <c r="ABC52" s="272"/>
      <c r="ABD52" s="272"/>
      <c r="ABE52" s="272"/>
      <c r="ABF52" s="272"/>
      <c r="ABG52" s="272"/>
    </row>
    <row r="53" spans="1:735" s="19" customFormat="1" ht="15">
      <c r="A53" s="76"/>
      <c r="B53" s="44"/>
      <c r="C53" s="24" t="s">
        <v>53</v>
      </c>
      <c r="D53" s="508"/>
      <c r="E53" s="509"/>
      <c r="F53" s="506"/>
      <c r="G53" s="507"/>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c r="DJ53" s="272"/>
      <c r="DK53" s="272"/>
      <c r="DL53" s="272"/>
      <c r="DM53" s="272"/>
      <c r="DN53" s="272"/>
      <c r="DO53" s="272"/>
      <c r="DP53" s="272"/>
      <c r="DQ53" s="272"/>
      <c r="DR53" s="272"/>
      <c r="DS53" s="272"/>
      <c r="DT53" s="272"/>
      <c r="DU53" s="272"/>
      <c r="DV53" s="272"/>
      <c r="DW53" s="272"/>
      <c r="DX53" s="272"/>
      <c r="DY53" s="272"/>
      <c r="DZ53" s="272"/>
      <c r="EA53" s="272"/>
      <c r="EB53" s="272"/>
      <c r="EC53" s="272"/>
      <c r="ED53" s="272"/>
      <c r="EE53" s="272"/>
      <c r="EF53" s="272"/>
      <c r="EG53" s="272"/>
      <c r="EH53" s="272"/>
      <c r="EI53" s="272"/>
      <c r="EJ53" s="272"/>
      <c r="EK53" s="272"/>
      <c r="EL53" s="272"/>
      <c r="EM53" s="272"/>
      <c r="EN53" s="272"/>
      <c r="EO53" s="272"/>
      <c r="EP53" s="272"/>
      <c r="EQ53" s="272"/>
      <c r="ER53" s="272"/>
      <c r="ES53" s="272"/>
      <c r="ET53" s="272"/>
      <c r="EU53" s="272"/>
      <c r="EV53" s="272"/>
      <c r="EW53" s="272"/>
      <c r="EX53" s="272"/>
      <c r="EY53" s="272"/>
      <c r="EZ53" s="272"/>
      <c r="FA53" s="272"/>
      <c r="FB53" s="272"/>
      <c r="FC53" s="272"/>
      <c r="FD53" s="272"/>
      <c r="FE53" s="272"/>
      <c r="FF53" s="272"/>
      <c r="FG53" s="272"/>
      <c r="FH53" s="272"/>
      <c r="FI53" s="272"/>
      <c r="FJ53" s="272"/>
      <c r="FK53" s="272"/>
      <c r="FL53" s="272"/>
      <c r="FM53" s="272"/>
      <c r="FN53" s="272"/>
      <c r="FO53" s="272"/>
      <c r="FP53" s="272"/>
      <c r="FQ53" s="272"/>
      <c r="FR53" s="272"/>
      <c r="FS53" s="272"/>
      <c r="FT53" s="272"/>
      <c r="FU53" s="272"/>
      <c r="FV53" s="272"/>
      <c r="FW53" s="272"/>
      <c r="FX53" s="272"/>
      <c r="FY53" s="272"/>
      <c r="FZ53" s="272"/>
      <c r="GA53" s="272"/>
      <c r="GB53" s="272"/>
      <c r="GC53" s="272"/>
      <c r="GD53" s="272"/>
      <c r="GE53" s="272"/>
      <c r="GF53" s="272"/>
      <c r="GG53" s="272"/>
      <c r="GH53" s="272"/>
      <c r="GI53" s="272"/>
      <c r="GJ53" s="272"/>
      <c r="GK53" s="272"/>
      <c r="GL53" s="272"/>
      <c r="GM53" s="272"/>
      <c r="GN53" s="272"/>
      <c r="GO53" s="272"/>
      <c r="GP53" s="272"/>
      <c r="GQ53" s="272"/>
      <c r="GR53" s="272"/>
      <c r="GS53" s="272"/>
      <c r="GT53" s="272"/>
      <c r="GU53" s="272"/>
      <c r="GV53" s="272"/>
      <c r="GW53" s="272"/>
      <c r="GX53" s="272"/>
      <c r="GY53" s="272"/>
      <c r="GZ53" s="272"/>
      <c r="HA53" s="272"/>
      <c r="HB53" s="272"/>
      <c r="HC53" s="272"/>
      <c r="HD53" s="272"/>
      <c r="HE53" s="272"/>
      <c r="HF53" s="272"/>
      <c r="HG53" s="272"/>
      <c r="HH53" s="272"/>
      <c r="HI53" s="272"/>
      <c r="HJ53" s="272"/>
      <c r="HK53" s="272"/>
      <c r="HL53" s="272"/>
      <c r="HM53" s="272"/>
      <c r="HN53" s="272"/>
      <c r="HO53" s="272"/>
      <c r="HP53" s="272"/>
      <c r="HQ53" s="272"/>
      <c r="HR53" s="272"/>
      <c r="HS53" s="272"/>
      <c r="HT53" s="272"/>
      <c r="HU53" s="272"/>
      <c r="HV53" s="272"/>
      <c r="HW53" s="272"/>
      <c r="HX53" s="272"/>
      <c r="HY53" s="272"/>
      <c r="HZ53" s="272"/>
      <c r="IA53" s="272"/>
      <c r="IB53" s="272"/>
      <c r="IC53" s="272"/>
      <c r="ID53" s="272"/>
      <c r="IE53" s="272"/>
      <c r="IF53" s="272"/>
      <c r="IG53" s="272"/>
      <c r="IH53" s="272"/>
      <c r="II53" s="272"/>
      <c r="IJ53" s="272"/>
      <c r="IK53" s="272"/>
      <c r="IL53" s="272"/>
      <c r="IM53" s="272"/>
      <c r="IN53" s="272"/>
      <c r="IO53" s="272"/>
      <c r="IP53" s="272"/>
      <c r="IQ53" s="272"/>
      <c r="IR53" s="272"/>
      <c r="IS53" s="272"/>
      <c r="IT53" s="272"/>
      <c r="IU53" s="272"/>
      <c r="IV53" s="272"/>
      <c r="IW53" s="272"/>
      <c r="IX53" s="272"/>
      <c r="IY53" s="272"/>
      <c r="IZ53" s="272"/>
      <c r="JA53" s="272"/>
      <c r="JB53" s="272"/>
      <c r="JC53" s="272"/>
      <c r="JD53" s="272"/>
      <c r="JE53" s="272"/>
      <c r="JF53" s="272"/>
      <c r="JG53" s="272"/>
      <c r="JH53" s="272"/>
      <c r="JI53" s="272"/>
      <c r="JJ53" s="272"/>
      <c r="JK53" s="272"/>
      <c r="JL53" s="272"/>
      <c r="JM53" s="272"/>
      <c r="JN53" s="272"/>
      <c r="JO53" s="272"/>
      <c r="JP53" s="272"/>
      <c r="JQ53" s="272"/>
      <c r="JR53" s="272"/>
      <c r="JS53" s="272"/>
      <c r="JT53" s="272"/>
      <c r="JU53" s="272"/>
      <c r="JV53" s="272"/>
      <c r="JW53" s="272"/>
      <c r="JX53" s="272"/>
      <c r="JY53" s="272"/>
      <c r="JZ53" s="272"/>
      <c r="KA53" s="272"/>
      <c r="KB53" s="272"/>
      <c r="KC53" s="272"/>
      <c r="KD53" s="272"/>
      <c r="KE53" s="272"/>
      <c r="KF53" s="272"/>
      <c r="KG53" s="272"/>
      <c r="KH53" s="272"/>
      <c r="KI53" s="272"/>
      <c r="KJ53" s="272"/>
      <c r="KK53" s="272"/>
      <c r="KL53" s="272"/>
      <c r="KM53" s="272"/>
      <c r="KN53" s="272"/>
      <c r="KO53" s="272"/>
      <c r="KP53" s="272"/>
      <c r="KQ53" s="272"/>
      <c r="KR53" s="272"/>
      <c r="KS53" s="272"/>
      <c r="KT53" s="272"/>
      <c r="KU53" s="272"/>
      <c r="KV53" s="272"/>
      <c r="KW53" s="272"/>
      <c r="KX53" s="272"/>
      <c r="KY53" s="272"/>
      <c r="KZ53" s="272"/>
      <c r="LA53" s="272"/>
      <c r="LB53" s="272"/>
      <c r="LC53" s="272"/>
      <c r="LD53" s="272"/>
      <c r="LE53" s="272"/>
      <c r="LF53" s="272"/>
      <c r="LG53" s="272"/>
      <c r="LH53" s="272"/>
      <c r="LI53" s="272"/>
      <c r="LJ53" s="272"/>
      <c r="LK53" s="272"/>
      <c r="LL53" s="272"/>
      <c r="LM53" s="272"/>
      <c r="LN53" s="272"/>
      <c r="LO53" s="272"/>
      <c r="LP53" s="272"/>
      <c r="LQ53" s="272"/>
      <c r="LR53" s="272"/>
      <c r="LS53" s="272"/>
      <c r="LT53" s="272"/>
      <c r="LU53" s="272"/>
      <c r="LV53" s="272"/>
      <c r="LW53" s="272"/>
      <c r="LX53" s="272"/>
      <c r="LY53" s="272"/>
      <c r="LZ53" s="272"/>
      <c r="MA53" s="272"/>
      <c r="MB53" s="272"/>
      <c r="MC53" s="272"/>
      <c r="MD53" s="272"/>
      <c r="ME53" s="272"/>
      <c r="MF53" s="272"/>
      <c r="MG53" s="272"/>
      <c r="MH53" s="272"/>
      <c r="MI53" s="272"/>
      <c r="MJ53" s="272"/>
      <c r="MK53" s="272"/>
      <c r="ML53" s="272"/>
      <c r="MM53" s="272"/>
      <c r="MN53" s="272"/>
      <c r="MO53" s="272"/>
      <c r="MP53" s="272"/>
      <c r="MQ53" s="272"/>
      <c r="MR53" s="272"/>
      <c r="MS53" s="272"/>
      <c r="MT53" s="272"/>
      <c r="MU53" s="272"/>
      <c r="MV53" s="272"/>
      <c r="MW53" s="272"/>
      <c r="MX53" s="272"/>
      <c r="MY53" s="272"/>
      <c r="MZ53" s="272"/>
      <c r="NA53" s="272"/>
      <c r="NB53" s="272"/>
      <c r="NC53" s="272"/>
      <c r="ND53" s="272"/>
      <c r="NE53" s="272"/>
      <c r="NF53" s="272"/>
      <c r="NG53" s="272"/>
      <c r="NH53" s="272"/>
      <c r="NI53" s="272"/>
      <c r="NJ53" s="272"/>
      <c r="NK53" s="272"/>
      <c r="NL53" s="272"/>
      <c r="NM53" s="272"/>
      <c r="NN53" s="272"/>
      <c r="NO53" s="272"/>
      <c r="NP53" s="272"/>
      <c r="NQ53" s="272"/>
      <c r="NR53" s="272"/>
      <c r="NS53" s="272"/>
      <c r="NT53" s="272"/>
      <c r="NU53" s="272"/>
      <c r="NV53" s="272"/>
      <c r="NW53" s="272"/>
      <c r="NX53" s="272"/>
      <c r="NY53" s="272"/>
      <c r="NZ53" s="272"/>
      <c r="OA53" s="272"/>
      <c r="OB53" s="272"/>
      <c r="OC53" s="272"/>
      <c r="OD53" s="272"/>
      <c r="OE53" s="272"/>
      <c r="OF53" s="272"/>
      <c r="OG53" s="272"/>
      <c r="OH53" s="272"/>
      <c r="OI53" s="272"/>
      <c r="OJ53" s="272"/>
      <c r="OK53" s="272"/>
      <c r="OL53" s="272"/>
      <c r="OM53" s="272"/>
      <c r="ON53" s="272"/>
      <c r="OO53" s="272"/>
      <c r="OP53" s="272"/>
      <c r="OQ53" s="272"/>
      <c r="OR53" s="272"/>
      <c r="OS53" s="272"/>
      <c r="OT53" s="272"/>
      <c r="OU53" s="272"/>
      <c r="OV53" s="272"/>
      <c r="OW53" s="272"/>
      <c r="OX53" s="272"/>
      <c r="OY53" s="272"/>
      <c r="OZ53" s="272"/>
      <c r="PA53" s="272"/>
      <c r="PB53" s="272"/>
      <c r="PC53" s="272"/>
      <c r="PD53" s="272"/>
      <c r="PE53" s="272"/>
      <c r="PF53" s="272"/>
      <c r="PG53" s="272"/>
      <c r="PH53" s="272"/>
      <c r="PI53" s="272"/>
      <c r="PJ53" s="272"/>
      <c r="PK53" s="272"/>
      <c r="PL53" s="272"/>
      <c r="PM53" s="272"/>
      <c r="PN53" s="272"/>
      <c r="PO53" s="272"/>
      <c r="PP53" s="272"/>
      <c r="PQ53" s="272"/>
      <c r="PR53" s="272"/>
      <c r="PS53" s="272"/>
      <c r="PT53" s="272"/>
      <c r="PU53" s="272"/>
      <c r="PV53" s="272"/>
      <c r="PW53" s="272"/>
      <c r="PX53" s="272"/>
      <c r="PY53" s="272"/>
      <c r="PZ53" s="272"/>
      <c r="QA53" s="272"/>
      <c r="QB53" s="272"/>
      <c r="QC53" s="272"/>
      <c r="QD53" s="272"/>
      <c r="QE53" s="272"/>
      <c r="QF53" s="272"/>
      <c r="QG53" s="272"/>
      <c r="QH53" s="272"/>
      <c r="QI53" s="272"/>
      <c r="QJ53" s="272"/>
      <c r="QK53" s="272"/>
      <c r="QL53" s="272"/>
      <c r="QM53" s="272"/>
      <c r="QN53" s="272"/>
      <c r="QO53" s="272"/>
      <c r="QP53" s="272"/>
      <c r="QQ53" s="272"/>
      <c r="QR53" s="272"/>
      <c r="QS53" s="272"/>
      <c r="QT53" s="272"/>
      <c r="QU53" s="272"/>
      <c r="QV53" s="272"/>
      <c r="QW53" s="272"/>
      <c r="QX53" s="272"/>
      <c r="QY53" s="272"/>
      <c r="QZ53" s="272"/>
      <c r="RA53" s="272"/>
      <c r="RB53" s="272"/>
      <c r="RC53" s="272"/>
      <c r="RD53" s="272"/>
      <c r="RE53" s="272"/>
      <c r="RF53" s="272"/>
      <c r="RG53" s="272"/>
      <c r="RH53" s="272"/>
      <c r="RI53" s="272"/>
      <c r="RJ53" s="272"/>
      <c r="RK53" s="272"/>
      <c r="RL53" s="272"/>
      <c r="RM53" s="272"/>
      <c r="RN53" s="272"/>
      <c r="RO53" s="272"/>
      <c r="RP53" s="272"/>
      <c r="RQ53" s="272"/>
      <c r="RR53" s="272"/>
      <c r="RS53" s="272"/>
      <c r="RT53" s="272"/>
      <c r="RU53" s="272"/>
      <c r="RV53" s="272"/>
      <c r="RW53" s="272"/>
      <c r="RX53" s="272"/>
      <c r="RY53" s="272"/>
      <c r="RZ53" s="272"/>
      <c r="SA53" s="272"/>
      <c r="SB53" s="272"/>
      <c r="SC53" s="272"/>
      <c r="SD53" s="272"/>
      <c r="SE53" s="272"/>
      <c r="SF53" s="272"/>
      <c r="SG53" s="272"/>
      <c r="SH53" s="272"/>
      <c r="SI53" s="272"/>
      <c r="SJ53" s="272"/>
      <c r="SK53" s="272"/>
      <c r="SL53" s="272"/>
      <c r="SM53" s="272"/>
      <c r="SN53" s="272"/>
      <c r="SO53" s="272"/>
      <c r="SP53" s="272"/>
      <c r="SQ53" s="272"/>
      <c r="SR53" s="272"/>
      <c r="SS53" s="272"/>
      <c r="ST53" s="272"/>
      <c r="SU53" s="272"/>
      <c r="SV53" s="272"/>
      <c r="SW53" s="272"/>
      <c r="SX53" s="272"/>
      <c r="SY53" s="272"/>
      <c r="SZ53" s="272"/>
      <c r="TA53" s="272"/>
      <c r="TB53" s="272"/>
      <c r="TC53" s="272"/>
      <c r="TD53" s="272"/>
      <c r="TE53" s="272"/>
      <c r="TF53" s="272"/>
      <c r="TG53" s="272"/>
      <c r="TH53" s="272"/>
      <c r="TI53" s="272"/>
      <c r="TJ53" s="272"/>
      <c r="TK53" s="272"/>
      <c r="TL53" s="272"/>
      <c r="TM53" s="272"/>
      <c r="TN53" s="272"/>
      <c r="TO53" s="272"/>
      <c r="TP53" s="272"/>
      <c r="TQ53" s="272"/>
      <c r="TR53" s="272"/>
      <c r="TS53" s="272"/>
      <c r="TT53" s="272"/>
      <c r="TU53" s="272"/>
      <c r="TV53" s="272"/>
      <c r="TW53" s="272"/>
      <c r="TX53" s="272"/>
      <c r="TY53" s="272"/>
      <c r="TZ53" s="272"/>
      <c r="UA53" s="272"/>
      <c r="UB53" s="272"/>
      <c r="UC53" s="272"/>
      <c r="UD53" s="272"/>
      <c r="UE53" s="272"/>
      <c r="UF53" s="272"/>
      <c r="UG53" s="272"/>
      <c r="UH53" s="272"/>
      <c r="UI53" s="272"/>
      <c r="UJ53" s="272"/>
      <c r="UK53" s="272"/>
      <c r="UL53" s="272"/>
      <c r="UM53" s="272"/>
      <c r="UN53" s="272"/>
      <c r="UO53" s="272"/>
      <c r="UP53" s="272"/>
      <c r="UQ53" s="272"/>
      <c r="UR53" s="272"/>
      <c r="US53" s="272"/>
      <c r="UT53" s="272"/>
      <c r="UU53" s="272"/>
      <c r="UV53" s="272"/>
      <c r="UW53" s="272"/>
      <c r="UX53" s="272"/>
      <c r="UY53" s="272"/>
      <c r="UZ53" s="272"/>
      <c r="VA53" s="272"/>
      <c r="VB53" s="272"/>
      <c r="VC53" s="272"/>
      <c r="VD53" s="272"/>
      <c r="VE53" s="272"/>
      <c r="VF53" s="272"/>
      <c r="VG53" s="272"/>
      <c r="VH53" s="272"/>
      <c r="VI53" s="272"/>
      <c r="VJ53" s="272"/>
      <c r="VK53" s="272"/>
      <c r="VL53" s="272"/>
      <c r="VM53" s="272"/>
      <c r="VN53" s="272"/>
      <c r="VO53" s="272"/>
      <c r="VP53" s="272"/>
      <c r="VQ53" s="272"/>
      <c r="VR53" s="272"/>
      <c r="VS53" s="272"/>
      <c r="VT53" s="272"/>
      <c r="VU53" s="272"/>
      <c r="VV53" s="272"/>
      <c r="VW53" s="272"/>
      <c r="VX53" s="272"/>
      <c r="VY53" s="272"/>
      <c r="VZ53" s="272"/>
      <c r="WA53" s="272"/>
      <c r="WB53" s="272"/>
      <c r="WC53" s="272"/>
      <c r="WD53" s="272"/>
      <c r="WE53" s="272"/>
      <c r="WF53" s="272"/>
      <c r="WG53" s="272"/>
      <c r="WH53" s="272"/>
      <c r="WI53" s="272"/>
      <c r="WJ53" s="272"/>
      <c r="WK53" s="272"/>
      <c r="WL53" s="272"/>
      <c r="WM53" s="272"/>
      <c r="WN53" s="272"/>
      <c r="WO53" s="272"/>
      <c r="WP53" s="272"/>
      <c r="WQ53" s="272"/>
      <c r="WR53" s="272"/>
      <c r="WS53" s="272"/>
      <c r="WT53" s="272"/>
      <c r="WU53" s="272"/>
      <c r="WV53" s="272"/>
      <c r="WW53" s="272"/>
      <c r="WX53" s="272"/>
      <c r="WY53" s="272"/>
      <c r="WZ53" s="272"/>
      <c r="XA53" s="272"/>
      <c r="XB53" s="272"/>
      <c r="XC53" s="272"/>
      <c r="XD53" s="272"/>
      <c r="XE53" s="272"/>
      <c r="XF53" s="272"/>
      <c r="XG53" s="272"/>
      <c r="XH53" s="272"/>
      <c r="XI53" s="272"/>
      <c r="XJ53" s="272"/>
      <c r="XK53" s="272"/>
      <c r="XL53" s="272"/>
      <c r="XM53" s="272"/>
      <c r="XN53" s="272"/>
      <c r="XO53" s="272"/>
      <c r="XP53" s="272"/>
      <c r="XQ53" s="272"/>
      <c r="XR53" s="272"/>
      <c r="XS53" s="272"/>
      <c r="XT53" s="272"/>
      <c r="XU53" s="272"/>
      <c r="XV53" s="272"/>
      <c r="XW53" s="272"/>
      <c r="XX53" s="272"/>
      <c r="XY53" s="272"/>
      <c r="XZ53" s="272"/>
      <c r="YA53" s="272"/>
      <c r="YB53" s="272"/>
      <c r="YC53" s="272"/>
      <c r="YD53" s="272"/>
      <c r="YE53" s="272"/>
      <c r="YF53" s="272"/>
      <c r="YG53" s="272"/>
      <c r="YH53" s="272"/>
      <c r="YI53" s="272"/>
      <c r="YJ53" s="272"/>
      <c r="YK53" s="272"/>
      <c r="YL53" s="272"/>
      <c r="YM53" s="272"/>
      <c r="YN53" s="272"/>
      <c r="YO53" s="272"/>
      <c r="YP53" s="272"/>
      <c r="YQ53" s="272"/>
      <c r="YR53" s="272"/>
      <c r="YS53" s="272"/>
      <c r="YT53" s="272"/>
      <c r="YU53" s="272"/>
      <c r="YV53" s="272"/>
      <c r="YW53" s="272"/>
      <c r="YX53" s="272"/>
      <c r="YY53" s="272"/>
      <c r="YZ53" s="272"/>
      <c r="ZA53" s="272"/>
      <c r="ZB53" s="272"/>
      <c r="ZC53" s="272"/>
      <c r="ZD53" s="272"/>
      <c r="ZE53" s="272"/>
      <c r="ZF53" s="272"/>
      <c r="ZG53" s="272"/>
      <c r="ZH53" s="272"/>
      <c r="ZI53" s="272"/>
      <c r="ZJ53" s="272"/>
      <c r="ZK53" s="272"/>
      <c r="ZL53" s="272"/>
      <c r="ZM53" s="272"/>
      <c r="ZN53" s="272"/>
      <c r="ZO53" s="272"/>
      <c r="ZP53" s="272"/>
      <c r="ZQ53" s="272"/>
      <c r="ZR53" s="272"/>
      <c r="ZS53" s="272"/>
      <c r="ZT53" s="272"/>
      <c r="ZU53" s="272"/>
      <c r="ZV53" s="272"/>
      <c r="ZW53" s="272"/>
      <c r="ZX53" s="272"/>
      <c r="ZY53" s="272"/>
      <c r="ZZ53" s="272"/>
      <c r="AAA53" s="272"/>
      <c r="AAB53" s="272"/>
      <c r="AAC53" s="272"/>
      <c r="AAD53" s="272"/>
      <c r="AAE53" s="272"/>
      <c r="AAF53" s="272"/>
      <c r="AAG53" s="272"/>
      <c r="AAH53" s="272"/>
      <c r="AAI53" s="272"/>
      <c r="AAJ53" s="272"/>
      <c r="AAK53" s="272"/>
      <c r="AAL53" s="272"/>
      <c r="AAM53" s="272"/>
      <c r="AAN53" s="272"/>
      <c r="AAO53" s="272"/>
      <c r="AAP53" s="272"/>
      <c r="AAQ53" s="272"/>
      <c r="AAR53" s="272"/>
      <c r="AAS53" s="272"/>
      <c r="AAT53" s="272"/>
      <c r="AAU53" s="272"/>
      <c r="AAV53" s="272"/>
      <c r="AAW53" s="272"/>
      <c r="AAX53" s="272"/>
      <c r="AAY53" s="272"/>
      <c r="AAZ53" s="272"/>
      <c r="ABA53" s="272"/>
      <c r="ABB53" s="272"/>
      <c r="ABC53" s="272"/>
      <c r="ABD53" s="272"/>
      <c r="ABE53" s="272"/>
      <c r="ABF53" s="272"/>
      <c r="ABG53" s="272"/>
    </row>
    <row r="54" spans="1:735" s="62" customFormat="1" ht="13.5" thickBot="1">
      <c r="A54" s="77"/>
      <c r="B54" s="73"/>
      <c r="C54" s="28" t="s">
        <v>54</v>
      </c>
      <c r="D54" s="513"/>
      <c r="E54" s="514"/>
      <c r="F54" s="515"/>
      <c r="G54" s="516"/>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72"/>
      <c r="DV54" s="272"/>
      <c r="DW54" s="272"/>
      <c r="DX54" s="272"/>
      <c r="DY54" s="272"/>
      <c r="DZ54" s="272"/>
      <c r="EA54" s="272"/>
      <c r="EB54" s="272"/>
      <c r="EC54" s="272"/>
      <c r="ED54" s="272"/>
      <c r="EE54" s="272"/>
      <c r="EF54" s="272"/>
      <c r="EG54" s="272"/>
      <c r="EH54" s="272"/>
      <c r="EI54" s="272"/>
      <c r="EJ54" s="272"/>
      <c r="EK54" s="272"/>
      <c r="EL54" s="272"/>
      <c r="EM54" s="272"/>
      <c r="EN54" s="272"/>
      <c r="EO54" s="272"/>
      <c r="EP54" s="272"/>
      <c r="EQ54" s="272"/>
      <c r="ER54" s="272"/>
      <c r="ES54" s="272"/>
      <c r="ET54" s="272"/>
      <c r="EU54" s="272"/>
      <c r="EV54" s="272"/>
      <c r="EW54" s="272"/>
      <c r="EX54" s="272"/>
      <c r="EY54" s="272"/>
      <c r="EZ54" s="272"/>
      <c r="FA54" s="272"/>
      <c r="FB54" s="272"/>
      <c r="FC54" s="272"/>
      <c r="FD54" s="272"/>
      <c r="FE54" s="272"/>
      <c r="FF54" s="272"/>
      <c r="FG54" s="272"/>
      <c r="FH54" s="272"/>
      <c r="FI54" s="272"/>
      <c r="FJ54" s="272"/>
      <c r="FK54" s="272"/>
      <c r="FL54" s="272"/>
      <c r="FM54" s="272"/>
      <c r="FN54" s="272"/>
      <c r="FO54" s="272"/>
      <c r="FP54" s="272"/>
      <c r="FQ54" s="272"/>
      <c r="FR54" s="272"/>
      <c r="FS54" s="272"/>
      <c r="FT54" s="272"/>
      <c r="FU54" s="272"/>
      <c r="FV54" s="272"/>
      <c r="FW54" s="272"/>
      <c r="FX54" s="272"/>
      <c r="FY54" s="272"/>
      <c r="FZ54" s="272"/>
      <c r="GA54" s="272"/>
      <c r="GB54" s="272"/>
      <c r="GC54" s="272"/>
      <c r="GD54" s="272"/>
      <c r="GE54" s="272"/>
      <c r="GF54" s="272"/>
      <c r="GG54" s="272"/>
      <c r="GH54" s="272"/>
      <c r="GI54" s="272"/>
      <c r="GJ54" s="272"/>
      <c r="GK54" s="272"/>
      <c r="GL54" s="272"/>
      <c r="GM54" s="272"/>
      <c r="GN54" s="272"/>
      <c r="GO54" s="272"/>
      <c r="GP54" s="272"/>
      <c r="GQ54" s="272"/>
      <c r="GR54" s="272"/>
      <c r="GS54" s="272"/>
      <c r="GT54" s="272"/>
      <c r="GU54" s="272"/>
      <c r="GV54" s="272"/>
      <c r="GW54" s="272"/>
      <c r="GX54" s="272"/>
      <c r="GY54" s="272"/>
      <c r="GZ54" s="272"/>
      <c r="HA54" s="272"/>
      <c r="HB54" s="272"/>
      <c r="HC54" s="272"/>
      <c r="HD54" s="272"/>
      <c r="HE54" s="272"/>
      <c r="HF54" s="272"/>
      <c r="HG54" s="272"/>
      <c r="HH54" s="272"/>
      <c r="HI54" s="272"/>
      <c r="HJ54" s="272"/>
      <c r="HK54" s="272"/>
      <c r="HL54" s="272"/>
      <c r="HM54" s="272"/>
      <c r="HN54" s="272"/>
      <c r="HO54" s="272"/>
      <c r="HP54" s="272"/>
      <c r="HQ54" s="272"/>
      <c r="HR54" s="272"/>
      <c r="HS54" s="272"/>
      <c r="HT54" s="272"/>
      <c r="HU54" s="272"/>
      <c r="HV54" s="272"/>
      <c r="HW54" s="272"/>
      <c r="HX54" s="272"/>
      <c r="HY54" s="272"/>
      <c r="HZ54" s="272"/>
      <c r="IA54" s="272"/>
      <c r="IB54" s="272"/>
      <c r="IC54" s="272"/>
      <c r="ID54" s="272"/>
      <c r="IE54" s="272"/>
      <c r="IF54" s="272"/>
      <c r="IG54" s="272"/>
      <c r="IH54" s="272"/>
      <c r="II54" s="272"/>
      <c r="IJ54" s="272"/>
      <c r="IK54" s="272"/>
      <c r="IL54" s="272"/>
      <c r="IM54" s="272"/>
      <c r="IN54" s="272"/>
      <c r="IO54" s="272"/>
      <c r="IP54" s="272"/>
      <c r="IQ54" s="272"/>
      <c r="IR54" s="272"/>
      <c r="IS54" s="272"/>
      <c r="IT54" s="272"/>
      <c r="IU54" s="272"/>
      <c r="IV54" s="272"/>
      <c r="IW54" s="272"/>
      <c r="IX54" s="272"/>
      <c r="IY54" s="272"/>
      <c r="IZ54" s="272"/>
      <c r="JA54" s="272"/>
      <c r="JB54" s="272"/>
      <c r="JC54" s="272"/>
      <c r="JD54" s="272"/>
      <c r="JE54" s="272"/>
      <c r="JF54" s="272"/>
      <c r="JG54" s="272"/>
      <c r="JH54" s="272"/>
      <c r="JI54" s="272"/>
      <c r="JJ54" s="272"/>
      <c r="JK54" s="272"/>
      <c r="JL54" s="272"/>
      <c r="JM54" s="272"/>
      <c r="JN54" s="272"/>
      <c r="JO54" s="272"/>
      <c r="JP54" s="272"/>
      <c r="JQ54" s="272"/>
      <c r="JR54" s="272"/>
      <c r="JS54" s="272"/>
      <c r="JT54" s="272"/>
      <c r="JU54" s="272"/>
      <c r="JV54" s="272"/>
      <c r="JW54" s="272"/>
      <c r="JX54" s="272"/>
      <c r="JY54" s="272"/>
      <c r="JZ54" s="272"/>
      <c r="KA54" s="272"/>
      <c r="KB54" s="272"/>
      <c r="KC54" s="272"/>
      <c r="KD54" s="272"/>
      <c r="KE54" s="272"/>
      <c r="KF54" s="272"/>
      <c r="KG54" s="272"/>
      <c r="KH54" s="272"/>
      <c r="KI54" s="272"/>
      <c r="KJ54" s="272"/>
      <c r="KK54" s="272"/>
      <c r="KL54" s="272"/>
      <c r="KM54" s="272"/>
      <c r="KN54" s="272"/>
      <c r="KO54" s="272"/>
      <c r="KP54" s="272"/>
      <c r="KQ54" s="272"/>
      <c r="KR54" s="272"/>
      <c r="KS54" s="272"/>
      <c r="KT54" s="272"/>
      <c r="KU54" s="272"/>
      <c r="KV54" s="272"/>
      <c r="KW54" s="272"/>
      <c r="KX54" s="272"/>
      <c r="KY54" s="272"/>
      <c r="KZ54" s="272"/>
      <c r="LA54" s="272"/>
      <c r="LB54" s="272"/>
      <c r="LC54" s="272"/>
      <c r="LD54" s="272"/>
      <c r="LE54" s="272"/>
      <c r="LF54" s="272"/>
      <c r="LG54" s="272"/>
      <c r="LH54" s="272"/>
      <c r="LI54" s="272"/>
      <c r="LJ54" s="272"/>
      <c r="LK54" s="272"/>
      <c r="LL54" s="272"/>
      <c r="LM54" s="272"/>
      <c r="LN54" s="272"/>
      <c r="LO54" s="272"/>
      <c r="LP54" s="272"/>
      <c r="LQ54" s="272"/>
      <c r="LR54" s="272"/>
      <c r="LS54" s="272"/>
      <c r="LT54" s="272"/>
      <c r="LU54" s="272"/>
      <c r="LV54" s="272"/>
      <c r="LW54" s="272"/>
      <c r="LX54" s="272"/>
      <c r="LY54" s="272"/>
      <c r="LZ54" s="272"/>
      <c r="MA54" s="272"/>
      <c r="MB54" s="272"/>
      <c r="MC54" s="272"/>
      <c r="MD54" s="272"/>
      <c r="ME54" s="272"/>
      <c r="MF54" s="272"/>
      <c r="MG54" s="272"/>
      <c r="MH54" s="272"/>
      <c r="MI54" s="272"/>
      <c r="MJ54" s="272"/>
      <c r="MK54" s="272"/>
      <c r="ML54" s="272"/>
      <c r="MM54" s="272"/>
      <c r="MN54" s="272"/>
      <c r="MO54" s="272"/>
      <c r="MP54" s="272"/>
      <c r="MQ54" s="272"/>
      <c r="MR54" s="272"/>
      <c r="MS54" s="272"/>
      <c r="MT54" s="272"/>
      <c r="MU54" s="272"/>
      <c r="MV54" s="272"/>
      <c r="MW54" s="272"/>
      <c r="MX54" s="272"/>
      <c r="MY54" s="272"/>
      <c r="MZ54" s="272"/>
      <c r="NA54" s="272"/>
      <c r="NB54" s="272"/>
      <c r="NC54" s="272"/>
      <c r="ND54" s="272"/>
      <c r="NE54" s="272"/>
      <c r="NF54" s="272"/>
      <c r="NG54" s="272"/>
      <c r="NH54" s="272"/>
      <c r="NI54" s="272"/>
      <c r="NJ54" s="272"/>
      <c r="NK54" s="272"/>
      <c r="NL54" s="272"/>
      <c r="NM54" s="272"/>
      <c r="NN54" s="272"/>
      <c r="NO54" s="272"/>
      <c r="NP54" s="272"/>
      <c r="NQ54" s="272"/>
      <c r="NR54" s="272"/>
      <c r="NS54" s="272"/>
      <c r="NT54" s="272"/>
      <c r="NU54" s="272"/>
      <c r="NV54" s="272"/>
      <c r="NW54" s="272"/>
      <c r="NX54" s="272"/>
      <c r="NY54" s="272"/>
      <c r="NZ54" s="272"/>
      <c r="OA54" s="272"/>
      <c r="OB54" s="272"/>
      <c r="OC54" s="272"/>
      <c r="OD54" s="272"/>
      <c r="OE54" s="272"/>
      <c r="OF54" s="272"/>
      <c r="OG54" s="272"/>
      <c r="OH54" s="272"/>
      <c r="OI54" s="272"/>
      <c r="OJ54" s="272"/>
      <c r="OK54" s="272"/>
      <c r="OL54" s="272"/>
      <c r="OM54" s="272"/>
      <c r="ON54" s="272"/>
      <c r="OO54" s="272"/>
      <c r="OP54" s="272"/>
      <c r="OQ54" s="272"/>
      <c r="OR54" s="272"/>
      <c r="OS54" s="272"/>
      <c r="OT54" s="272"/>
      <c r="OU54" s="272"/>
      <c r="OV54" s="272"/>
      <c r="OW54" s="272"/>
      <c r="OX54" s="272"/>
      <c r="OY54" s="272"/>
      <c r="OZ54" s="272"/>
      <c r="PA54" s="272"/>
      <c r="PB54" s="272"/>
      <c r="PC54" s="272"/>
      <c r="PD54" s="272"/>
      <c r="PE54" s="272"/>
      <c r="PF54" s="272"/>
      <c r="PG54" s="272"/>
      <c r="PH54" s="272"/>
      <c r="PI54" s="272"/>
      <c r="PJ54" s="272"/>
      <c r="PK54" s="272"/>
      <c r="PL54" s="272"/>
      <c r="PM54" s="272"/>
      <c r="PN54" s="272"/>
      <c r="PO54" s="272"/>
      <c r="PP54" s="272"/>
      <c r="PQ54" s="272"/>
      <c r="PR54" s="272"/>
      <c r="PS54" s="272"/>
      <c r="PT54" s="272"/>
      <c r="PU54" s="272"/>
      <c r="PV54" s="272"/>
      <c r="PW54" s="272"/>
      <c r="PX54" s="272"/>
      <c r="PY54" s="272"/>
      <c r="PZ54" s="272"/>
      <c r="QA54" s="272"/>
      <c r="QB54" s="272"/>
      <c r="QC54" s="272"/>
      <c r="QD54" s="272"/>
      <c r="QE54" s="272"/>
      <c r="QF54" s="272"/>
      <c r="QG54" s="272"/>
      <c r="QH54" s="272"/>
      <c r="QI54" s="272"/>
      <c r="QJ54" s="272"/>
      <c r="QK54" s="272"/>
      <c r="QL54" s="272"/>
      <c r="QM54" s="272"/>
      <c r="QN54" s="272"/>
      <c r="QO54" s="272"/>
      <c r="QP54" s="272"/>
      <c r="QQ54" s="272"/>
      <c r="QR54" s="272"/>
      <c r="QS54" s="272"/>
      <c r="QT54" s="272"/>
      <c r="QU54" s="272"/>
      <c r="QV54" s="272"/>
      <c r="QW54" s="272"/>
      <c r="QX54" s="272"/>
      <c r="QY54" s="272"/>
      <c r="QZ54" s="272"/>
      <c r="RA54" s="272"/>
      <c r="RB54" s="272"/>
      <c r="RC54" s="272"/>
      <c r="RD54" s="272"/>
      <c r="RE54" s="272"/>
      <c r="RF54" s="272"/>
      <c r="RG54" s="272"/>
      <c r="RH54" s="272"/>
      <c r="RI54" s="272"/>
      <c r="RJ54" s="272"/>
      <c r="RK54" s="272"/>
      <c r="RL54" s="272"/>
      <c r="RM54" s="272"/>
      <c r="RN54" s="272"/>
      <c r="RO54" s="272"/>
      <c r="RP54" s="272"/>
      <c r="RQ54" s="272"/>
      <c r="RR54" s="272"/>
      <c r="RS54" s="272"/>
      <c r="RT54" s="272"/>
      <c r="RU54" s="272"/>
      <c r="RV54" s="272"/>
      <c r="RW54" s="272"/>
      <c r="RX54" s="272"/>
      <c r="RY54" s="272"/>
      <c r="RZ54" s="272"/>
      <c r="SA54" s="272"/>
      <c r="SB54" s="272"/>
      <c r="SC54" s="272"/>
      <c r="SD54" s="272"/>
      <c r="SE54" s="272"/>
      <c r="SF54" s="272"/>
      <c r="SG54" s="272"/>
      <c r="SH54" s="272"/>
      <c r="SI54" s="272"/>
      <c r="SJ54" s="272"/>
      <c r="SK54" s="272"/>
      <c r="SL54" s="272"/>
      <c r="SM54" s="272"/>
      <c r="SN54" s="272"/>
      <c r="SO54" s="272"/>
      <c r="SP54" s="272"/>
      <c r="SQ54" s="272"/>
      <c r="SR54" s="272"/>
      <c r="SS54" s="272"/>
      <c r="ST54" s="272"/>
      <c r="SU54" s="272"/>
      <c r="SV54" s="272"/>
      <c r="SW54" s="272"/>
      <c r="SX54" s="272"/>
      <c r="SY54" s="272"/>
      <c r="SZ54" s="272"/>
      <c r="TA54" s="272"/>
      <c r="TB54" s="272"/>
      <c r="TC54" s="272"/>
      <c r="TD54" s="272"/>
      <c r="TE54" s="272"/>
      <c r="TF54" s="272"/>
      <c r="TG54" s="272"/>
      <c r="TH54" s="272"/>
      <c r="TI54" s="272"/>
      <c r="TJ54" s="272"/>
      <c r="TK54" s="272"/>
      <c r="TL54" s="272"/>
      <c r="TM54" s="272"/>
      <c r="TN54" s="272"/>
      <c r="TO54" s="272"/>
      <c r="TP54" s="272"/>
      <c r="TQ54" s="272"/>
      <c r="TR54" s="272"/>
      <c r="TS54" s="272"/>
      <c r="TT54" s="272"/>
      <c r="TU54" s="272"/>
      <c r="TV54" s="272"/>
      <c r="TW54" s="272"/>
      <c r="TX54" s="272"/>
      <c r="TY54" s="272"/>
      <c r="TZ54" s="272"/>
      <c r="UA54" s="272"/>
      <c r="UB54" s="272"/>
      <c r="UC54" s="272"/>
      <c r="UD54" s="272"/>
      <c r="UE54" s="272"/>
      <c r="UF54" s="272"/>
      <c r="UG54" s="272"/>
      <c r="UH54" s="272"/>
      <c r="UI54" s="272"/>
      <c r="UJ54" s="272"/>
      <c r="UK54" s="272"/>
      <c r="UL54" s="272"/>
      <c r="UM54" s="272"/>
      <c r="UN54" s="272"/>
      <c r="UO54" s="272"/>
      <c r="UP54" s="272"/>
      <c r="UQ54" s="272"/>
      <c r="UR54" s="272"/>
      <c r="US54" s="272"/>
      <c r="UT54" s="272"/>
      <c r="UU54" s="272"/>
      <c r="UV54" s="272"/>
      <c r="UW54" s="272"/>
      <c r="UX54" s="272"/>
      <c r="UY54" s="272"/>
      <c r="UZ54" s="272"/>
      <c r="VA54" s="272"/>
      <c r="VB54" s="272"/>
      <c r="VC54" s="272"/>
      <c r="VD54" s="272"/>
      <c r="VE54" s="272"/>
      <c r="VF54" s="272"/>
      <c r="VG54" s="272"/>
      <c r="VH54" s="272"/>
      <c r="VI54" s="272"/>
      <c r="VJ54" s="272"/>
      <c r="VK54" s="272"/>
      <c r="VL54" s="272"/>
      <c r="VM54" s="272"/>
      <c r="VN54" s="272"/>
      <c r="VO54" s="272"/>
      <c r="VP54" s="272"/>
      <c r="VQ54" s="272"/>
      <c r="VR54" s="272"/>
      <c r="VS54" s="272"/>
      <c r="VT54" s="272"/>
      <c r="VU54" s="272"/>
      <c r="VV54" s="272"/>
      <c r="VW54" s="272"/>
      <c r="VX54" s="272"/>
      <c r="VY54" s="272"/>
      <c r="VZ54" s="272"/>
      <c r="WA54" s="272"/>
      <c r="WB54" s="272"/>
      <c r="WC54" s="272"/>
      <c r="WD54" s="272"/>
      <c r="WE54" s="272"/>
      <c r="WF54" s="272"/>
      <c r="WG54" s="272"/>
      <c r="WH54" s="272"/>
      <c r="WI54" s="272"/>
      <c r="WJ54" s="272"/>
      <c r="WK54" s="272"/>
      <c r="WL54" s="272"/>
      <c r="WM54" s="272"/>
      <c r="WN54" s="272"/>
      <c r="WO54" s="272"/>
      <c r="WP54" s="272"/>
      <c r="WQ54" s="272"/>
      <c r="WR54" s="272"/>
      <c r="WS54" s="272"/>
      <c r="WT54" s="272"/>
      <c r="WU54" s="272"/>
      <c r="WV54" s="272"/>
      <c r="WW54" s="272"/>
      <c r="WX54" s="272"/>
      <c r="WY54" s="272"/>
      <c r="WZ54" s="272"/>
      <c r="XA54" s="272"/>
      <c r="XB54" s="272"/>
      <c r="XC54" s="272"/>
      <c r="XD54" s="272"/>
      <c r="XE54" s="272"/>
      <c r="XF54" s="272"/>
      <c r="XG54" s="272"/>
      <c r="XH54" s="272"/>
      <c r="XI54" s="272"/>
      <c r="XJ54" s="272"/>
      <c r="XK54" s="272"/>
      <c r="XL54" s="272"/>
      <c r="XM54" s="272"/>
      <c r="XN54" s="272"/>
      <c r="XO54" s="272"/>
      <c r="XP54" s="272"/>
      <c r="XQ54" s="272"/>
      <c r="XR54" s="272"/>
      <c r="XS54" s="272"/>
      <c r="XT54" s="272"/>
      <c r="XU54" s="272"/>
      <c r="XV54" s="272"/>
      <c r="XW54" s="272"/>
      <c r="XX54" s="272"/>
      <c r="XY54" s="272"/>
      <c r="XZ54" s="272"/>
      <c r="YA54" s="272"/>
      <c r="YB54" s="272"/>
      <c r="YC54" s="272"/>
      <c r="YD54" s="272"/>
      <c r="YE54" s="272"/>
      <c r="YF54" s="272"/>
      <c r="YG54" s="272"/>
      <c r="YH54" s="272"/>
      <c r="YI54" s="272"/>
      <c r="YJ54" s="272"/>
      <c r="YK54" s="272"/>
      <c r="YL54" s="272"/>
      <c r="YM54" s="272"/>
      <c r="YN54" s="272"/>
      <c r="YO54" s="272"/>
      <c r="YP54" s="272"/>
      <c r="YQ54" s="272"/>
      <c r="YR54" s="272"/>
      <c r="YS54" s="272"/>
      <c r="YT54" s="272"/>
      <c r="YU54" s="272"/>
      <c r="YV54" s="272"/>
      <c r="YW54" s="272"/>
      <c r="YX54" s="272"/>
      <c r="YY54" s="272"/>
      <c r="YZ54" s="272"/>
      <c r="ZA54" s="272"/>
      <c r="ZB54" s="272"/>
      <c r="ZC54" s="272"/>
      <c r="ZD54" s="272"/>
      <c r="ZE54" s="272"/>
      <c r="ZF54" s="272"/>
      <c r="ZG54" s="272"/>
      <c r="ZH54" s="272"/>
      <c r="ZI54" s="272"/>
      <c r="ZJ54" s="272"/>
      <c r="ZK54" s="272"/>
      <c r="ZL54" s="272"/>
      <c r="ZM54" s="272"/>
      <c r="ZN54" s="272"/>
      <c r="ZO54" s="272"/>
      <c r="ZP54" s="272"/>
      <c r="ZQ54" s="272"/>
      <c r="ZR54" s="272"/>
      <c r="ZS54" s="272"/>
      <c r="ZT54" s="272"/>
      <c r="ZU54" s="272"/>
      <c r="ZV54" s="272"/>
      <c r="ZW54" s="272"/>
      <c r="ZX54" s="272"/>
      <c r="ZY54" s="272"/>
      <c r="ZZ54" s="272"/>
      <c r="AAA54" s="272"/>
      <c r="AAB54" s="272"/>
      <c r="AAC54" s="272"/>
      <c r="AAD54" s="272"/>
      <c r="AAE54" s="272"/>
      <c r="AAF54" s="272"/>
      <c r="AAG54" s="272"/>
      <c r="AAH54" s="272"/>
      <c r="AAI54" s="272"/>
      <c r="AAJ54" s="272"/>
      <c r="AAK54" s="272"/>
      <c r="AAL54" s="272"/>
      <c r="AAM54" s="272"/>
      <c r="AAN54" s="272"/>
      <c r="AAO54" s="272"/>
      <c r="AAP54" s="272"/>
      <c r="AAQ54" s="272"/>
      <c r="AAR54" s="272"/>
      <c r="AAS54" s="272"/>
      <c r="AAT54" s="272"/>
      <c r="AAU54" s="272"/>
      <c r="AAV54" s="272"/>
      <c r="AAW54" s="272"/>
      <c r="AAX54" s="272"/>
      <c r="AAY54" s="272"/>
      <c r="AAZ54" s="272"/>
      <c r="ABA54" s="272"/>
      <c r="ABB54" s="272"/>
      <c r="ABC54" s="272"/>
      <c r="ABD54" s="272"/>
      <c r="ABE54" s="272"/>
      <c r="ABF54" s="272"/>
      <c r="ABG54" s="272"/>
    </row>
    <row r="55" spans="1:735" s="61" customFormat="1" ht="38.25">
      <c r="A55" s="67" t="s">
        <v>6</v>
      </c>
      <c r="B55" s="68" t="s">
        <v>28</v>
      </c>
      <c r="C55" s="30" t="s">
        <v>52</v>
      </c>
      <c r="D55" s="501"/>
      <c r="E55" s="502"/>
      <c r="F55" s="503"/>
      <c r="G55" s="504"/>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2"/>
      <c r="EB55" s="272"/>
      <c r="EC55" s="272"/>
      <c r="ED55" s="272"/>
      <c r="EE55" s="272"/>
      <c r="EF55" s="272"/>
      <c r="EG55" s="272"/>
      <c r="EH55" s="272"/>
      <c r="EI55" s="272"/>
      <c r="EJ55" s="272"/>
      <c r="EK55" s="272"/>
      <c r="EL55" s="272"/>
      <c r="EM55" s="272"/>
      <c r="EN55" s="272"/>
      <c r="EO55" s="272"/>
      <c r="EP55" s="272"/>
      <c r="EQ55" s="272"/>
      <c r="ER55" s="272"/>
      <c r="ES55" s="272"/>
      <c r="ET55" s="272"/>
      <c r="EU55" s="272"/>
      <c r="EV55" s="272"/>
      <c r="EW55" s="272"/>
      <c r="EX55" s="272"/>
      <c r="EY55" s="272"/>
      <c r="EZ55" s="272"/>
      <c r="FA55" s="272"/>
      <c r="FB55" s="272"/>
      <c r="FC55" s="272"/>
      <c r="FD55" s="272"/>
      <c r="FE55" s="272"/>
      <c r="FF55" s="272"/>
      <c r="FG55" s="272"/>
      <c r="FH55" s="272"/>
      <c r="FI55" s="272"/>
      <c r="FJ55" s="272"/>
      <c r="FK55" s="272"/>
      <c r="FL55" s="272"/>
      <c r="FM55" s="272"/>
      <c r="FN55" s="272"/>
      <c r="FO55" s="272"/>
      <c r="FP55" s="272"/>
      <c r="FQ55" s="272"/>
      <c r="FR55" s="272"/>
      <c r="FS55" s="272"/>
      <c r="FT55" s="272"/>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c r="HE55" s="272"/>
      <c r="HF55" s="272"/>
      <c r="HG55" s="272"/>
      <c r="HH55" s="272"/>
      <c r="HI55" s="272"/>
      <c r="HJ55" s="272"/>
      <c r="HK55" s="272"/>
      <c r="HL55" s="272"/>
      <c r="HM55" s="272"/>
      <c r="HN55" s="272"/>
      <c r="HO55" s="272"/>
      <c r="HP55" s="272"/>
      <c r="HQ55" s="272"/>
      <c r="HR55" s="272"/>
      <c r="HS55" s="272"/>
      <c r="HT55" s="272"/>
      <c r="HU55" s="272"/>
      <c r="HV55" s="272"/>
      <c r="HW55" s="272"/>
      <c r="HX55" s="272"/>
      <c r="HY55" s="272"/>
      <c r="HZ55" s="272"/>
      <c r="IA55" s="272"/>
      <c r="IB55" s="272"/>
      <c r="IC55" s="272"/>
      <c r="ID55" s="272"/>
      <c r="IE55" s="272"/>
      <c r="IF55" s="272"/>
      <c r="IG55" s="272"/>
      <c r="IH55" s="272"/>
      <c r="II55" s="272"/>
      <c r="IJ55" s="272"/>
      <c r="IK55" s="272"/>
      <c r="IL55" s="272"/>
      <c r="IM55" s="272"/>
      <c r="IN55" s="272"/>
      <c r="IO55" s="272"/>
      <c r="IP55" s="272"/>
      <c r="IQ55" s="272"/>
      <c r="IR55" s="272"/>
      <c r="IS55" s="272"/>
      <c r="IT55" s="272"/>
      <c r="IU55" s="272"/>
      <c r="IV55" s="272"/>
      <c r="IW55" s="272"/>
      <c r="IX55" s="272"/>
      <c r="IY55" s="272"/>
      <c r="IZ55" s="272"/>
      <c r="JA55" s="272"/>
      <c r="JB55" s="272"/>
      <c r="JC55" s="272"/>
      <c r="JD55" s="272"/>
      <c r="JE55" s="272"/>
      <c r="JF55" s="272"/>
      <c r="JG55" s="272"/>
      <c r="JH55" s="272"/>
      <c r="JI55" s="272"/>
      <c r="JJ55" s="272"/>
      <c r="JK55" s="272"/>
      <c r="JL55" s="272"/>
      <c r="JM55" s="272"/>
      <c r="JN55" s="272"/>
      <c r="JO55" s="272"/>
      <c r="JP55" s="272"/>
      <c r="JQ55" s="272"/>
      <c r="JR55" s="272"/>
      <c r="JS55" s="272"/>
      <c r="JT55" s="272"/>
      <c r="JU55" s="272"/>
      <c r="JV55" s="272"/>
      <c r="JW55" s="272"/>
      <c r="JX55" s="272"/>
      <c r="JY55" s="272"/>
      <c r="JZ55" s="272"/>
      <c r="KA55" s="272"/>
      <c r="KB55" s="272"/>
      <c r="KC55" s="272"/>
      <c r="KD55" s="272"/>
      <c r="KE55" s="272"/>
      <c r="KF55" s="272"/>
      <c r="KG55" s="272"/>
      <c r="KH55" s="272"/>
      <c r="KI55" s="272"/>
      <c r="KJ55" s="272"/>
      <c r="KK55" s="272"/>
      <c r="KL55" s="272"/>
      <c r="KM55" s="272"/>
      <c r="KN55" s="272"/>
      <c r="KO55" s="272"/>
      <c r="KP55" s="272"/>
      <c r="KQ55" s="272"/>
      <c r="KR55" s="272"/>
      <c r="KS55" s="272"/>
      <c r="KT55" s="272"/>
      <c r="KU55" s="272"/>
      <c r="KV55" s="272"/>
      <c r="KW55" s="272"/>
      <c r="KX55" s="272"/>
      <c r="KY55" s="272"/>
      <c r="KZ55" s="272"/>
      <c r="LA55" s="272"/>
      <c r="LB55" s="272"/>
      <c r="LC55" s="272"/>
      <c r="LD55" s="272"/>
      <c r="LE55" s="272"/>
      <c r="LF55" s="272"/>
      <c r="LG55" s="272"/>
      <c r="LH55" s="272"/>
      <c r="LI55" s="272"/>
      <c r="LJ55" s="272"/>
      <c r="LK55" s="272"/>
      <c r="LL55" s="272"/>
      <c r="LM55" s="272"/>
      <c r="LN55" s="272"/>
      <c r="LO55" s="272"/>
      <c r="LP55" s="272"/>
      <c r="LQ55" s="272"/>
      <c r="LR55" s="272"/>
      <c r="LS55" s="272"/>
      <c r="LT55" s="272"/>
      <c r="LU55" s="272"/>
      <c r="LV55" s="272"/>
      <c r="LW55" s="272"/>
      <c r="LX55" s="272"/>
      <c r="LY55" s="272"/>
      <c r="LZ55" s="272"/>
      <c r="MA55" s="272"/>
      <c r="MB55" s="272"/>
      <c r="MC55" s="272"/>
      <c r="MD55" s="272"/>
      <c r="ME55" s="272"/>
      <c r="MF55" s="272"/>
      <c r="MG55" s="272"/>
      <c r="MH55" s="272"/>
      <c r="MI55" s="272"/>
      <c r="MJ55" s="272"/>
      <c r="MK55" s="272"/>
      <c r="ML55" s="272"/>
      <c r="MM55" s="272"/>
      <c r="MN55" s="272"/>
      <c r="MO55" s="272"/>
      <c r="MP55" s="272"/>
      <c r="MQ55" s="272"/>
      <c r="MR55" s="272"/>
      <c r="MS55" s="272"/>
      <c r="MT55" s="272"/>
      <c r="MU55" s="272"/>
      <c r="MV55" s="272"/>
      <c r="MW55" s="272"/>
      <c r="MX55" s="272"/>
      <c r="MY55" s="272"/>
      <c r="MZ55" s="272"/>
      <c r="NA55" s="272"/>
      <c r="NB55" s="272"/>
      <c r="NC55" s="272"/>
      <c r="ND55" s="272"/>
      <c r="NE55" s="272"/>
      <c r="NF55" s="272"/>
      <c r="NG55" s="272"/>
      <c r="NH55" s="272"/>
      <c r="NI55" s="272"/>
      <c r="NJ55" s="272"/>
      <c r="NK55" s="272"/>
      <c r="NL55" s="272"/>
      <c r="NM55" s="272"/>
      <c r="NN55" s="272"/>
      <c r="NO55" s="272"/>
      <c r="NP55" s="272"/>
      <c r="NQ55" s="272"/>
      <c r="NR55" s="272"/>
      <c r="NS55" s="272"/>
      <c r="NT55" s="272"/>
      <c r="NU55" s="272"/>
      <c r="NV55" s="272"/>
      <c r="NW55" s="272"/>
      <c r="NX55" s="272"/>
      <c r="NY55" s="272"/>
      <c r="NZ55" s="272"/>
      <c r="OA55" s="272"/>
      <c r="OB55" s="272"/>
      <c r="OC55" s="272"/>
      <c r="OD55" s="272"/>
      <c r="OE55" s="272"/>
      <c r="OF55" s="272"/>
      <c r="OG55" s="272"/>
      <c r="OH55" s="272"/>
      <c r="OI55" s="272"/>
      <c r="OJ55" s="272"/>
      <c r="OK55" s="272"/>
      <c r="OL55" s="272"/>
      <c r="OM55" s="272"/>
      <c r="ON55" s="272"/>
      <c r="OO55" s="272"/>
      <c r="OP55" s="272"/>
      <c r="OQ55" s="272"/>
      <c r="OR55" s="272"/>
      <c r="OS55" s="272"/>
      <c r="OT55" s="272"/>
      <c r="OU55" s="272"/>
      <c r="OV55" s="272"/>
      <c r="OW55" s="272"/>
      <c r="OX55" s="272"/>
      <c r="OY55" s="272"/>
      <c r="OZ55" s="272"/>
      <c r="PA55" s="272"/>
      <c r="PB55" s="272"/>
      <c r="PC55" s="272"/>
      <c r="PD55" s="272"/>
      <c r="PE55" s="272"/>
      <c r="PF55" s="272"/>
      <c r="PG55" s="272"/>
      <c r="PH55" s="272"/>
      <c r="PI55" s="272"/>
      <c r="PJ55" s="272"/>
      <c r="PK55" s="272"/>
      <c r="PL55" s="272"/>
      <c r="PM55" s="272"/>
      <c r="PN55" s="272"/>
      <c r="PO55" s="272"/>
      <c r="PP55" s="272"/>
      <c r="PQ55" s="272"/>
      <c r="PR55" s="272"/>
      <c r="PS55" s="272"/>
      <c r="PT55" s="272"/>
      <c r="PU55" s="272"/>
      <c r="PV55" s="272"/>
      <c r="PW55" s="272"/>
      <c r="PX55" s="272"/>
      <c r="PY55" s="272"/>
      <c r="PZ55" s="272"/>
      <c r="QA55" s="272"/>
      <c r="QB55" s="272"/>
      <c r="QC55" s="272"/>
      <c r="QD55" s="272"/>
      <c r="QE55" s="272"/>
      <c r="QF55" s="272"/>
      <c r="QG55" s="272"/>
      <c r="QH55" s="272"/>
      <c r="QI55" s="272"/>
      <c r="QJ55" s="272"/>
      <c r="QK55" s="272"/>
      <c r="QL55" s="272"/>
      <c r="QM55" s="272"/>
      <c r="QN55" s="272"/>
      <c r="QO55" s="272"/>
      <c r="QP55" s="272"/>
      <c r="QQ55" s="272"/>
      <c r="QR55" s="272"/>
      <c r="QS55" s="272"/>
      <c r="QT55" s="272"/>
      <c r="QU55" s="272"/>
      <c r="QV55" s="272"/>
      <c r="QW55" s="272"/>
      <c r="QX55" s="272"/>
      <c r="QY55" s="272"/>
      <c r="QZ55" s="272"/>
      <c r="RA55" s="272"/>
      <c r="RB55" s="272"/>
      <c r="RC55" s="272"/>
      <c r="RD55" s="272"/>
      <c r="RE55" s="272"/>
      <c r="RF55" s="272"/>
      <c r="RG55" s="272"/>
      <c r="RH55" s="272"/>
      <c r="RI55" s="272"/>
      <c r="RJ55" s="272"/>
      <c r="RK55" s="272"/>
      <c r="RL55" s="272"/>
      <c r="RM55" s="272"/>
      <c r="RN55" s="272"/>
      <c r="RO55" s="272"/>
      <c r="RP55" s="272"/>
      <c r="RQ55" s="272"/>
      <c r="RR55" s="272"/>
      <c r="RS55" s="272"/>
      <c r="RT55" s="272"/>
      <c r="RU55" s="272"/>
      <c r="RV55" s="272"/>
      <c r="RW55" s="272"/>
      <c r="RX55" s="272"/>
      <c r="RY55" s="272"/>
      <c r="RZ55" s="272"/>
      <c r="SA55" s="272"/>
      <c r="SB55" s="272"/>
      <c r="SC55" s="272"/>
      <c r="SD55" s="272"/>
      <c r="SE55" s="272"/>
      <c r="SF55" s="272"/>
      <c r="SG55" s="272"/>
      <c r="SH55" s="272"/>
      <c r="SI55" s="272"/>
      <c r="SJ55" s="272"/>
      <c r="SK55" s="272"/>
      <c r="SL55" s="272"/>
      <c r="SM55" s="272"/>
      <c r="SN55" s="272"/>
      <c r="SO55" s="272"/>
      <c r="SP55" s="272"/>
      <c r="SQ55" s="272"/>
      <c r="SR55" s="272"/>
      <c r="SS55" s="272"/>
      <c r="ST55" s="272"/>
      <c r="SU55" s="272"/>
      <c r="SV55" s="272"/>
      <c r="SW55" s="272"/>
      <c r="SX55" s="272"/>
      <c r="SY55" s="272"/>
      <c r="SZ55" s="272"/>
      <c r="TA55" s="272"/>
      <c r="TB55" s="272"/>
      <c r="TC55" s="272"/>
      <c r="TD55" s="272"/>
      <c r="TE55" s="272"/>
      <c r="TF55" s="272"/>
      <c r="TG55" s="272"/>
      <c r="TH55" s="272"/>
      <c r="TI55" s="272"/>
      <c r="TJ55" s="272"/>
      <c r="TK55" s="272"/>
      <c r="TL55" s="272"/>
      <c r="TM55" s="272"/>
      <c r="TN55" s="272"/>
      <c r="TO55" s="272"/>
      <c r="TP55" s="272"/>
      <c r="TQ55" s="272"/>
      <c r="TR55" s="272"/>
      <c r="TS55" s="272"/>
      <c r="TT55" s="272"/>
      <c r="TU55" s="272"/>
      <c r="TV55" s="272"/>
      <c r="TW55" s="272"/>
      <c r="TX55" s="272"/>
      <c r="TY55" s="272"/>
      <c r="TZ55" s="272"/>
      <c r="UA55" s="272"/>
      <c r="UB55" s="272"/>
      <c r="UC55" s="272"/>
      <c r="UD55" s="272"/>
      <c r="UE55" s="272"/>
      <c r="UF55" s="272"/>
      <c r="UG55" s="272"/>
      <c r="UH55" s="272"/>
      <c r="UI55" s="272"/>
      <c r="UJ55" s="272"/>
      <c r="UK55" s="272"/>
      <c r="UL55" s="272"/>
      <c r="UM55" s="272"/>
      <c r="UN55" s="272"/>
      <c r="UO55" s="272"/>
      <c r="UP55" s="272"/>
      <c r="UQ55" s="272"/>
      <c r="UR55" s="272"/>
      <c r="US55" s="272"/>
      <c r="UT55" s="272"/>
      <c r="UU55" s="272"/>
      <c r="UV55" s="272"/>
      <c r="UW55" s="272"/>
      <c r="UX55" s="272"/>
      <c r="UY55" s="272"/>
      <c r="UZ55" s="272"/>
      <c r="VA55" s="272"/>
      <c r="VB55" s="272"/>
      <c r="VC55" s="272"/>
      <c r="VD55" s="272"/>
      <c r="VE55" s="272"/>
      <c r="VF55" s="272"/>
      <c r="VG55" s="272"/>
      <c r="VH55" s="272"/>
      <c r="VI55" s="272"/>
      <c r="VJ55" s="272"/>
      <c r="VK55" s="272"/>
      <c r="VL55" s="272"/>
      <c r="VM55" s="272"/>
      <c r="VN55" s="272"/>
      <c r="VO55" s="272"/>
      <c r="VP55" s="272"/>
      <c r="VQ55" s="272"/>
      <c r="VR55" s="272"/>
      <c r="VS55" s="272"/>
      <c r="VT55" s="272"/>
      <c r="VU55" s="272"/>
      <c r="VV55" s="272"/>
      <c r="VW55" s="272"/>
      <c r="VX55" s="272"/>
      <c r="VY55" s="272"/>
      <c r="VZ55" s="272"/>
      <c r="WA55" s="272"/>
      <c r="WB55" s="272"/>
      <c r="WC55" s="272"/>
      <c r="WD55" s="272"/>
      <c r="WE55" s="272"/>
      <c r="WF55" s="272"/>
      <c r="WG55" s="272"/>
      <c r="WH55" s="272"/>
      <c r="WI55" s="272"/>
      <c r="WJ55" s="272"/>
      <c r="WK55" s="272"/>
      <c r="WL55" s="272"/>
      <c r="WM55" s="272"/>
      <c r="WN55" s="272"/>
      <c r="WO55" s="272"/>
      <c r="WP55" s="272"/>
      <c r="WQ55" s="272"/>
      <c r="WR55" s="272"/>
      <c r="WS55" s="272"/>
      <c r="WT55" s="272"/>
      <c r="WU55" s="272"/>
      <c r="WV55" s="272"/>
      <c r="WW55" s="272"/>
      <c r="WX55" s="272"/>
      <c r="WY55" s="272"/>
      <c r="WZ55" s="272"/>
      <c r="XA55" s="272"/>
      <c r="XB55" s="272"/>
      <c r="XC55" s="272"/>
      <c r="XD55" s="272"/>
      <c r="XE55" s="272"/>
      <c r="XF55" s="272"/>
      <c r="XG55" s="272"/>
      <c r="XH55" s="272"/>
      <c r="XI55" s="272"/>
      <c r="XJ55" s="272"/>
      <c r="XK55" s="272"/>
      <c r="XL55" s="272"/>
      <c r="XM55" s="272"/>
      <c r="XN55" s="272"/>
      <c r="XO55" s="272"/>
      <c r="XP55" s="272"/>
      <c r="XQ55" s="272"/>
      <c r="XR55" s="272"/>
      <c r="XS55" s="272"/>
      <c r="XT55" s="272"/>
      <c r="XU55" s="272"/>
      <c r="XV55" s="272"/>
      <c r="XW55" s="272"/>
      <c r="XX55" s="272"/>
      <c r="XY55" s="272"/>
      <c r="XZ55" s="272"/>
      <c r="YA55" s="272"/>
      <c r="YB55" s="272"/>
      <c r="YC55" s="272"/>
      <c r="YD55" s="272"/>
      <c r="YE55" s="272"/>
      <c r="YF55" s="272"/>
      <c r="YG55" s="272"/>
      <c r="YH55" s="272"/>
      <c r="YI55" s="272"/>
      <c r="YJ55" s="272"/>
      <c r="YK55" s="272"/>
      <c r="YL55" s="272"/>
      <c r="YM55" s="272"/>
      <c r="YN55" s="272"/>
      <c r="YO55" s="272"/>
      <c r="YP55" s="272"/>
      <c r="YQ55" s="272"/>
      <c r="YR55" s="272"/>
      <c r="YS55" s="272"/>
      <c r="YT55" s="272"/>
      <c r="YU55" s="272"/>
      <c r="YV55" s="272"/>
      <c r="YW55" s="272"/>
      <c r="YX55" s="272"/>
      <c r="YY55" s="272"/>
      <c r="YZ55" s="272"/>
      <c r="ZA55" s="272"/>
      <c r="ZB55" s="272"/>
      <c r="ZC55" s="272"/>
      <c r="ZD55" s="272"/>
      <c r="ZE55" s="272"/>
      <c r="ZF55" s="272"/>
      <c r="ZG55" s="272"/>
      <c r="ZH55" s="272"/>
      <c r="ZI55" s="272"/>
      <c r="ZJ55" s="272"/>
      <c r="ZK55" s="272"/>
      <c r="ZL55" s="272"/>
      <c r="ZM55" s="272"/>
      <c r="ZN55" s="272"/>
      <c r="ZO55" s="272"/>
      <c r="ZP55" s="272"/>
      <c r="ZQ55" s="272"/>
      <c r="ZR55" s="272"/>
      <c r="ZS55" s="272"/>
      <c r="ZT55" s="272"/>
      <c r="ZU55" s="272"/>
      <c r="ZV55" s="272"/>
      <c r="ZW55" s="272"/>
      <c r="ZX55" s="272"/>
      <c r="ZY55" s="272"/>
      <c r="ZZ55" s="272"/>
      <c r="AAA55" s="272"/>
      <c r="AAB55" s="272"/>
      <c r="AAC55" s="272"/>
      <c r="AAD55" s="272"/>
      <c r="AAE55" s="272"/>
      <c r="AAF55" s="272"/>
      <c r="AAG55" s="272"/>
      <c r="AAH55" s="272"/>
      <c r="AAI55" s="272"/>
      <c r="AAJ55" s="272"/>
      <c r="AAK55" s="272"/>
      <c r="AAL55" s="272"/>
      <c r="AAM55" s="272"/>
      <c r="AAN55" s="272"/>
      <c r="AAO55" s="272"/>
      <c r="AAP55" s="272"/>
      <c r="AAQ55" s="272"/>
      <c r="AAR55" s="272"/>
      <c r="AAS55" s="272"/>
      <c r="AAT55" s="272"/>
      <c r="AAU55" s="272"/>
      <c r="AAV55" s="272"/>
      <c r="AAW55" s="272"/>
      <c r="AAX55" s="272"/>
      <c r="AAY55" s="272"/>
      <c r="AAZ55" s="272"/>
      <c r="ABA55" s="272"/>
      <c r="ABB55" s="272"/>
      <c r="ABC55" s="272"/>
      <c r="ABD55" s="272"/>
      <c r="ABE55" s="272"/>
      <c r="ABF55" s="272"/>
      <c r="ABG55" s="272"/>
    </row>
    <row r="56" spans="1:735" s="19" customFormat="1" ht="15">
      <c r="A56" s="47"/>
      <c r="B56" s="74"/>
      <c r="C56" s="55" t="s">
        <v>53</v>
      </c>
      <c r="D56" s="55"/>
      <c r="E56" s="57"/>
      <c r="F56" s="263"/>
      <c r="G56" s="388"/>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2"/>
      <c r="ED56" s="272"/>
      <c r="EE56" s="272"/>
      <c r="EF56" s="272"/>
      <c r="EG56" s="272"/>
      <c r="EH56" s="272"/>
      <c r="EI56" s="272"/>
      <c r="EJ56" s="272"/>
      <c r="EK56" s="272"/>
      <c r="EL56" s="272"/>
      <c r="EM56" s="272"/>
      <c r="EN56" s="272"/>
      <c r="EO56" s="272"/>
      <c r="EP56" s="272"/>
      <c r="EQ56" s="272"/>
      <c r="ER56" s="272"/>
      <c r="ES56" s="272"/>
      <c r="ET56" s="272"/>
      <c r="EU56" s="272"/>
      <c r="EV56" s="272"/>
      <c r="EW56" s="272"/>
      <c r="EX56" s="272"/>
      <c r="EY56" s="272"/>
      <c r="EZ56" s="272"/>
      <c r="FA56" s="272"/>
      <c r="FB56" s="272"/>
      <c r="FC56" s="272"/>
      <c r="FD56" s="272"/>
      <c r="FE56" s="272"/>
      <c r="FF56" s="272"/>
      <c r="FG56" s="272"/>
      <c r="FH56" s="272"/>
      <c r="FI56" s="272"/>
      <c r="FJ56" s="272"/>
      <c r="FK56" s="272"/>
      <c r="FL56" s="272"/>
      <c r="FM56" s="272"/>
      <c r="FN56" s="272"/>
      <c r="FO56" s="272"/>
      <c r="FP56" s="272"/>
      <c r="FQ56" s="272"/>
      <c r="FR56" s="272"/>
      <c r="FS56" s="272"/>
      <c r="FT56" s="272"/>
      <c r="FU56" s="272"/>
      <c r="FV56" s="272"/>
      <c r="FW56" s="272"/>
      <c r="FX56" s="272"/>
      <c r="FY56" s="272"/>
      <c r="FZ56" s="272"/>
      <c r="GA56" s="272"/>
      <c r="GB56" s="272"/>
      <c r="GC56" s="272"/>
      <c r="GD56" s="272"/>
      <c r="GE56" s="272"/>
      <c r="GF56" s="272"/>
      <c r="GG56" s="272"/>
      <c r="GH56" s="272"/>
      <c r="GI56" s="272"/>
      <c r="GJ56" s="272"/>
      <c r="GK56" s="272"/>
      <c r="GL56" s="272"/>
      <c r="GM56" s="272"/>
      <c r="GN56" s="272"/>
      <c r="GO56" s="272"/>
      <c r="GP56" s="272"/>
      <c r="GQ56" s="272"/>
      <c r="GR56" s="272"/>
      <c r="GS56" s="272"/>
      <c r="GT56" s="272"/>
      <c r="GU56" s="272"/>
      <c r="GV56" s="272"/>
      <c r="GW56" s="272"/>
      <c r="GX56" s="272"/>
      <c r="GY56" s="272"/>
      <c r="GZ56" s="272"/>
      <c r="HA56" s="272"/>
      <c r="HB56" s="272"/>
      <c r="HC56" s="272"/>
      <c r="HD56" s="272"/>
      <c r="HE56" s="272"/>
      <c r="HF56" s="272"/>
      <c r="HG56" s="272"/>
      <c r="HH56" s="272"/>
      <c r="HI56" s="272"/>
      <c r="HJ56" s="272"/>
      <c r="HK56" s="272"/>
      <c r="HL56" s="272"/>
      <c r="HM56" s="272"/>
      <c r="HN56" s="272"/>
      <c r="HO56" s="272"/>
      <c r="HP56" s="272"/>
      <c r="HQ56" s="272"/>
      <c r="HR56" s="272"/>
      <c r="HS56" s="272"/>
      <c r="HT56" s="272"/>
      <c r="HU56" s="272"/>
      <c r="HV56" s="272"/>
      <c r="HW56" s="272"/>
      <c r="HX56" s="272"/>
      <c r="HY56" s="272"/>
      <c r="HZ56" s="272"/>
      <c r="IA56" s="272"/>
      <c r="IB56" s="272"/>
      <c r="IC56" s="272"/>
      <c r="ID56" s="272"/>
      <c r="IE56" s="272"/>
      <c r="IF56" s="272"/>
      <c r="IG56" s="272"/>
      <c r="IH56" s="272"/>
      <c r="II56" s="272"/>
      <c r="IJ56" s="272"/>
      <c r="IK56" s="272"/>
      <c r="IL56" s="272"/>
      <c r="IM56" s="272"/>
      <c r="IN56" s="272"/>
      <c r="IO56" s="272"/>
      <c r="IP56" s="272"/>
      <c r="IQ56" s="272"/>
      <c r="IR56" s="272"/>
      <c r="IS56" s="272"/>
      <c r="IT56" s="272"/>
      <c r="IU56" s="272"/>
      <c r="IV56" s="272"/>
      <c r="IW56" s="272"/>
      <c r="IX56" s="272"/>
      <c r="IY56" s="272"/>
      <c r="IZ56" s="272"/>
      <c r="JA56" s="272"/>
      <c r="JB56" s="272"/>
      <c r="JC56" s="272"/>
      <c r="JD56" s="272"/>
      <c r="JE56" s="272"/>
      <c r="JF56" s="272"/>
      <c r="JG56" s="272"/>
      <c r="JH56" s="272"/>
      <c r="JI56" s="272"/>
      <c r="JJ56" s="272"/>
      <c r="JK56" s="272"/>
      <c r="JL56" s="272"/>
      <c r="JM56" s="272"/>
      <c r="JN56" s="272"/>
      <c r="JO56" s="272"/>
      <c r="JP56" s="272"/>
      <c r="JQ56" s="272"/>
      <c r="JR56" s="272"/>
      <c r="JS56" s="272"/>
      <c r="JT56" s="272"/>
      <c r="JU56" s="272"/>
      <c r="JV56" s="272"/>
      <c r="JW56" s="272"/>
      <c r="JX56" s="272"/>
      <c r="JY56" s="272"/>
      <c r="JZ56" s="272"/>
      <c r="KA56" s="272"/>
      <c r="KB56" s="272"/>
      <c r="KC56" s="272"/>
      <c r="KD56" s="272"/>
      <c r="KE56" s="272"/>
      <c r="KF56" s="272"/>
      <c r="KG56" s="272"/>
      <c r="KH56" s="272"/>
      <c r="KI56" s="272"/>
      <c r="KJ56" s="272"/>
      <c r="KK56" s="272"/>
      <c r="KL56" s="272"/>
      <c r="KM56" s="272"/>
      <c r="KN56" s="272"/>
      <c r="KO56" s="272"/>
      <c r="KP56" s="272"/>
      <c r="KQ56" s="272"/>
      <c r="KR56" s="272"/>
      <c r="KS56" s="272"/>
      <c r="KT56" s="272"/>
      <c r="KU56" s="272"/>
      <c r="KV56" s="272"/>
      <c r="KW56" s="272"/>
      <c r="KX56" s="272"/>
      <c r="KY56" s="272"/>
      <c r="KZ56" s="272"/>
      <c r="LA56" s="272"/>
      <c r="LB56" s="272"/>
      <c r="LC56" s="272"/>
      <c r="LD56" s="272"/>
      <c r="LE56" s="272"/>
      <c r="LF56" s="272"/>
      <c r="LG56" s="272"/>
      <c r="LH56" s="272"/>
      <c r="LI56" s="272"/>
      <c r="LJ56" s="272"/>
      <c r="LK56" s="272"/>
      <c r="LL56" s="272"/>
      <c r="LM56" s="272"/>
      <c r="LN56" s="272"/>
      <c r="LO56" s="272"/>
      <c r="LP56" s="272"/>
      <c r="LQ56" s="272"/>
      <c r="LR56" s="272"/>
      <c r="LS56" s="272"/>
      <c r="LT56" s="272"/>
      <c r="LU56" s="272"/>
      <c r="LV56" s="272"/>
      <c r="LW56" s="272"/>
      <c r="LX56" s="272"/>
      <c r="LY56" s="272"/>
      <c r="LZ56" s="272"/>
      <c r="MA56" s="272"/>
      <c r="MB56" s="272"/>
      <c r="MC56" s="272"/>
      <c r="MD56" s="272"/>
      <c r="ME56" s="272"/>
      <c r="MF56" s="272"/>
      <c r="MG56" s="272"/>
      <c r="MH56" s="272"/>
      <c r="MI56" s="272"/>
      <c r="MJ56" s="272"/>
      <c r="MK56" s="272"/>
      <c r="ML56" s="272"/>
      <c r="MM56" s="272"/>
      <c r="MN56" s="272"/>
      <c r="MO56" s="272"/>
      <c r="MP56" s="272"/>
      <c r="MQ56" s="272"/>
      <c r="MR56" s="272"/>
      <c r="MS56" s="272"/>
      <c r="MT56" s="272"/>
      <c r="MU56" s="272"/>
      <c r="MV56" s="272"/>
      <c r="MW56" s="272"/>
      <c r="MX56" s="272"/>
      <c r="MY56" s="272"/>
      <c r="MZ56" s="272"/>
      <c r="NA56" s="272"/>
      <c r="NB56" s="272"/>
      <c r="NC56" s="272"/>
      <c r="ND56" s="272"/>
      <c r="NE56" s="272"/>
      <c r="NF56" s="272"/>
      <c r="NG56" s="272"/>
      <c r="NH56" s="272"/>
      <c r="NI56" s="272"/>
      <c r="NJ56" s="272"/>
      <c r="NK56" s="272"/>
      <c r="NL56" s="272"/>
      <c r="NM56" s="272"/>
      <c r="NN56" s="272"/>
      <c r="NO56" s="272"/>
      <c r="NP56" s="272"/>
      <c r="NQ56" s="272"/>
      <c r="NR56" s="272"/>
      <c r="NS56" s="272"/>
      <c r="NT56" s="272"/>
      <c r="NU56" s="272"/>
      <c r="NV56" s="272"/>
      <c r="NW56" s="272"/>
      <c r="NX56" s="272"/>
      <c r="NY56" s="272"/>
      <c r="NZ56" s="272"/>
      <c r="OA56" s="272"/>
      <c r="OB56" s="272"/>
      <c r="OC56" s="272"/>
      <c r="OD56" s="272"/>
      <c r="OE56" s="272"/>
      <c r="OF56" s="272"/>
      <c r="OG56" s="272"/>
      <c r="OH56" s="272"/>
      <c r="OI56" s="272"/>
      <c r="OJ56" s="272"/>
      <c r="OK56" s="272"/>
      <c r="OL56" s="272"/>
      <c r="OM56" s="272"/>
      <c r="ON56" s="272"/>
      <c r="OO56" s="272"/>
      <c r="OP56" s="272"/>
      <c r="OQ56" s="272"/>
      <c r="OR56" s="272"/>
      <c r="OS56" s="272"/>
      <c r="OT56" s="272"/>
      <c r="OU56" s="272"/>
      <c r="OV56" s="272"/>
      <c r="OW56" s="272"/>
      <c r="OX56" s="272"/>
      <c r="OY56" s="272"/>
      <c r="OZ56" s="272"/>
      <c r="PA56" s="272"/>
      <c r="PB56" s="272"/>
      <c r="PC56" s="272"/>
      <c r="PD56" s="272"/>
      <c r="PE56" s="272"/>
      <c r="PF56" s="272"/>
      <c r="PG56" s="272"/>
      <c r="PH56" s="272"/>
      <c r="PI56" s="272"/>
      <c r="PJ56" s="272"/>
      <c r="PK56" s="272"/>
      <c r="PL56" s="272"/>
      <c r="PM56" s="272"/>
      <c r="PN56" s="272"/>
      <c r="PO56" s="272"/>
      <c r="PP56" s="272"/>
      <c r="PQ56" s="272"/>
      <c r="PR56" s="272"/>
      <c r="PS56" s="272"/>
      <c r="PT56" s="272"/>
      <c r="PU56" s="272"/>
      <c r="PV56" s="272"/>
      <c r="PW56" s="272"/>
      <c r="PX56" s="272"/>
      <c r="PY56" s="272"/>
      <c r="PZ56" s="272"/>
      <c r="QA56" s="272"/>
      <c r="QB56" s="272"/>
      <c r="QC56" s="272"/>
      <c r="QD56" s="272"/>
      <c r="QE56" s="272"/>
      <c r="QF56" s="272"/>
      <c r="QG56" s="272"/>
      <c r="QH56" s="272"/>
      <c r="QI56" s="272"/>
      <c r="QJ56" s="272"/>
      <c r="QK56" s="272"/>
      <c r="QL56" s="272"/>
      <c r="QM56" s="272"/>
      <c r="QN56" s="272"/>
      <c r="QO56" s="272"/>
      <c r="QP56" s="272"/>
      <c r="QQ56" s="272"/>
      <c r="QR56" s="272"/>
      <c r="QS56" s="272"/>
      <c r="QT56" s="272"/>
      <c r="QU56" s="272"/>
      <c r="QV56" s="272"/>
      <c r="QW56" s="272"/>
      <c r="QX56" s="272"/>
      <c r="QY56" s="272"/>
      <c r="QZ56" s="272"/>
      <c r="RA56" s="272"/>
      <c r="RB56" s="272"/>
      <c r="RC56" s="272"/>
      <c r="RD56" s="272"/>
      <c r="RE56" s="272"/>
      <c r="RF56" s="272"/>
      <c r="RG56" s="272"/>
      <c r="RH56" s="272"/>
      <c r="RI56" s="272"/>
      <c r="RJ56" s="272"/>
      <c r="RK56" s="272"/>
      <c r="RL56" s="272"/>
      <c r="RM56" s="272"/>
      <c r="RN56" s="272"/>
      <c r="RO56" s="272"/>
      <c r="RP56" s="272"/>
      <c r="RQ56" s="272"/>
      <c r="RR56" s="272"/>
      <c r="RS56" s="272"/>
      <c r="RT56" s="272"/>
      <c r="RU56" s="272"/>
      <c r="RV56" s="272"/>
      <c r="RW56" s="272"/>
      <c r="RX56" s="272"/>
      <c r="RY56" s="272"/>
      <c r="RZ56" s="272"/>
      <c r="SA56" s="272"/>
      <c r="SB56" s="272"/>
      <c r="SC56" s="272"/>
      <c r="SD56" s="272"/>
      <c r="SE56" s="272"/>
      <c r="SF56" s="272"/>
      <c r="SG56" s="272"/>
      <c r="SH56" s="272"/>
      <c r="SI56" s="272"/>
      <c r="SJ56" s="272"/>
      <c r="SK56" s="272"/>
      <c r="SL56" s="272"/>
      <c r="SM56" s="272"/>
      <c r="SN56" s="272"/>
      <c r="SO56" s="272"/>
      <c r="SP56" s="272"/>
      <c r="SQ56" s="272"/>
      <c r="SR56" s="272"/>
      <c r="SS56" s="272"/>
      <c r="ST56" s="272"/>
      <c r="SU56" s="272"/>
      <c r="SV56" s="272"/>
      <c r="SW56" s="272"/>
      <c r="SX56" s="272"/>
      <c r="SY56" s="272"/>
      <c r="SZ56" s="272"/>
      <c r="TA56" s="272"/>
      <c r="TB56" s="272"/>
      <c r="TC56" s="272"/>
      <c r="TD56" s="272"/>
      <c r="TE56" s="272"/>
      <c r="TF56" s="272"/>
      <c r="TG56" s="272"/>
      <c r="TH56" s="272"/>
      <c r="TI56" s="272"/>
      <c r="TJ56" s="272"/>
      <c r="TK56" s="272"/>
      <c r="TL56" s="272"/>
      <c r="TM56" s="272"/>
      <c r="TN56" s="272"/>
      <c r="TO56" s="272"/>
      <c r="TP56" s="272"/>
      <c r="TQ56" s="272"/>
      <c r="TR56" s="272"/>
      <c r="TS56" s="272"/>
      <c r="TT56" s="272"/>
      <c r="TU56" s="272"/>
      <c r="TV56" s="272"/>
      <c r="TW56" s="272"/>
      <c r="TX56" s="272"/>
      <c r="TY56" s="272"/>
      <c r="TZ56" s="272"/>
      <c r="UA56" s="272"/>
      <c r="UB56" s="272"/>
      <c r="UC56" s="272"/>
      <c r="UD56" s="272"/>
      <c r="UE56" s="272"/>
      <c r="UF56" s="272"/>
      <c r="UG56" s="272"/>
      <c r="UH56" s="272"/>
      <c r="UI56" s="272"/>
      <c r="UJ56" s="272"/>
      <c r="UK56" s="272"/>
      <c r="UL56" s="272"/>
      <c r="UM56" s="272"/>
      <c r="UN56" s="272"/>
      <c r="UO56" s="272"/>
      <c r="UP56" s="272"/>
      <c r="UQ56" s="272"/>
      <c r="UR56" s="272"/>
      <c r="US56" s="272"/>
      <c r="UT56" s="272"/>
      <c r="UU56" s="272"/>
      <c r="UV56" s="272"/>
      <c r="UW56" s="272"/>
      <c r="UX56" s="272"/>
      <c r="UY56" s="272"/>
      <c r="UZ56" s="272"/>
      <c r="VA56" s="272"/>
      <c r="VB56" s="272"/>
      <c r="VC56" s="272"/>
      <c r="VD56" s="272"/>
      <c r="VE56" s="272"/>
      <c r="VF56" s="272"/>
      <c r="VG56" s="272"/>
      <c r="VH56" s="272"/>
      <c r="VI56" s="272"/>
      <c r="VJ56" s="272"/>
      <c r="VK56" s="272"/>
      <c r="VL56" s="272"/>
      <c r="VM56" s="272"/>
      <c r="VN56" s="272"/>
      <c r="VO56" s="272"/>
      <c r="VP56" s="272"/>
      <c r="VQ56" s="272"/>
      <c r="VR56" s="272"/>
      <c r="VS56" s="272"/>
      <c r="VT56" s="272"/>
      <c r="VU56" s="272"/>
      <c r="VV56" s="272"/>
      <c r="VW56" s="272"/>
      <c r="VX56" s="272"/>
      <c r="VY56" s="272"/>
      <c r="VZ56" s="272"/>
      <c r="WA56" s="272"/>
      <c r="WB56" s="272"/>
      <c r="WC56" s="272"/>
      <c r="WD56" s="272"/>
      <c r="WE56" s="272"/>
      <c r="WF56" s="272"/>
      <c r="WG56" s="272"/>
      <c r="WH56" s="272"/>
      <c r="WI56" s="272"/>
      <c r="WJ56" s="272"/>
      <c r="WK56" s="272"/>
      <c r="WL56" s="272"/>
      <c r="WM56" s="272"/>
      <c r="WN56" s="272"/>
      <c r="WO56" s="272"/>
      <c r="WP56" s="272"/>
      <c r="WQ56" s="272"/>
      <c r="WR56" s="272"/>
      <c r="WS56" s="272"/>
      <c r="WT56" s="272"/>
      <c r="WU56" s="272"/>
      <c r="WV56" s="272"/>
      <c r="WW56" s="272"/>
      <c r="WX56" s="272"/>
      <c r="WY56" s="272"/>
      <c r="WZ56" s="272"/>
      <c r="XA56" s="272"/>
      <c r="XB56" s="272"/>
      <c r="XC56" s="272"/>
      <c r="XD56" s="272"/>
      <c r="XE56" s="272"/>
      <c r="XF56" s="272"/>
      <c r="XG56" s="272"/>
      <c r="XH56" s="272"/>
      <c r="XI56" s="272"/>
      <c r="XJ56" s="272"/>
      <c r="XK56" s="272"/>
      <c r="XL56" s="272"/>
      <c r="XM56" s="272"/>
      <c r="XN56" s="272"/>
      <c r="XO56" s="272"/>
      <c r="XP56" s="272"/>
      <c r="XQ56" s="272"/>
      <c r="XR56" s="272"/>
      <c r="XS56" s="272"/>
      <c r="XT56" s="272"/>
      <c r="XU56" s="272"/>
      <c r="XV56" s="272"/>
      <c r="XW56" s="272"/>
      <c r="XX56" s="272"/>
      <c r="XY56" s="272"/>
      <c r="XZ56" s="272"/>
      <c r="YA56" s="272"/>
      <c r="YB56" s="272"/>
      <c r="YC56" s="272"/>
      <c r="YD56" s="272"/>
      <c r="YE56" s="272"/>
      <c r="YF56" s="272"/>
      <c r="YG56" s="272"/>
      <c r="YH56" s="272"/>
      <c r="YI56" s="272"/>
      <c r="YJ56" s="272"/>
      <c r="YK56" s="272"/>
      <c r="YL56" s="272"/>
      <c r="YM56" s="272"/>
      <c r="YN56" s="272"/>
      <c r="YO56" s="272"/>
      <c r="YP56" s="272"/>
      <c r="YQ56" s="272"/>
      <c r="YR56" s="272"/>
      <c r="YS56" s="272"/>
      <c r="YT56" s="272"/>
      <c r="YU56" s="272"/>
      <c r="YV56" s="272"/>
      <c r="YW56" s="272"/>
      <c r="YX56" s="272"/>
      <c r="YY56" s="272"/>
      <c r="YZ56" s="272"/>
      <c r="ZA56" s="272"/>
      <c r="ZB56" s="272"/>
      <c r="ZC56" s="272"/>
      <c r="ZD56" s="272"/>
      <c r="ZE56" s="272"/>
      <c r="ZF56" s="272"/>
      <c r="ZG56" s="272"/>
      <c r="ZH56" s="272"/>
      <c r="ZI56" s="272"/>
      <c r="ZJ56" s="272"/>
      <c r="ZK56" s="272"/>
      <c r="ZL56" s="272"/>
      <c r="ZM56" s="272"/>
      <c r="ZN56" s="272"/>
      <c r="ZO56" s="272"/>
      <c r="ZP56" s="272"/>
      <c r="ZQ56" s="272"/>
      <c r="ZR56" s="272"/>
      <c r="ZS56" s="272"/>
      <c r="ZT56" s="272"/>
      <c r="ZU56" s="272"/>
      <c r="ZV56" s="272"/>
      <c r="ZW56" s="272"/>
      <c r="ZX56" s="272"/>
      <c r="ZY56" s="272"/>
      <c r="ZZ56" s="272"/>
      <c r="AAA56" s="272"/>
      <c r="AAB56" s="272"/>
      <c r="AAC56" s="272"/>
      <c r="AAD56" s="272"/>
      <c r="AAE56" s="272"/>
      <c r="AAF56" s="272"/>
      <c r="AAG56" s="272"/>
      <c r="AAH56" s="272"/>
      <c r="AAI56" s="272"/>
      <c r="AAJ56" s="272"/>
      <c r="AAK56" s="272"/>
      <c r="AAL56" s="272"/>
      <c r="AAM56" s="272"/>
      <c r="AAN56" s="272"/>
      <c r="AAO56" s="272"/>
      <c r="AAP56" s="272"/>
      <c r="AAQ56" s="272"/>
      <c r="AAR56" s="272"/>
      <c r="AAS56" s="272"/>
      <c r="AAT56" s="272"/>
      <c r="AAU56" s="272"/>
      <c r="AAV56" s="272"/>
      <c r="AAW56" s="272"/>
      <c r="AAX56" s="272"/>
      <c r="AAY56" s="272"/>
      <c r="AAZ56" s="272"/>
      <c r="ABA56" s="272"/>
      <c r="ABB56" s="272"/>
      <c r="ABC56" s="272"/>
      <c r="ABD56" s="272"/>
      <c r="ABE56" s="272"/>
      <c r="ABF56" s="272"/>
      <c r="ABG56" s="272"/>
    </row>
    <row r="57" spans="1:735" s="62" customFormat="1" ht="13.5" thickBot="1">
      <c r="A57" s="48"/>
      <c r="B57" s="75"/>
      <c r="C57" s="58" t="s">
        <v>54</v>
      </c>
      <c r="D57" s="58"/>
      <c r="E57" s="60"/>
      <c r="F57" s="264"/>
      <c r="G57" s="389"/>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72"/>
      <c r="DV57" s="272"/>
      <c r="DW57" s="272"/>
      <c r="DX57" s="272"/>
      <c r="DY57" s="272"/>
      <c r="DZ57" s="272"/>
      <c r="EA57" s="272"/>
      <c r="EB57" s="272"/>
      <c r="EC57" s="272"/>
      <c r="ED57" s="272"/>
      <c r="EE57" s="272"/>
      <c r="EF57" s="272"/>
      <c r="EG57" s="272"/>
      <c r="EH57" s="272"/>
      <c r="EI57" s="272"/>
      <c r="EJ57" s="272"/>
      <c r="EK57" s="272"/>
      <c r="EL57" s="272"/>
      <c r="EM57" s="272"/>
      <c r="EN57" s="272"/>
      <c r="EO57" s="272"/>
      <c r="EP57" s="272"/>
      <c r="EQ57" s="272"/>
      <c r="ER57" s="272"/>
      <c r="ES57" s="272"/>
      <c r="ET57" s="272"/>
      <c r="EU57" s="272"/>
      <c r="EV57" s="272"/>
      <c r="EW57" s="272"/>
      <c r="EX57" s="272"/>
      <c r="EY57" s="272"/>
      <c r="EZ57" s="272"/>
      <c r="FA57" s="272"/>
      <c r="FB57" s="272"/>
      <c r="FC57" s="272"/>
      <c r="FD57" s="272"/>
      <c r="FE57" s="272"/>
      <c r="FF57" s="272"/>
      <c r="FG57" s="272"/>
      <c r="FH57" s="272"/>
      <c r="FI57" s="272"/>
      <c r="FJ57" s="272"/>
      <c r="FK57" s="272"/>
      <c r="FL57" s="272"/>
      <c r="FM57" s="272"/>
      <c r="FN57" s="272"/>
      <c r="FO57" s="272"/>
      <c r="FP57" s="272"/>
      <c r="FQ57" s="272"/>
      <c r="FR57" s="272"/>
      <c r="FS57" s="272"/>
      <c r="FT57" s="272"/>
      <c r="FU57" s="272"/>
      <c r="FV57" s="272"/>
      <c r="FW57" s="272"/>
      <c r="FX57" s="272"/>
      <c r="FY57" s="272"/>
      <c r="FZ57" s="272"/>
      <c r="GA57" s="272"/>
      <c r="GB57" s="272"/>
      <c r="GC57" s="272"/>
      <c r="GD57" s="272"/>
      <c r="GE57" s="272"/>
      <c r="GF57" s="272"/>
      <c r="GG57" s="272"/>
      <c r="GH57" s="272"/>
      <c r="GI57" s="272"/>
      <c r="GJ57" s="272"/>
      <c r="GK57" s="272"/>
      <c r="GL57" s="272"/>
      <c r="GM57" s="272"/>
      <c r="GN57" s="272"/>
      <c r="GO57" s="272"/>
      <c r="GP57" s="272"/>
      <c r="GQ57" s="272"/>
      <c r="GR57" s="272"/>
      <c r="GS57" s="272"/>
      <c r="GT57" s="272"/>
      <c r="GU57" s="272"/>
      <c r="GV57" s="272"/>
      <c r="GW57" s="272"/>
      <c r="GX57" s="272"/>
      <c r="GY57" s="272"/>
      <c r="GZ57" s="272"/>
      <c r="HA57" s="272"/>
      <c r="HB57" s="272"/>
      <c r="HC57" s="272"/>
      <c r="HD57" s="272"/>
      <c r="HE57" s="272"/>
      <c r="HF57" s="272"/>
      <c r="HG57" s="272"/>
      <c r="HH57" s="272"/>
      <c r="HI57" s="272"/>
      <c r="HJ57" s="272"/>
      <c r="HK57" s="272"/>
      <c r="HL57" s="272"/>
      <c r="HM57" s="272"/>
      <c r="HN57" s="272"/>
      <c r="HO57" s="272"/>
      <c r="HP57" s="272"/>
      <c r="HQ57" s="272"/>
      <c r="HR57" s="272"/>
      <c r="HS57" s="272"/>
      <c r="HT57" s="272"/>
      <c r="HU57" s="272"/>
      <c r="HV57" s="272"/>
      <c r="HW57" s="272"/>
      <c r="HX57" s="272"/>
      <c r="HY57" s="272"/>
      <c r="HZ57" s="272"/>
      <c r="IA57" s="272"/>
      <c r="IB57" s="272"/>
      <c r="IC57" s="272"/>
      <c r="ID57" s="272"/>
      <c r="IE57" s="272"/>
      <c r="IF57" s="272"/>
      <c r="IG57" s="272"/>
      <c r="IH57" s="272"/>
      <c r="II57" s="272"/>
      <c r="IJ57" s="272"/>
      <c r="IK57" s="272"/>
      <c r="IL57" s="272"/>
      <c r="IM57" s="272"/>
      <c r="IN57" s="272"/>
      <c r="IO57" s="272"/>
      <c r="IP57" s="272"/>
      <c r="IQ57" s="272"/>
      <c r="IR57" s="272"/>
      <c r="IS57" s="272"/>
      <c r="IT57" s="272"/>
      <c r="IU57" s="272"/>
      <c r="IV57" s="272"/>
      <c r="IW57" s="272"/>
      <c r="IX57" s="272"/>
      <c r="IY57" s="272"/>
      <c r="IZ57" s="272"/>
      <c r="JA57" s="272"/>
      <c r="JB57" s="272"/>
      <c r="JC57" s="272"/>
      <c r="JD57" s="272"/>
      <c r="JE57" s="272"/>
      <c r="JF57" s="272"/>
      <c r="JG57" s="272"/>
      <c r="JH57" s="272"/>
      <c r="JI57" s="272"/>
      <c r="JJ57" s="272"/>
      <c r="JK57" s="272"/>
      <c r="JL57" s="272"/>
      <c r="JM57" s="272"/>
      <c r="JN57" s="272"/>
      <c r="JO57" s="272"/>
      <c r="JP57" s="272"/>
      <c r="JQ57" s="272"/>
      <c r="JR57" s="272"/>
      <c r="JS57" s="272"/>
      <c r="JT57" s="272"/>
      <c r="JU57" s="272"/>
      <c r="JV57" s="272"/>
      <c r="JW57" s="272"/>
      <c r="JX57" s="272"/>
      <c r="JY57" s="272"/>
      <c r="JZ57" s="272"/>
      <c r="KA57" s="272"/>
      <c r="KB57" s="272"/>
      <c r="KC57" s="272"/>
      <c r="KD57" s="272"/>
      <c r="KE57" s="272"/>
      <c r="KF57" s="272"/>
      <c r="KG57" s="272"/>
      <c r="KH57" s="272"/>
      <c r="KI57" s="272"/>
      <c r="KJ57" s="272"/>
      <c r="KK57" s="272"/>
      <c r="KL57" s="272"/>
      <c r="KM57" s="272"/>
      <c r="KN57" s="272"/>
      <c r="KO57" s="272"/>
      <c r="KP57" s="272"/>
      <c r="KQ57" s="272"/>
      <c r="KR57" s="272"/>
      <c r="KS57" s="272"/>
      <c r="KT57" s="272"/>
      <c r="KU57" s="272"/>
      <c r="KV57" s="272"/>
      <c r="KW57" s="272"/>
      <c r="KX57" s="272"/>
      <c r="KY57" s="272"/>
      <c r="KZ57" s="272"/>
      <c r="LA57" s="272"/>
      <c r="LB57" s="272"/>
      <c r="LC57" s="272"/>
      <c r="LD57" s="272"/>
      <c r="LE57" s="272"/>
      <c r="LF57" s="272"/>
      <c r="LG57" s="272"/>
      <c r="LH57" s="272"/>
      <c r="LI57" s="272"/>
      <c r="LJ57" s="272"/>
      <c r="LK57" s="272"/>
      <c r="LL57" s="272"/>
      <c r="LM57" s="272"/>
      <c r="LN57" s="272"/>
      <c r="LO57" s="272"/>
      <c r="LP57" s="272"/>
      <c r="LQ57" s="272"/>
      <c r="LR57" s="272"/>
      <c r="LS57" s="272"/>
      <c r="LT57" s="272"/>
      <c r="LU57" s="272"/>
      <c r="LV57" s="272"/>
      <c r="LW57" s="272"/>
      <c r="LX57" s="272"/>
      <c r="LY57" s="272"/>
      <c r="LZ57" s="272"/>
      <c r="MA57" s="272"/>
      <c r="MB57" s="272"/>
      <c r="MC57" s="272"/>
      <c r="MD57" s="272"/>
      <c r="ME57" s="272"/>
      <c r="MF57" s="272"/>
      <c r="MG57" s="272"/>
      <c r="MH57" s="272"/>
      <c r="MI57" s="272"/>
      <c r="MJ57" s="272"/>
      <c r="MK57" s="272"/>
      <c r="ML57" s="272"/>
      <c r="MM57" s="272"/>
      <c r="MN57" s="272"/>
      <c r="MO57" s="272"/>
      <c r="MP57" s="272"/>
      <c r="MQ57" s="272"/>
      <c r="MR57" s="272"/>
      <c r="MS57" s="272"/>
      <c r="MT57" s="272"/>
      <c r="MU57" s="272"/>
      <c r="MV57" s="272"/>
      <c r="MW57" s="272"/>
      <c r="MX57" s="272"/>
      <c r="MY57" s="272"/>
      <c r="MZ57" s="272"/>
      <c r="NA57" s="272"/>
      <c r="NB57" s="272"/>
      <c r="NC57" s="272"/>
      <c r="ND57" s="272"/>
      <c r="NE57" s="272"/>
      <c r="NF57" s="272"/>
      <c r="NG57" s="272"/>
      <c r="NH57" s="272"/>
      <c r="NI57" s="272"/>
      <c r="NJ57" s="272"/>
      <c r="NK57" s="272"/>
      <c r="NL57" s="272"/>
      <c r="NM57" s="272"/>
      <c r="NN57" s="272"/>
      <c r="NO57" s="272"/>
      <c r="NP57" s="272"/>
      <c r="NQ57" s="272"/>
      <c r="NR57" s="272"/>
      <c r="NS57" s="272"/>
      <c r="NT57" s="272"/>
      <c r="NU57" s="272"/>
      <c r="NV57" s="272"/>
      <c r="NW57" s="272"/>
      <c r="NX57" s="272"/>
      <c r="NY57" s="272"/>
      <c r="NZ57" s="272"/>
      <c r="OA57" s="272"/>
      <c r="OB57" s="272"/>
      <c r="OC57" s="272"/>
      <c r="OD57" s="272"/>
      <c r="OE57" s="272"/>
      <c r="OF57" s="272"/>
      <c r="OG57" s="272"/>
      <c r="OH57" s="272"/>
      <c r="OI57" s="272"/>
      <c r="OJ57" s="272"/>
      <c r="OK57" s="272"/>
      <c r="OL57" s="272"/>
      <c r="OM57" s="272"/>
      <c r="ON57" s="272"/>
      <c r="OO57" s="272"/>
      <c r="OP57" s="272"/>
      <c r="OQ57" s="272"/>
      <c r="OR57" s="272"/>
      <c r="OS57" s="272"/>
      <c r="OT57" s="272"/>
      <c r="OU57" s="272"/>
      <c r="OV57" s="272"/>
      <c r="OW57" s="272"/>
      <c r="OX57" s="272"/>
      <c r="OY57" s="272"/>
      <c r="OZ57" s="272"/>
      <c r="PA57" s="272"/>
      <c r="PB57" s="272"/>
      <c r="PC57" s="272"/>
      <c r="PD57" s="272"/>
      <c r="PE57" s="272"/>
      <c r="PF57" s="272"/>
      <c r="PG57" s="272"/>
      <c r="PH57" s="272"/>
      <c r="PI57" s="272"/>
      <c r="PJ57" s="272"/>
      <c r="PK57" s="272"/>
      <c r="PL57" s="272"/>
      <c r="PM57" s="272"/>
      <c r="PN57" s="272"/>
      <c r="PO57" s="272"/>
      <c r="PP57" s="272"/>
      <c r="PQ57" s="272"/>
      <c r="PR57" s="272"/>
      <c r="PS57" s="272"/>
      <c r="PT57" s="272"/>
      <c r="PU57" s="272"/>
      <c r="PV57" s="272"/>
      <c r="PW57" s="272"/>
      <c r="PX57" s="272"/>
      <c r="PY57" s="272"/>
      <c r="PZ57" s="272"/>
      <c r="QA57" s="272"/>
      <c r="QB57" s="272"/>
      <c r="QC57" s="272"/>
      <c r="QD57" s="272"/>
      <c r="QE57" s="272"/>
      <c r="QF57" s="272"/>
      <c r="QG57" s="272"/>
      <c r="QH57" s="272"/>
      <c r="QI57" s="272"/>
      <c r="QJ57" s="272"/>
      <c r="QK57" s="272"/>
      <c r="QL57" s="272"/>
      <c r="QM57" s="272"/>
      <c r="QN57" s="272"/>
      <c r="QO57" s="272"/>
      <c r="QP57" s="272"/>
      <c r="QQ57" s="272"/>
      <c r="QR57" s="272"/>
      <c r="QS57" s="272"/>
      <c r="QT57" s="272"/>
      <c r="QU57" s="272"/>
      <c r="QV57" s="272"/>
      <c r="QW57" s="272"/>
      <c r="QX57" s="272"/>
      <c r="QY57" s="272"/>
      <c r="QZ57" s="272"/>
      <c r="RA57" s="272"/>
      <c r="RB57" s="272"/>
      <c r="RC57" s="272"/>
      <c r="RD57" s="272"/>
      <c r="RE57" s="272"/>
      <c r="RF57" s="272"/>
      <c r="RG57" s="272"/>
      <c r="RH57" s="272"/>
      <c r="RI57" s="272"/>
      <c r="RJ57" s="272"/>
      <c r="RK57" s="272"/>
      <c r="RL57" s="272"/>
      <c r="RM57" s="272"/>
      <c r="RN57" s="272"/>
      <c r="RO57" s="272"/>
      <c r="RP57" s="272"/>
      <c r="RQ57" s="272"/>
      <c r="RR57" s="272"/>
      <c r="RS57" s="272"/>
      <c r="RT57" s="272"/>
      <c r="RU57" s="272"/>
      <c r="RV57" s="272"/>
      <c r="RW57" s="272"/>
      <c r="RX57" s="272"/>
      <c r="RY57" s="272"/>
      <c r="RZ57" s="272"/>
      <c r="SA57" s="272"/>
      <c r="SB57" s="272"/>
      <c r="SC57" s="272"/>
      <c r="SD57" s="272"/>
      <c r="SE57" s="272"/>
      <c r="SF57" s="272"/>
      <c r="SG57" s="272"/>
      <c r="SH57" s="272"/>
      <c r="SI57" s="272"/>
      <c r="SJ57" s="272"/>
      <c r="SK57" s="272"/>
      <c r="SL57" s="272"/>
      <c r="SM57" s="272"/>
      <c r="SN57" s="272"/>
      <c r="SO57" s="272"/>
      <c r="SP57" s="272"/>
      <c r="SQ57" s="272"/>
      <c r="SR57" s="272"/>
      <c r="SS57" s="272"/>
      <c r="ST57" s="272"/>
      <c r="SU57" s="272"/>
      <c r="SV57" s="272"/>
      <c r="SW57" s="272"/>
      <c r="SX57" s="272"/>
      <c r="SY57" s="272"/>
      <c r="SZ57" s="272"/>
      <c r="TA57" s="272"/>
      <c r="TB57" s="272"/>
      <c r="TC57" s="272"/>
      <c r="TD57" s="272"/>
      <c r="TE57" s="272"/>
      <c r="TF57" s="272"/>
      <c r="TG57" s="272"/>
      <c r="TH57" s="272"/>
      <c r="TI57" s="272"/>
      <c r="TJ57" s="272"/>
      <c r="TK57" s="272"/>
      <c r="TL57" s="272"/>
      <c r="TM57" s="272"/>
      <c r="TN57" s="272"/>
      <c r="TO57" s="272"/>
      <c r="TP57" s="272"/>
      <c r="TQ57" s="272"/>
      <c r="TR57" s="272"/>
      <c r="TS57" s="272"/>
      <c r="TT57" s="272"/>
      <c r="TU57" s="272"/>
      <c r="TV57" s="272"/>
      <c r="TW57" s="272"/>
      <c r="TX57" s="272"/>
      <c r="TY57" s="272"/>
      <c r="TZ57" s="272"/>
      <c r="UA57" s="272"/>
      <c r="UB57" s="272"/>
      <c r="UC57" s="272"/>
      <c r="UD57" s="272"/>
      <c r="UE57" s="272"/>
      <c r="UF57" s="272"/>
      <c r="UG57" s="272"/>
      <c r="UH57" s="272"/>
      <c r="UI57" s="272"/>
      <c r="UJ57" s="272"/>
      <c r="UK57" s="272"/>
      <c r="UL57" s="272"/>
      <c r="UM57" s="272"/>
      <c r="UN57" s="272"/>
      <c r="UO57" s="272"/>
      <c r="UP57" s="272"/>
      <c r="UQ57" s="272"/>
      <c r="UR57" s="272"/>
      <c r="US57" s="272"/>
      <c r="UT57" s="272"/>
      <c r="UU57" s="272"/>
      <c r="UV57" s="272"/>
      <c r="UW57" s="272"/>
      <c r="UX57" s="272"/>
      <c r="UY57" s="272"/>
      <c r="UZ57" s="272"/>
      <c r="VA57" s="272"/>
      <c r="VB57" s="272"/>
      <c r="VC57" s="272"/>
      <c r="VD57" s="272"/>
      <c r="VE57" s="272"/>
      <c r="VF57" s="272"/>
      <c r="VG57" s="272"/>
      <c r="VH57" s="272"/>
      <c r="VI57" s="272"/>
      <c r="VJ57" s="272"/>
      <c r="VK57" s="272"/>
      <c r="VL57" s="272"/>
      <c r="VM57" s="272"/>
      <c r="VN57" s="272"/>
      <c r="VO57" s="272"/>
      <c r="VP57" s="272"/>
      <c r="VQ57" s="272"/>
      <c r="VR57" s="272"/>
      <c r="VS57" s="272"/>
      <c r="VT57" s="272"/>
      <c r="VU57" s="272"/>
      <c r="VV57" s="272"/>
      <c r="VW57" s="272"/>
      <c r="VX57" s="272"/>
      <c r="VY57" s="272"/>
      <c r="VZ57" s="272"/>
      <c r="WA57" s="272"/>
      <c r="WB57" s="272"/>
      <c r="WC57" s="272"/>
      <c r="WD57" s="272"/>
      <c r="WE57" s="272"/>
      <c r="WF57" s="272"/>
      <c r="WG57" s="272"/>
      <c r="WH57" s="272"/>
      <c r="WI57" s="272"/>
      <c r="WJ57" s="272"/>
      <c r="WK57" s="272"/>
      <c r="WL57" s="272"/>
      <c r="WM57" s="272"/>
      <c r="WN57" s="272"/>
      <c r="WO57" s="272"/>
      <c r="WP57" s="272"/>
      <c r="WQ57" s="272"/>
      <c r="WR57" s="272"/>
      <c r="WS57" s="272"/>
      <c r="WT57" s="272"/>
      <c r="WU57" s="272"/>
      <c r="WV57" s="272"/>
      <c r="WW57" s="272"/>
      <c r="WX57" s="272"/>
      <c r="WY57" s="272"/>
      <c r="WZ57" s="272"/>
      <c r="XA57" s="272"/>
      <c r="XB57" s="272"/>
      <c r="XC57" s="272"/>
      <c r="XD57" s="272"/>
      <c r="XE57" s="272"/>
      <c r="XF57" s="272"/>
      <c r="XG57" s="272"/>
      <c r="XH57" s="272"/>
      <c r="XI57" s="272"/>
      <c r="XJ57" s="272"/>
      <c r="XK57" s="272"/>
      <c r="XL57" s="272"/>
      <c r="XM57" s="272"/>
      <c r="XN57" s="272"/>
      <c r="XO57" s="272"/>
      <c r="XP57" s="272"/>
      <c r="XQ57" s="272"/>
      <c r="XR57" s="272"/>
      <c r="XS57" s="272"/>
      <c r="XT57" s="272"/>
      <c r="XU57" s="272"/>
      <c r="XV57" s="272"/>
      <c r="XW57" s="272"/>
      <c r="XX57" s="272"/>
      <c r="XY57" s="272"/>
      <c r="XZ57" s="272"/>
      <c r="YA57" s="272"/>
      <c r="YB57" s="272"/>
      <c r="YC57" s="272"/>
      <c r="YD57" s="272"/>
      <c r="YE57" s="272"/>
      <c r="YF57" s="272"/>
      <c r="YG57" s="272"/>
      <c r="YH57" s="272"/>
      <c r="YI57" s="272"/>
      <c r="YJ57" s="272"/>
      <c r="YK57" s="272"/>
      <c r="YL57" s="272"/>
      <c r="YM57" s="272"/>
      <c r="YN57" s="272"/>
      <c r="YO57" s="272"/>
      <c r="YP57" s="272"/>
      <c r="YQ57" s="272"/>
      <c r="YR57" s="272"/>
      <c r="YS57" s="272"/>
      <c r="YT57" s="272"/>
      <c r="YU57" s="272"/>
      <c r="YV57" s="272"/>
      <c r="YW57" s="272"/>
      <c r="YX57" s="272"/>
      <c r="YY57" s="272"/>
      <c r="YZ57" s="272"/>
      <c r="ZA57" s="272"/>
      <c r="ZB57" s="272"/>
      <c r="ZC57" s="272"/>
      <c r="ZD57" s="272"/>
      <c r="ZE57" s="272"/>
      <c r="ZF57" s="272"/>
      <c r="ZG57" s="272"/>
      <c r="ZH57" s="272"/>
      <c r="ZI57" s="272"/>
      <c r="ZJ57" s="272"/>
      <c r="ZK57" s="272"/>
      <c r="ZL57" s="272"/>
      <c r="ZM57" s="272"/>
      <c r="ZN57" s="272"/>
      <c r="ZO57" s="272"/>
      <c r="ZP57" s="272"/>
      <c r="ZQ57" s="272"/>
      <c r="ZR57" s="272"/>
      <c r="ZS57" s="272"/>
      <c r="ZT57" s="272"/>
      <c r="ZU57" s="272"/>
      <c r="ZV57" s="272"/>
      <c r="ZW57" s="272"/>
      <c r="ZX57" s="272"/>
      <c r="ZY57" s="272"/>
      <c r="ZZ57" s="272"/>
      <c r="AAA57" s="272"/>
      <c r="AAB57" s="272"/>
      <c r="AAC57" s="272"/>
      <c r="AAD57" s="272"/>
      <c r="AAE57" s="272"/>
      <c r="AAF57" s="272"/>
      <c r="AAG57" s="272"/>
      <c r="AAH57" s="272"/>
      <c r="AAI57" s="272"/>
      <c r="AAJ57" s="272"/>
      <c r="AAK57" s="272"/>
      <c r="AAL57" s="272"/>
      <c r="AAM57" s="272"/>
      <c r="AAN57" s="272"/>
      <c r="AAO57" s="272"/>
      <c r="AAP57" s="272"/>
      <c r="AAQ57" s="272"/>
      <c r="AAR57" s="272"/>
      <c r="AAS57" s="272"/>
      <c r="AAT57" s="272"/>
      <c r="AAU57" s="272"/>
      <c r="AAV57" s="272"/>
      <c r="AAW57" s="272"/>
      <c r="AAX57" s="272"/>
      <c r="AAY57" s="272"/>
      <c r="AAZ57" s="272"/>
      <c r="ABA57" s="272"/>
      <c r="ABB57" s="272"/>
      <c r="ABC57" s="272"/>
      <c r="ABD57" s="272"/>
      <c r="ABE57" s="272"/>
      <c r="ABF57" s="272"/>
      <c r="ABG57" s="272"/>
    </row>
    <row r="58" spans="1:735" s="61" customFormat="1" ht="38.25">
      <c r="A58" s="67" t="s">
        <v>43</v>
      </c>
      <c r="B58" s="68" t="s">
        <v>44</v>
      </c>
      <c r="C58" s="30" t="s">
        <v>52</v>
      </c>
      <c r="D58" s="501"/>
      <c r="E58" s="501"/>
      <c r="F58" s="503"/>
      <c r="G58" s="504"/>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c r="FF58" s="272"/>
      <c r="FG58" s="272"/>
      <c r="FH58" s="272"/>
      <c r="FI58" s="272"/>
      <c r="FJ58" s="272"/>
      <c r="FK58" s="272"/>
      <c r="FL58" s="272"/>
      <c r="FM58" s="272"/>
      <c r="FN58" s="272"/>
      <c r="FO58" s="272"/>
      <c r="FP58" s="272"/>
      <c r="FQ58" s="272"/>
      <c r="FR58" s="272"/>
      <c r="FS58" s="272"/>
      <c r="FT58" s="272"/>
      <c r="FU58" s="272"/>
      <c r="FV58" s="272"/>
      <c r="FW58" s="272"/>
      <c r="FX58" s="272"/>
      <c r="FY58" s="272"/>
      <c r="FZ58" s="272"/>
      <c r="GA58" s="272"/>
      <c r="GB58" s="272"/>
      <c r="GC58" s="272"/>
      <c r="GD58" s="272"/>
      <c r="GE58" s="272"/>
      <c r="GF58" s="272"/>
      <c r="GG58" s="272"/>
      <c r="GH58" s="272"/>
      <c r="GI58" s="272"/>
      <c r="GJ58" s="272"/>
      <c r="GK58" s="272"/>
      <c r="GL58" s="272"/>
      <c r="GM58" s="272"/>
      <c r="GN58" s="272"/>
      <c r="GO58" s="272"/>
      <c r="GP58" s="272"/>
      <c r="GQ58" s="272"/>
      <c r="GR58" s="272"/>
      <c r="GS58" s="272"/>
      <c r="GT58" s="272"/>
      <c r="GU58" s="272"/>
      <c r="GV58" s="272"/>
      <c r="GW58" s="272"/>
      <c r="GX58" s="272"/>
      <c r="GY58" s="272"/>
      <c r="GZ58" s="272"/>
      <c r="HA58" s="272"/>
      <c r="HB58" s="272"/>
      <c r="HC58" s="272"/>
      <c r="HD58" s="272"/>
      <c r="HE58" s="272"/>
      <c r="HF58" s="272"/>
      <c r="HG58" s="272"/>
      <c r="HH58" s="272"/>
      <c r="HI58" s="272"/>
      <c r="HJ58" s="272"/>
      <c r="HK58" s="272"/>
      <c r="HL58" s="272"/>
      <c r="HM58" s="272"/>
      <c r="HN58" s="272"/>
      <c r="HO58" s="272"/>
      <c r="HP58" s="272"/>
      <c r="HQ58" s="272"/>
      <c r="HR58" s="272"/>
      <c r="HS58" s="272"/>
      <c r="HT58" s="272"/>
      <c r="HU58" s="272"/>
      <c r="HV58" s="272"/>
      <c r="HW58" s="272"/>
      <c r="HX58" s="272"/>
      <c r="HY58" s="272"/>
      <c r="HZ58" s="272"/>
      <c r="IA58" s="272"/>
      <c r="IB58" s="272"/>
      <c r="IC58" s="272"/>
      <c r="ID58" s="272"/>
      <c r="IE58" s="272"/>
      <c r="IF58" s="272"/>
      <c r="IG58" s="272"/>
      <c r="IH58" s="272"/>
      <c r="II58" s="272"/>
      <c r="IJ58" s="272"/>
      <c r="IK58" s="272"/>
      <c r="IL58" s="272"/>
      <c r="IM58" s="272"/>
      <c r="IN58" s="272"/>
      <c r="IO58" s="272"/>
      <c r="IP58" s="272"/>
      <c r="IQ58" s="272"/>
      <c r="IR58" s="272"/>
      <c r="IS58" s="272"/>
      <c r="IT58" s="272"/>
      <c r="IU58" s="272"/>
      <c r="IV58" s="272"/>
      <c r="IW58" s="272"/>
      <c r="IX58" s="272"/>
      <c r="IY58" s="272"/>
      <c r="IZ58" s="272"/>
      <c r="JA58" s="272"/>
      <c r="JB58" s="272"/>
      <c r="JC58" s="272"/>
      <c r="JD58" s="272"/>
      <c r="JE58" s="272"/>
      <c r="JF58" s="272"/>
      <c r="JG58" s="272"/>
      <c r="JH58" s="272"/>
      <c r="JI58" s="272"/>
      <c r="JJ58" s="272"/>
      <c r="JK58" s="272"/>
      <c r="JL58" s="272"/>
      <c r="JM58" s="272"/>
      <c r="JN58" s="272"/>
      <c r="JO58" s="272"/>
      <c r="JP58" s="272"/>
      <c r="JQ58" s="272"/>
      <c r="JR58" s="272"/>
      <c r="JS58" s="272"/>
      <c r="JT58" s="272"/>
      <c r="JU58" s="272"/>
      <c r="JV58" s="272"/>
      <c r="JW58" s="272"/>
      <c r="JX58" s="272"/>
      <c r="JY58" s="272"/>
      <c r="JZ58" s="272"/>
      <c r="KA58" s="272"/>
      <c r="KB58" s="272"/>
      <c r="KC58" s="272"/>
      <c r="KD58" s="272"/>
      <c r="KE58" s="272"/>
      <c r="KF58" s="272"/>
      <c r="KG58" s="272"/>
      <c r="KH58" s="272"/>
      <c r="KI58" s="272"/>
      <c r="KJ58" s="272"/>
      <c r="KK58" s="272"/>
      <c r="KL58" s="272"/>
      <c r="KM58" s="272"/>
      <c r="KN58" s="272"/>
      <c r="KO58" s="272"/>
      <c r="KP58" s="272"/>
      <c r="KQ58" s="272"/>
      <c r="KR58" s="272"/>
      <c r="KS58" s="272"/>
      <c r="KT58" s="272"/>
      <c r="KU58" s="272"/>
      <c r="KV58" s="272"/>
      <c r="KW58" s="272"/>
      <c r="KX58" s="272"/>
      <c r="KY58" s="272"/>
      <c r="KZ58" s="272"/>
      <c r="LA58" s="272"/>
      <c r="LB58" s="272"/>
      <c r="LC58" s="272"/>
      <c r="LD58" s="272"/>
      <c r="LE58" s="272"/>
      <c r="LF58" s="272"/>
      <c r="LG58" s="272"/>
      <c r="LH58" s="272"/>
      <c r="LI58" s="272"/>
      <c r="LJ58" s="272"/>
      <c r="LK58" s="272"/>
      <c r="LL58" s="272"/>
      <c r="LM58" s="272"/>
      <c r="LN58" s="272"/>
      <c r="LO58" s="272"/>
      <c r="LP58" s="272"/>
      <c r="LQ58" s="272"/>
      <c r="LR58" s="272"/>
      <c r="LS58" s="272"/>
      <c r="LT58" s="272"/>
      <c r="LU58" s="272"/>
      <c r="LV58" s="272"/>
      <c r="LW58" s="272"/>
      <c r="LX58" s="272"/>
      <c r="LY58" s="272"/>
      <c r="LZ58" s="272"/>
      <c r="MA58" s="272"/>
      <c r="MB58" s="272"/>
      <c r="MC58" s="272"/>
      <c r="MD58" s="272"/>
      <c r="ME58" s="272"/>
      <c r="MF58" s="272"/>
      <c r="MG58" s="272"/>
      <c r="MH58" s="272"/>
      <c r="MI58" s="272"/>
      <c r="MJ58" s="272"/>
      <c r="MK58" s="272"/>
      <c r="ML58" s="272"/>
      <c r="MM58" s="272"/>
      <c r="MN58" s="272"/>
      <c r="MO58" s="272"/>
      <c r="MP58" s="272"/>
      <c r="MQ58" s="272"/>
      <c r="MR58" s="272"/>
      <c r="MS58" s="272"/>
      <c r="MT58" s="272"/>
      <c r="MU58" s="272"/>
      <c r="MV58" s="272"/>
      <c r="MW58" s="272"/>
      <c r="MX58" s="272"/>
      <c r="MY58" s="272"/>
      <c r="MZ58" s="272"/>
      <c r="NA58" s="272"/>
      <c r="NB58" s="272"/>
      <c r="NC58" s="272"/>
      <c r="ND58" s="272"/>
      <c r="NE58" s="272"/>
      <c r="NF58" s="272"/>
      <c r="NG58" s="272"/>
      <c r="NH58" s="272"/>
      <c r="NI58" s="272"/>
      <c r="NJ58" s="272"/>
      <c r="NK58" s="272"/>
      <c r="NL58" s="272"/>
      <c r="NM58" s="272"/>
      <c r="NN58" s="272"/>
      <c r="NO58" s="272"/>
      <c r="NP58" s="272"/>
      <c r="NQ58" s="272"/>
      <c r="NR58" s="272"/>
      <c r="NS58" s="272"/>
      <c r="NT58" s="272"/>
      <c r="NU58" s="272"/>
      <c r="NV58" s="272"/>
      <c r="NW58" s="272"/>
      <c r="NX58" s="272"/>
      <c r="NY58" s="272"/>
      <c r="NZ58" s="272"/>
      <c r="OA58" s="272"/>
      <c r="OB58" s="272"/>
      <c r="OC58" s="272"/>
      <c r="OD58" s="272"/>
      <c r="OE58" s="272"/>
      <c r="OF58" s="272"/>
      <c r="OG58" s="272"/>
      <c r="OH58" s="272"/>
      <c r="OI58" s="272"/>
      <c r="OJ58" s="272"/>
      <c r="OK58" s="272"/>
      <c r="OL58" s="272"/>
      <c r="OM58" s="272"/>
      <c r="ON58" s="272"/>
      <c r="OO58" s="272"/>
      <c r="OP58" s="272"/>
      <c r="OQ58" s="272"/>
      <c r="OR58" s="272"/>
      <c r="OS58" s="272"/>
      <c r="OT58" s="272"/>
      <c r="OU58" s="272"/>
      <c r="OV58" s="272"/>
      <c r="OW58" s="272"/>
      <c r="OX58" s="272"/>
      <c r="OY58" s="272"/>
      <c r="OZ58" s="272"/>
      <c r="PA58" s="272"/>
      <c r="PB58" s="272"/>
      <c r="PC58" s="272"/>
      <c r="PD58" s="272"/>
      <c r="PE58" s="272"/>
      <c r="PF58" s="272"/>
      <c r="PG58" s="272"/>
      <c r="PH58" s="272"/>
      <c r="PI58" s="272"/>
      <c r="PJ58" s="272"/>
      <c r="PK58" s="272"/>
      <c r="PL58" s="272"/>
      <c r="PM58" s="272"/>
      <c r="PN58" s="272"/>
      <c r="PO58" s="272"/>
      <c r="PP58" s="272"/>
      <c r="PQ58" s="272"/>
      <c r="PR58" s="272"/>
      <c r="PS58" s="272"/>
      <c r="PT58" s="272"/>
      <c r="PU58" s="272"/>
      <c r="PV58" s="272"/>
      <c r="PW58" s="272"/>
      <c r="PX58" s="272"/>
      <c r="PY58" s="272"/>
      <c r="PZ58" s="272"/>
      <c r="QA58" s="272"/>
      <c r="QB58" s="272"/>
      <c r="QC58" s="272"/>
      <c r="QD58" s="272"/>
      <c r="QE58" s="272"/>
      <c r="QF58" s="272"/>
      <c r="QG58" s="272"/>
      <c r="QH58" s="272"/>
      <c r="QI58" s="272"/>
      <c r="QJ58" s="272"/>
      <c r="QK58" s="272"/>
      <c r="QL58" s="272"/>
      <c r="QM58" s="272"/>
      <c r="QN58" s="272"/>
      <c r="QO58" s="272"/>
      <c r="QP58" s="272"/>
      <c r="QQ58" s="272"/>
      <c r="QR58" s="272"/>
      <c r="QS58" s="272"/>
      <c r="QT58" s="272"/>
      <c r="QU58" s="272"/>
      <c r="QV58" s="272"/>
      <c r="QW58" s="272"/>
      <c r="QX58" s="272"/>
      <c r="QY58" s="272"/>
      <c r="QZ58" s="272"/>
      <c r="RA58" s="272"/>
      <c r="RB58" s="272"/>
      <c r="RC58" s="272"/>
      <c r="RD58" s="272"/>
      <c r="RE58" s="272"/>
      <c r="RF58" s="272"/>
      <c r="RG58" s="272"/>
      <c r="RH58" s="272"/>
      <c r="RI58" s="272"/>
      <c r="RJ58" s="272"/>
      <c r="RK58" s="272"/>
      <c r="RL58" s="272"/>
      <c r="RM58" s="272"/>
      <c r="RN58" s="272"/>
      <c r="RO58" s="272"/>
      <c r="RP58" s="272"/>
      <c r="RQ58" s="272"/>
      <c r="RR58" s="272"/>
      <c r="RS58" s="272"/>
      <c r="RT58" s="272"/>
      <c r="RU58" s="272"/>
      <c r="RV58" s="272"/>
      <c r="RW58" s="272"/>
      <c r="RX58" s="272"/>
      <c r="RY58" s="272"/>
      <c r="RZ58" s="272"/>
      <c r="SA58" s="272"/>
      <c r="SB58" s="272"/>
      <c r="SC58" s="272"/>
      <c r="SD58" s="272"/>
      <c r="SE58" s="272"/>
      <c r="SF58" s="272"/>
      <c r="SG58" s="272"/>
      <c r="SH58" s="272"/>
      <c r="SI58" s="272"/>
      <c r="SJ58" s="272"/>
      <c r="SK58" s="272"/>
      <c r="SL58" s="272"/>
      <c r="SM58" s="272"/>
      <c r="SN58" s="272"/>
      <c r="SO58" s="272"/>
      <c r="SP58" s="272"/>
      <c r="SQ58" s="272"/>
      <c r="SR58" s="272"/>
      <c r="SS58" s="272"/>
      <c r="ST58" s="272"/>
      <c r="SU58" s="272"/>
      <c r="SV58" s="272"/>
      <c r="SW58" s="272"/>
      <c r="SX58" s="272"/>
      <c r="SY58" s="272"/>
      <c r="SZ58" s="272"/>
      <c r="TA58" s="272"/>
      <c r="TB58" s="272"/>
      <c r="TC58" s="272"/>
      <c r="TD58" s="272"/>
      <c r="TE58" s="272"/>
      <c r="TF58" s="272"/>
      <c r="TG58" s="272"/>
      <c r="TH58" s="272"/>
      <c r="TI58" s="272"/>
      <c r="TJ58" s="272"/>
      <c r="TK58" s="272"/>
      <c r="TL58" s="272"/>
      <c r="TM58" s="272"/>
      <c r="TN58" s="272"/>
      <c r="TO58" s="272"/>
      <c r="TP58" s="272"/>
      <c r="TQ58" s="272"/>
      <c r="TR58" s="272"/>
      <c r="TS58" s="272"/>
      <c r="TT58" s="272"/>
      <c r="TU58" s="272"/>
      <c r="TV58" s="272"/>
      <c r="TW58" s="272"/>
      <c r="TX58" s="272"/>
      <c r="TY58" s="272"/>
      <c r="TZ58" s="272"/>
      <c r="UA58" s="272"/>
      <c r="UB58" s="272"/>
      <c r="UC58" s="272"/>
      <c r="UD58" s="272"/>
      <c r="UE58" s="272"/>
      <c r="UF58" s="272"/>
      <c r="UG58" s="272"/>
      <c r="UH58" s="272"/>
      <c r="UI58" s="272"/>
      <c r="UJ58" s="272"/>
      <c r="UK58" s="272"/>
      <c r="UL58" s="272"/>
      <c r="UM58" s="272"/>
      <c r="UN58" s="272"/>
      <c r="UO58" s="272"/>
      <c r="UP58" s="272"/>
      <c r="UQ58" s="272"/>
      <c r="UR58" s="272"/>
      <c r="US58" s="272"/>
      <c r="UT58" s="272"/>
      <c r="UU58" s="272"/>
      <c r="UV58" s="272"/>
      <c r="UW58" s="272"/>
      <c r="UX58" s="272"/>
      <c r="UY58" s="272"/>
      <c r="UZ58" s="272"/>
      <c r="VA58" s="272"/>
      <c r="VB58" s="272"/>
      <c r="VC58" s="272"/>
      <c r="VD58" s="272"/>
      <c r="VE58" s="272"/>
      <c r="VF58" s="272"/>
      <c r="VG58" s="272"/>
      <c r="VH58" s="272"/>
      <c r="VI58" s="272"/>
      <c r="VJ58" s="272"/>
      <c r="VK58" s="272"/>
      <c r="VL58" s="272"/>
      <c r="VM58" s="272"/>
      <c r="VN58" s="272"/>
      <c r="VO58" s="272"/>
      <c r="VP58" s="272"/>
      <c r="VQ58" s="272"/>
      <c r="VR58" s="272"/>
      <c r="VS58" s="272"/>
      <c r="VT58" s="272"/>
      <c r="VU58" s="272"/>
      <c r="VV58" s="272"/>
      <c r="VW58" s="272"/>
      <c r="VX58" s="272"/>
      <c r="VY58" s="272"/>
      <c r="VZ58" s="272"/>
      <c r="WA58" s="272"/>
      <c r="WB58" s="272"/>
      <c r="WC58" s="272"/>
      <c r="WD58" s="272"/>
      <c r="WE58" s="272"/>
      <c r="WF58" s="272"/>
      <c r="WG58" s="272"/>
      <c r="WH58" s="272"/>
      <c r="WI58" s="272"/>
      <c r="WJ58" s="272"/>
      <c r="WK58" s="272"/>
      <c r="WL58" s="272"/>
      <c r="WM58" s="272"/>
      <c r="WN58" s="272"/>
      <c r="WO58" s="272"/>
      <c r="WP58" s="272"/>
      <c r="WQ58" s="272"/>
      <c r="WR58" s="272"/>
      <c r="WS58" s="272"/>
      <c r="WT58" s="272"/>
      <c r="WU58" s="272"/>
      <c r="WV58" s="272"/>
      <c r="WW58" s="272"/>
      <c r="WX58" s="272"/>
      <c r="WY58" s="272"/>
      <c r="WZ58" s="272"/>
      <c r="XA58" s="272"/>
      <c r="XB58" s="272"/>
      <c r="XC58" s="272"/>
      <c r="XD58" s="272"/>
      <c r="XE58" s="272"/>
      <c r="XF58" s="272"/>
      <c r="XG58" s="272"/>
      <c r="XH58" s="272"/>
      <c r="XI58" s="272"/>
      <c r="XJ58" s="272"/>
      <c r="XK58" s="272"/>
      <c r="XL58" s="272"/>
      <c r="XM58" s="272"/>
      <c r="XN58" s="272"/>
      <c r="XO58" s="272"/>
      <c r="XP58" s="272"/>
      <c r="XQ58" s="272"/>
      <c r="XR58" s="272"/>
      <c r="XS58" s="272"/>
      <c r="XT58" s="272"/>
      <c r="XU58" s="272"/>
      <c r="XV58" s="272"/>
      <c r="XW58" s="272"/>
      <c r="XX58" s="272"/>
      <c r="XY58" s="272"/>
      <c r="XZ58" s="272"/>
      <c r="YA58" s="272"/>
      <c r="YB58" s="272"/>
      <c r="YC58" s="272"/>
      <c r="YD58" s="272"/>
      <c r="YE58" s="272"/>
      <c r="YF58" s="272"/>
      <c r="YG58" s="272"/>
      <c r="YH58" s="272"/>
      <c r="YI58" s="272"/>
      <c r="YJ58" s="272"/>
      <c r="YK58" s="272"/>
      <c r="YL58" s="272"/>
      <c r="YM58" s="272"/>
      <c r="YN58" s="272"/>
      <c r="YO58" s="272"/>
      <c r="YP58" s="272"/>
      <c r="YQ58" s="272"/>
      <c r="YR58" s="272"/>
      <c r="YS58" s="272"/>
      <c r="YT58" s="272"/>
      <c r="YU58" s="272"/>
      <c r="YV58" s="272"/>
      <c r="YW58" s="272"/>
      <c r="YX58" s="272"/>
      <c r="YY58" s="272"/>
      <c r="YZ58" s="272"/>
      <c r="ZA58" s="272"/>
      <c r="ZB58" s="272"/>
      <c r="ZC58" s="272"/>
      <c r="ZD58" s="272"/>
      <c r="ZE58" s="272"/>
      <c r="ZF58" s="272"/>
      <c r="ZG58" s="272"/>
      <c r="ZH58" s="272"/>
      <c r="ZI58" s="272"/>
      <c r="ZJ58" s="272"/>
      <c r="ZK58" s="272"/>
      <c r="ZL58" s="272"/>
      <c r="ZM58" s="272"/>
      <c r="ZN58" s="272"/>
      <c r="ZO58" s="272"/>
      <c r="ZP58" s="272"/>
      <c r="ZQ58" s="272"/>
      <c r="ZR58" s="272"/>
      <c r="ZS58" s="272"/>
      <c r="ZT58" s="272"/>
      <c r="ZU58" s="272"/>
      <c r="ZV58" s="272"/>
      <c r="ZW58" s="272"/>
      <c r="ZX58" s="272"/>
      <c r="ZY58" s="272"/>
      <c r="ZZ58" s="272"/>
      <c r="AAA58" s="272"/>
      <c r="AAB58" s="272"/>
      <c r="AAC58" s="272"/>
      <c r="AAD58" s="272"/>
      <c r="AAE58" s="272"/>
      <c r="AAF58" s="272"/>
      <c r="AAG58" s="272"/>
      <c r="AAH58" s="272"/>
      <c r="AAI58" s="272"/>
      <c r="AAJ58" s="272"/>
      <c r="AAK58" s="272"/>
      <c r="AAL58" s="272"/>
      <c r="AAM58" s="272"/>
      <c r="AAN58" s="272"/>
      <c r="AAO58" s="272"/>
      <c r="AAP58" s="272"/>
      <c r="AAQ58" s="272"/>
      <c r="AAR58" s="272"/>
      <c r="AAS58" s="272"/>
      <c r="AAT58" s="272"/>
      <c r="AAU58" s="272"/>
      <c r="AAV58" s="272"/>
      <c r="AAW58" s="272"/>
      <c r="AAX58" s="272"/>
      <c r="AAY58" s="272"/>
      <c r="AAZ58" s="272"/>
      <c r="ABA58" s="272"/>
      <c r="ABB58" s="272"/>
      <c r="ABC58" s="272"/>
      <c r="ABD58" s="272"/>
      <c r="ABE58" s="272"/>
      <c r="ABF58" s="272"/>
      <c r="ABG58" s="272"/>
    </row>
    <row r="59" spans="1:735" s="19" customFormat="1" ht="15">
      <c r="A59" s="47"/>
      <c r="B59" s="74"/>
      <c r="C59" s="20" t="s">
        <v>53</v>
      </c>
      <c r="D59" s="508"/>
      <c r="E59" s="517"/>
      <c r="F59" s="506"/>
      <c r="G59" s="507"/>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c r="DJ59" s="272"/>
      <c r="DK59" s="272"/>
      <c r="DL59" s="272"/>
      <c r="DM59" s="272"/>
      <c r="DN59" s="272"/>
      <c r="DO59" s="272"/>
      <c r="DP59" s="272"/>
      <c r="DQ59" s="272"/>
      <c r="DR59" s="272"/>
      <c r="DS59" s="272"/>
      <c r="DT59" s="272"/>
      <c r="DU59" s="272"/>
      <c r="DV59" s="272"/>
      <c r="DW59" s="272"/>
      <c r="DX59" s="272"/>
      <c r="DY59" s="272"/>
      <c r="DZ59" s="272"/>
      <c r="EA59" s="272"/>
      <c r="EB59" s="272"/>
      <c r="EC59" s="272"/>
      <c r="ED59" s="272"/>
      <c r="EE59" s="272"/>
      <c r="EF59" s="272"/>
      <c r="EG59" s="272"/>
      <c r="EH59" s="272"/>
      <c r="EI59" s="272"/>
      <c r="EJ59" s="272"/>
      <c r="EK59" s="272"/>
      <c r="EL59" s="272"/>
      <c r="EM59" s="272"/>
      <c r="EN59" s="272"/>
      <c r="EO59" s="272"/>
      <c r="EP59" s="272"/>
      <c r="EQ59" s="272"/>
      <c r="ER59" s="272"/>
      <c r="ES59" s="272"/>
      <c r="ET59" s="272"/>
      <c r="EU59" s="272"/>
      <c r="EV59" s="272"/>
      <c r="EW59" s="272"/>
      <c r="EX59" s="272"/>
      <c r="EY59" s="272"/>
      <c r="EZ59" s="272"/>
      <c r="FA59" s="272"/>
      <c r="FB59" s="272"/>
      <c r="FC59" s="272"/>
      <c r="FD59" s="272"/>
      <c r="FE59" s="272"/>
      <c r="FF59" s="272"/>
      <c r="FG59" s="272"/>
      <c r="FH59" s="272"/>
      <c r="FI59" s="272"/>
      <c r="FJ59" s="272"/>
      <c r="FK59" s="272"/>
      <c r="FL59" s="272"/>
      <c r="FM59" s="272"/>
      <c r="FN59" s="272"/>
      <c r="FO59" s="272"/>
      <c r="FP59" s="272"/>
      <c r="FQ59" s="272"/>
      <c r="FR59" s="272"/>
      <c r="FS59" s="272"/>
      <c r="FT59" s="272"/>
      <c r="FU59" s="272"/>
      <c r="FV59" s="272"/>
      <c r="FW59" s="272"/>
      <c r="FX59" s="272"/>
      <c r="FY59" s="272"/>
      <c r="FZ59" s="272"/>
      <c r="GA59" s="272"/>
      <c r="GB59" s="272"/>
      <c r="GC59" s="272"/>
      <c r="GD59" s="272"/>
      <c r="GE59" s="272"/>
      <c r="GF59" s="272"/>
      <c r="GG59" s="272"/>
      <c r="GH59" s="272"/>
      <c r="GI59" s="272"/>
      <c r="GJ59" s="272"/>
      <c r="GK59" s="272"/>
      <c r="GL59" s="272"/>
      <c r="GM59" s="272"/>
      <c r="GN59" s="272"/>
      <c r="GO59" s="272"/>
      <c r="GP59" s="272"/>
      <c r="GQ59" s="272"/>
      <c r="GR59" s="272"/>
      <c r="GS59" s="272"/>
      <c r="GT59" s="272"/>
      <c r="GU59" s="272"/>
      <c r="GV59" s="272"/>
      <c r="GW59" s="272"/>
      <c r="GX59" s="272"/>
      <c r="GY59" s="272"/>
      <c r="GZ59" s="272"/>
      <c r="HA59" s="272"/>
      <c r="HB59" s="272"/>
      <c r="HC59" s="272"/>
      <c r="HD59" s="272"/>
      <c r="HE59" s="272"/>
      <c r="HF59" s="272"/>
      <c r="HG59" s="272"/>
      <c r="HH59" s="272"/>
      <c r="HI59" s="272"/>
      <c r="HJ59" s="272"/>
      <c r="HK59" s="272"/>
      <c r="HL59" s="272"/>
      <c r="HM59" s="272"/>
      <c r="HN59" s="272"/>
      <c r="HO59" s="272"/>
      <c r="HP59" s="272"/>
      <c r="HQ59" s="272"/>
      <c r="HR59" s="272"/>
      <c r="HS59" s="272"/>
      <c r="HT59" s="272"/>
      <c r="HU59" s="272"/>
      <c r="HV59" s="272"/>
      <c r="HW59" s="272"/>
      <c r="HX59" s="272"/>
      <c r="HY59" s="272"/>
      <c r="HZ59" s="272"/>
      <c r="IA59" s="272"/>
      <c r="IB59" s="272"/>
      <c r="IC59" s="272"/>
      <c r="ID59" s="272"/>
      <c r="IE59" s="272"/>
      <c r="IF59" s="272"/>
      <c r="IG59" s="272"/>
      <c r="IH59" s="272"/>
      <c r="II59" s="272"/>
      <c r="IJ59" s="272"/>
      <c r="IK59" s="272"/>
      <c r="IL59" s="272"/>
      <c r="IM59" s="272"/>
      <c r="IN59" s="272"/>
      <c r="IO59" s="272"/>
      <c r="IP59" s="272"/>
      <c r="IQ59" s="272"/>
      <c r="IR59" s="272"/>
      <c r="IS59" s="272"/>
      <c r="IT59" s="272"/>
      <c r="IU59" s="272"/>
      <c r="IV59" s="272"/>
      <c r="IW59" s="272"/>
      <c r="IX59" s="272"/>
      <c r="IY59" s="272"/>
      <c r="IZ59" s="272"/>
      <c r="JA59" s="272"/>
      <c r="JB59" s="272"/>
      <c r="JC59" s="272"/>
      <c r="JD59" s="272"/>
      <c r="JE59" s="272"/>
      <c r="JF59" s="272"/>
      <c r="JG59" s="272"/>
      <c r="JH59" s="272"/>
      <c r="JI59" s="272"/>
      <c r="JJ59" s="272"/>
      <c r="JK59" s="272"/>
      <c r="JL59" s="272"/>
      <c r="JM59" s="272"/>
      <c r="JN59" s="272"/>
      <c r="JO59" s="272"/>
      <c r="JP59" s="272"/>
      <c r="JQ59" s="272"/>
      <c r="JR59" s="272"/>
      <c r="JS59" s="272"/>
      <c r="JT59" s="272"/>
      <c r="JU59" s="272"/>
      <c r="JV59" s="272"/>
      <c r="JW59" s="272"/>
      <c r="JX59" s="272"/>
      <c r="JY59" s="272"/>
      <c r="JZ59" s="272"/>
      <c r="KA59" s="272"/>
      <c r="KB59" s="272"/>
      <c r="KC59" s="272"/>
      <c r="KD59" s="272"/>
      <c r="KE59" s="272"/>
      <c r="KF59" s="272"/>
      <c r="KG59" s="272"/>
      <c r="KH59" s="272"/>
      <c r="KI59" s="272"/>
      <c r="KJ59" s="272"/>
      <c r="KK59" s="272"/>
      <c r="KL59" s="272"/>
      <c r="KM59" s="272"/>
      <c r="KN59" s="272"/>
      <c r="KO59" s="272"/>
      <c r="KP59" s="272"/>
      <c r="KQ59" s="272"/>
      <c r="KR59" s="272"/>
      <c r="KS59" s="272"/>
      <c r="KT59" s="272"/>
      <c r="KU59" s="272"/>
      <c r="KV59" s="272"/>
      <c r="KW59" s="272"/>
      <c r="KX59" s="272"/>
      <c r="KY59" s="272"/>
      <c r="KZ59" s="272"/>
      <c r="LA59" s="272"/>
      <c r="LB59" s="272"/>
      <c r="LC59" s="272"/>
      <c r="LD59" s="272"/>
      <c r="LE59" s="272"/>
      <c r="LF59" s="272"/>
      <c r="LG59" s="272"/>
      <c r="LH59" s="272"/>
      <c r="LI59" s="272"/>
      <c r="LJ59" s="272"/>
      <c r="LK59" s="272"/>
      <c r="LL59" s="272"/>
      <c r="LM59" s="272"/>
      <c r="LN59" s="272"/>
      <c r="LO59" s="272"/>
      <c r="LP59" s="272"/>
      <c r="LQ59" s="272"/>
      <c r="LR59" s="272"/>
      <c r="LS59" s="272"/>
      <c r="LT59" s="272"/>
      <c r="LU59" s="272"/>
      <c r="LV59" s="272"/>
      <c r="LW59" s="272"/>
      <c r="LX59" s="272"/>
      <c r="LY59" s="272"/>
      <c r="LZ59" s="272"/>
      <c r="MA59" s="272"/>
      <c r="MB59" s="272"/>
      <c r="MC59" s="272"/>
      <c r="MD59" s="272"/>
      <c r="ME59" s="272"/>
      <c r="MF59" s="272"/>
      <c r="MG59" s="272"/>
      <c r="MH59" s="272"/>
      <c r="MI59" s="272"/>
      <c r="MJ59" s="272"/>
      <c r="MK59" s="272"/>
      <c r="ML59" s="272"/>
      <c r="MM59" s="272"/>
      <c r="MN59" s="272"/>
      <c r="MO59" s="272"/>
      <c r="MP59" s="272"/>
      <c r="MQ59" s="272"/>
      <c r="MR59" s="272"/>
      <c r="MS59" s="272"/>
      <c r="MT59" s="272"/>
      <c r="MU59" s="272"/>
      <c r="MV59" s="272"/>
      <c r="MW59" s="272"/>
      <c r="MX59" s="272"/>
      <c r="MY59" s="272"/>
      <c r="MZ59" s="272"/>
      <c r="NA59" s="272"/>
      <c r="NB59" s="272"/>
      <c r="NC59" s="272"/>
      <c r="ND59" s="272"/>
      <c r="NE59" s="272"/>
      <c r="NF59" s="272"/>
      <c r="NG59" s="272"/>
      <c r="NH59" s="272"/>
      <c r="NI59" s="272"/>
      <c r="NJ59" s="272"/>
      <c r="NK59" s="272"/>
      <c r="NL59" s="272"/>
      <c r="NM59" s="272"/>
      <c r="NN59" s="272"/>
      <c r="NO59" s="272"/>
      <c r="NP59" s="272"/>
      <c r="NQ59" s="272"/>
      <c r="NR59" s="272"/>
      <c r="NS59" s="272"/>
      <c r="NT59" s="272"/>
      <c r="NU59" s="272"/>
      <c r="NV59" s="272"/>
      <c r="NW59" s="272"/>
      <c r="NX59" s="272"/>
      <c r="NY59" s="272"/>
      <c r="NZ59" s="272"/>
      <c r="OA59" s="272"/>
      <c r="OB59" s="272"/>
      <c r="OC59" s="272"/>
      <c r="OD59" s="272"/>
      <c r="OE59" s="272"/>
      <c r="OF59" s="272"/>
      <c r="OG59" s="272"/>
      <c r="OH59" s="272"/>
      <c r="OI59" s="272"/>
      <c r="OJ59" s="272"/>
      <c r="OK59" s="272"/>
      <c r="OL59" s="272"/>
      <c r="OM59" s="272"/>
      <c r="ON59" s="272"/>
      <c r="OO59" s="272"/>
      <c r="OP59" s="272"/>
      <c r="OQ59" s="272"/>
      <c r="OR59" s="272"/>
      <c r="OS59" s="272"/>
      <c r="OT59" s="272"/>
      <c r="OU59" s="272"/>
      <c r="OV59" s="272"/>
      <c r="OW59" s="272"/>
      <c r="OX59" s="272"/>
      <c r="OY59" s="272"/>
      <c r="OZ59" s="272"/>
      <c r="PA59" s="272"/>
      <c r="PB59" s="272"/>
      <c r="PC59" s="272"/>
      <c r="PD59" s="272"/>
      <c r="PE59" s="272"/>
      <c r="PF59" s="272"/>
      <c r="PG59" s="272"/>
      <c r="PH59" s="272"/>
      <c r="PI59" s="272"/>
      <c r="PJ59" s="272"/>
      <c r="PK59" s="272"/>
      <c r="PL59" s="272"/>
      <c r="PM59" s="272"/>
      <c r="PN59" s="272"/>
      <c r="PO59" s="272"/>
      <c r="PP59" s="272"/>
      <c r="PQ59" s="272"/>
      <c r="PR59" s="272"/>
      <c r="PS59" s="272"/>
      <c r="PT59" s="272"/>
      <c r="PU59" s="272"/>
      <c r="PV59" s="272"/>
      <c r="PW59" s="272"/>
      <c r="PX59" s="272"/>
      <c r="PY59" s="272"/>
      <c r="PZ59" s="272"/>
      <c r="QA59" s="272"/>
      <c r="QB59" s="272"/>
      <c r="QC59" s="272"/>
      <c r="QD59" s="272"/>
      <c r="QE59" s="272"/>
      <c r="QF59" s="272"/>
      <c r="QG59" s="272"/>
      <c r="QH59" s="272"/>
      <c r="QI59" s="272"/>
      <c r="QJ59" s="272"/>
      <c r="QK59" s="272"/>
      <c r="QL59" s="272"/>
      <c r="QM59" s="272"/>
      <c r="QN59" s="272"/>
      <c r="QO59" s="272"/>
      <c r="QP59" s="272"/>
      <c r="QQ59" s="272"/>
      <c r="QR59" s="272"/>
      <c r="QS59" s="272"/>
      <c r="QT59" s="272"/>
      <c r="QU59" s="272"/>
      <c r="QV59" s="272"/>
      <c r="QW59" s="272"/>
      <c r="QX59" s="272"/>
      <c r="QY59" s="272"/>
      <c r="QZ59" s="272"/>
      <c r="RA59" s="272"/>
      <c r="RB59" s="272"/>
      <c r="RC59" s="272"/>
      <c r="RD59" s="272"/>
      <c r="RE59" s="272"/>
      <c r="RF59" s="272"/>
      <c r="RG59" s="272"/>
      <c r="RH59" s="272"/>
      <c r="RI59" s="272"/>
      <c r="RJ59" s="272"/>
      <c r="RK59" s="272"/>
      <c r="RL59" s="272"/>
      <c r="RM59" s="272"/>
      <c r="RN59" s="272"/>
      <c r="RO59" s="272"/>
      <c r="RP59" s="272"/>
      <c r="RQ59" s="272"/>
      <c r="RR59" s="272"/>
      <c r="RS59" s="272"/>
      <c r="RT59" s="272"/>
      <c r="RU59" s="272"/>
      <c r="RV59" s="272"/>
      <c r="RW59" s="272"/>
      <c r="RX59" s="272"/>
      <c r="RY59" s="272"/>
      <c r="RZ59" s="272"/>
      <c r="SA59" s="272"/>
      <c r="SB59" s="272"/>
      <c r="SC59" s="272"/>
      <c r="SD59" s="272"/>
      <c r="SE59" s="272"/>
      <c r="SF59" s="272"/>
      <c r="SG59" s="272"/>
      <c r="SH59" s="272"/>
      <c r="SI59" s="272"/>
      <c r="SJ59" s="272"/>
      <c r="SK59" s="272"/>
      <c r="SL59" s="272"/>
      <c r="SM59" s="272"/>
      <c r="SN59" s="272"/>
      <c r="SO59" s="272"/>
      <c r="SP59" s="272"/>
      <c r="SQ59" s="272"/>
      <c r="SR59" s="272"/>
      <c r="SS59" s="272"/>
      <c r="ST59" s="272"/>
      <c r="SU59" s="272"/>
      <c r="SV59" s="272"/>
      <c r="SW59" s="272"/>
      <c r="SX59" s="272"/>
      <c r="SY59" s="272"/>
      <c r="SZ59" s="272"/>
      <c r="TA59" s="272"/>
      <c r="TB59" s="272"/>
      <c r="TC59" s="272"/>
      <c r="TD59" s="272"/>
      <c r="TE59" s="272"/>
      <c r="TF59" s="272"/>
      <c r="TG59" s="272"/>
      <c r="TH59" s="272"/>
      <c r="TI59" s="272"/>
      <c r="TJ59" s="272"/>
      <c r="TK59" s="272"/>
      <c r="TL59" s="272"/>
      <c r="TM59" s="272"/>
      <c r="TN59" s="272"/>
      <c r="TO59" s="272"/>
      <c r="TP59" s="272"/>
      <c r="TQ59" s="272"/>
      <c r="TR59" s="272"/>
      <c r="TS59" s="272"/>
      <c r="TT59" s="272"/>
      <c r="TU59" s="272"/>
      <c r="TV59" s="272"/>
      <c r="TW59" s="272"/>
      <c r="TX59" s="272"/>
      <c r="TY59" s="272"/>
      <c r="TZ59" s="272"/>
      <c r="UA59" s="272"/>
      <c r="UB59" s="272"/>
      <c r="UC59" s="272"/>
      <c r="UD59" s="272"/>
      <c r="UE59" s="272"/>
      <c r="UF59" s="272"/>
      <c r="UG59" s="272"/>
      <c r="UH59" s="272"/>
      <c r="UI59" s="272"/>
      <c r="UJ59" s="272"/>
      <c r="UK59" s="272"/>
      <c r="UL59" s="272"/>
      <c r="UM59" s="272"/>
      <c r="UN59" s="272"/>
      <c r="UO59" s="272"/>
      <c r="UP59" s="272"/>
      <c r="UQ59" s="272"/>
      <c r="UR59" s="272"/>
      <c r="US59" s="272"/>
      <c r="UT59" s="272"/>
      <c r="UU59" s="272"/>
      <c r="UV59" s="272"/>
      <c r="UW59" s="272"/>
      <c r="UX59" s="272"/>
      <c r="UY59" s="272"/>
      <c r="UZ59" s="272"/>
      <c r="VA59" s="272"/>
      <c r="VB59" s="272"/>
      <c r="VC59" s="272"/>
      <c r="VD59" s="272"/>
      <c r="VE59" s="272"/>
      <c r="VF59" s="272"/>
      <c r="VG59" s="272"/>
      <c r="VH59" s="272"/>
      <c r="VI59" s="272"/>
      <c r="VJ59" s="272"/>
      <c r="VK59" s="272"/>
      <c r="VL59" s="272"/>
      <c r="VM59" s="272"/>
      <c r="VN59" s="272"/>
      <c r="VO59" s="272"/>
      <c r="VP59" s="272"/>
      <c r="VQ59" s="272"/>
      <c r="VR59" s="272"/>
      <c r="VS59" s="272"/>
      <c r="VT59" s="272"/>
      <c r="VU59" s="272"/>
      <c r="VV59" s="272"/>
      <c r="VW59" s="272"/>
      <c r="VX59" s="272"/>
      <c r="VY59" s="272"/>
      <c r="VZ59" s="272"/>
      <c r="WA59" s="272"/>
      <c r="WB59" s="272"/>
      <c r="WC59" s="272"/>
      <c r="WD59" s="272"/>
      <c r="WE59" s="272"/>
      <c r="WF59" s="272"/>
      <c r="WG59" s="272"/>
      <c r="WH59" s="272"/>
      <c r="WI59" s="272"/>
      <c r="WJ59" s="272"/>
      <c r="WK59" s="272"/>
      <c r="WL59" s="272"/>
      <c r="WM59" s="272"/>
      <c r="WN59" s="272"/>
      <c r="WO59" s="272"/>
      <c r="WP59" s="272"/>
      <c r="WQ59" s="272"/>
      <c r="WR59" s="272"/>
      <c r="WS59" s="272"/>
      <c r="WT59" s="272"/>
      <c r="WU59" s="272"/>
      <c r="WV59" s="272"/>
      <c r="WW59" s="272"/>
      <c r="WX59" s="272"/>
      <c r="WY59" s="272"/>
      <c r="WZ59" s="272"/>
      <c r="XA59" s="272"/>
      <c r="XB59" s="272"/>
      <c r="XC59" s="272"/>
      <c r="XD59" s="272"/>
      <c r="XE59" s="272"/>
      <c r="XF59" s="272"/>
      <c r="XG59" s="272"/>
      <c r="XH59" s="272"/>
      <c r="XI59" s="272"/>
      <c r="XJ59" s="272"/>
      <c r="XK59" s="272"/>
      <c r="XL59" s="272"/>
      <c r="XM59" s="272"/>
      <c r="XN59" s="272"/>
      <c r="XO59" s="272"/>
      <c r="XP59" s="272"/>
      <c r="XQ59" s="272"/>
      <c r="XR59" s="272"/>
      <c r="XS59" s="272"/>
      <c r="XT59" s="272"/>
      <c r="XU59" s="272"/>
      <c r="XV59" s="272"/>
      <c r="XW59" s="272"/>
      <c r="XX59" s="272"/>
      <c r="XY59" s="272"/>
      <c r="XZ59" s="272"/>
      <c r="YA59" s="272"/>
      <c r="YB59" s="272"/>
      <c r="YC59" s="272"/>
      <c r="YD59" s="272"/>
      <c r="YE59" s="272"/>
      <c r="YF59" s="272"/>
      <c r="YG59" s="272"/>
      <c r="YH59" s="272"/>
      <c r="YI59" s="272"/>
      <c r="YJ59" s="272"/>
      <c r="YK59" s="272"/>
      <c r="YL59" s="272"/>
      <c r="YM59" s="272"/>
      <c r="YN59" s="272"/>
      <c r="YO59" s="272"/>
      <c r="YP59" s="272"/>
      <c r="YQ59" s="272"/>
      <c r="YR59" s="272"/>
      <c r="YS59" s="272"/>
      <c r="YT59" s="272"/>
      <c r="YU59" s="272"/>
      <c r="YV59" s="272"/>
      <c r="YW59" s="272"/>
      <c r="YX59" s="272"/>
      <c r="YY59" s="272"/>
      <c r="YZ59" s="272"/>
      <c r="ZA59" s="272"/>
      <c r="ZB59" s="272"/>
      <c r="ZC59" s="272"/>
      <c r="ZD59" s="272"/>
      <c r="ZE59" s="272"/>
      <c r="ZF59" s="272"/>
      <c r="ZG59" s="272"/>
      <c r="ZH59" s="272"/>
      <c r="ZI59" s="272"/>
      <c r="ZJ59" s="272"/>
      <c r="ZK59" s="272"/>
      <c r="ZL59" s="272"/>
      <c r="ZM59" s="272"/>
      <c r="ZN59" s="272"/>
      <c r="ZO59" s="272"/>
      <c r="ZP59" s="272"/>
      <c r="ZQ59" s="272"/>
      <c r="ZR59" s="272"/>
      <c r="ZS59" s="272"/>
      <c r="ZT59" s="272"/>
      <c r="ZU59" s="272"/>
      <c r="ZV59" s="272"/>
      <c r="ZW59" s="272"/>
      <c r="ZX59" s="272"/>
      <c r="ZY59" s="272"/>
      <c r="ZZ59" s="272"/>
      <c r="AAA59" s="272"/>
      <c r="AAB59" s="272"/>
      <c r="AAC59" s="272"/>
      <c r="AAD59" s="272"/>
      <c r="AAE59" s="272"/>
      <c r="AAF59" s="272"/>
      <c r="AAG59" s="272"/>
      <c r="AAH59" s="272"/>
      <c r="AAI59" s="272"/>
      <c r="AAJ59" s="272"/>
      <c r="AAK59" s="272"/>
      <c r="AAL59" s="272"/>
      <c r="AAM59" s="272"/>
      <c r="AAN59" s="272"/>
      <c r="AAO59" s="272"/>
      <c r="AAP59" s="272"/>
      <c r="AAQ59" s="272"/>
      <c r="AAR59" s="272"/>
      <c r="AAS59" s="272"/>
      <c r="AAT59" s="272"/>
      <c r="AAU59" s="272"/>
      <c r="AAV59" s="272"/>
      <c r="AAW59" s="272"/>
      <c r="AAX59" s="272"/>
      <c r="AAY59" s="272"/>
      <c r="AAZ59" s="272"/>
      <c r="ABA59" s="272"/>
      <c r="ABB59" s="272"/>
      <c r="ABC59" s="272"/>
      <c r="ABD59" s="272"/>
      <c r="ABE59" s="272"/>
      <c r="ABF59" s="272"/>
      <c r="ABG59" s="272"/>
    </row>
    <row r="60" spans="1:735" s="62" customFormat="1" ht="13.5" thickBot="1">
      <c r="A60" s="48"/>
      <c r="B60" s="75"/>
      <c r="C60" s="58" t="s">
        <v>54</v>
      </c>
      <c r="D60" s="58"/>
      <c r="E60" s="60"/>
      <c r="F60" s="264"/>
      <c r="G60" s="389"/>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c r="CP60" s="272"/>
      <c r="CQ60" s="272"/>
      <c r="CR60" s="272"/>
      <c r="CS60" s="272"/>
      <c r="CT60" s="272"/>
      <c r="CU60" s="272"/>
      <c r="CV60" s="272"/>
      <c r="CW60" s="272"/>
      <c r="CX60" s="272"/>
      <c r="CY60" s="272"/>
      <c r="CZ60" s="272"/>
      <c r="DA60" s="272"/>
      <c r="DB60" s="272"/>
      <c r="DC60" s="272"/>
      <c r="DD60" s="272"/>
      <c r="DE60" s="272"/>
      <c r="DF60" s="272"/>
      <c r="DG60" s="272"/>
      <c r="DH60" s="272"/>
      <c r="DI60" s="272"/>
      <c r="DJ60" s="272"/>
      <c r="DK60" s="272"/>
      <c r="DL60" s="272"/>
      <c r="DM60" s="272"/>
      <c r="DN60" s="272"/>
      <c r="DO60" s="272"/>
      <c r="DP60" s="272"/>
      <c r="DQ60" s="272"/>
      <c r="DR60" s="272"/>
      <c r="DS60" s="272"/>
      <c r="DT60" s="272"/>
      <c r="DU60" s="272"/>
      <c r="DV60" s="272"/>
      <c r="DW60" s="272"/>
      <c r="DX60" s="272"/>
      <c r="DY60" s="272"/>
      <c r="DZ60" s="272"/>
      <c r="EA60" s="272"/>
      <c r="EB60" s="272"/>
      <c r="EC60" s="272"/>
      <c r="ED60" s="272"/>
      <c r="EE60" s="272"/>
      <c r="EF60" s="272"/>
      <c r="EG60" s="272"/>
      <c r="EH60" s="272"/>
      <c r="EI60" s="272"/>
      <c r="EJ60" s="272"/>
      <c r="EK60" s="272"/>
      <c r="EL60" s="272"/>
      <c r="EM60" s="272"/>
      <c r="EN60" s="272"/>
      <c r="EO60" s="272"/>
      <c r="EP60" s="272"/>
      <c r="EQ60" s="272"/>
      <c r="ER60" s="272"/>
      <c r="ES60" s="272"/>
      <c r="ET60" s="272"/>
      <c r="EU60" s="272"/>
      <c r="EV60" s="272"/>
      <c r="EW60" s="272"/>
      <c r="EX60" s="272"/>
      <c r="EY60" s="272"/>
      <c r="EZ60" s="272"/>
      <c r="FA60" s="272"/>
      <c r="FB60" s="272"/>
      <c r="FC60" s="272"/>
      <c r="FD60" s="272"/>
      <c r="FE60" s="272"/>
      <c r="FF60" s="272"/>
      <c r="FG60" s="272"/>
      <c r="FH60" s="272"/>
      <c r="FI60" s="272"/>
      <c r="FJ60" s="272"/>
      <c r="FK60" s="272"/>
      <c r="FL60" s="272"/>
      <c r="FM60" s="272"/>
      <c r="FN60" s="272"/>
      <c r="FO60" s="272"/>
      <c r="FP60" s="272"/>
      <c r="FQ60" s="272"/>
      <c r="FR60" s="272"/>
      <c r="FS60" s="272"/>
      <c r="FT60" s="272"/>
      <c r="FU60" s="272"/>
      <c r="FV60" s="272"/>
      <c r="FW60" s="272"/>
      <c r="FX60" s="272"/>
      <c r="FY60" s="272"/>
      <c r="FZ60" s="272"/>
      <c r="GA60" s="272"/>
      <c r="GB60" s="272"/>
      <c r="GC60" s="272"/>
      <c r="GD60" s="272"/>
      <c r="GE60" s="272"/>
      <c r="GF60" s="272"/>
      <c r="GG60" s="272"/>
      <c r="GH60" s="272"/>
      <c r="GI60" s="272"/>
      <c r="GJ60" s="272"/>
      <c r="GK60" s="272"/>
      <c r="GL60" s="272"/>
      <c r="GM60" s="272"/>
      <c r="GN60" s="272"/>
      <c r="GO60" s="272"/>
      <c r="GP60" s="272"/>
      <c r="GQ60" s="272"/>
      <c r="GR60" s="272"/>
      <c r="GS60" s="272"/>
      <c r="GT60" s="272"/>
      <c r="GU60" s="272"/>
      <c r="GV60" s="272"/>
      <c r="GW60" s="272"/>
      <c r="GX60" s="272"/>
      <c r="GY60" s="272"/>
      <c r="GZ60" s="272"/>
      <c r="HA60" s="272"/>
      <c r="HB60" s="272"/>
      <c r="HC60" s="272"/>
      <c r="HD60" s="272"/>
      <c r="HE60" s="272"/>
      <c r="HF60" s="272"/>
      <c r="HG60" s="272"/>
      <c r="HH60" s="272"/>
      <c r="HI60" s="272"/>
      <c r="HJ60" s="272"/>
      <c r="HK60" s="272"/>
      <c r="HL60" s="272"/>
      <c r="HM60" s="272"/>
      <c r="HN60" s="272"/>
      <c r="HO60" s="272"/>
      <c r="HP60" s="272"/>
      <c r="HQ60" s="272"/>
      <c r="HR60" s="272"/>
      <c r="HS60" s="272"/>
      <c r="HT60" s="272"/>
      <c r="HU60" s="272"/>
      <c r="HV60" s="272"/>
      <c r="HW60" s="272"/>
      <c r="HX60" s="272"/>
      <c r="HY60" s="272"/>
      <c r="HZ60" s="272"/>
      <c r="IA60" s="272"/>
      <c r="IB60" s="272"/>
      <c r="IC60" s="272"/>
      <c r="ID60" s="272"/>
      <c r="IE60" s="272"/>
      <c r="IF60" s="272"/>
      <c r="IG60" s="272"/>
      <c r="IH60" s="272"/>
      <c r="II60" s="272"/>
      <c r="IJ60" s="272"/>
      <c r="IK60" s="272"/>
      <c r="IL60" s="272"/>
      <c r="IM60" s="272"/>
      <c r="IN60" s="272"/>
      <c r="IO60" s="272"/>
      <c r="IP60" s="272"/>
      <c r="IQ60" s="272"/>
      <c r="IR60" s="272"/>
      <c r="IS60" s="272"/>
      <c r="IT60" s="272"/>
      <c r="IU60" s="272"/>
      <c r="IV60" s="272"/>
      <c r="IW60" s="272"/>
      <c r="IX60" s="272"/>
      <c r="IY60" s="272"/>
      <c r="IZ60" s="272"/>
      <c r="JA60" s="272"/>
      <c r="JB60" s="272"/>
      <c r="JC60" s="272"/>
      <c r="JD60" s="272"/>
      <c r="JE60" s="272"/>
      <c r="JF60" s="272"/>
      <c r="JG60" s="272"/>
      <c r="JH60" s="272"/>
      <c r="JI60" s="272"/>
      <c r="JJ60" s="272"/>
      <c r="JK60" s="272"/>
      <c r="JL60" s="272"/>
      <c r="JM60" s="272"/>
      <c r="JN60" s="272"/>
      <c r="JO60" s="272"/>
      <c r="JP60" s="272"/>
      <c r="JQ60" s="272"/>
      <c r="JR60" s="272"/>
      <c r="JS60" s="272"/>
      <c r="JT60" s="272"/>
      <c r="JU60" s="272"/>
      <c r="JV60" s="272"/>
      <c r="JW60" s="272"/>
      <c r="JX60" s="272"/>
      <c r="JY60" s="272"/>
      <c r="JZ60" s="272"/>
      <c r="KA60" s="272"/>
      <c r="KB60" s="272"/>
      <c r="KC60" s="272"/>
      <c r="KD60" s="272"/>
      <c r="KE60" s="272"/>
      <c r="KF60" s="272"/>
      <c r="KG60" s="272"/>
      <c r="KH60" s="272"/>
      <c r="KI60" s="272"/>
      <c r="KJ60" s="272"/>
      <c r="KK60" s="272"/>
      <c r="KL60" s="272"/>
      <c r="KM60" s="272"/>
      <c r="KN60" s="272"/>
      <c r="KO60" s="272"/>
      <c r="KP60" s="272"/>
      <c r="KQ60" s="272"/>
      <c r="KR60" s="272"/>
      <c r="KS60" s="272"/>
      <c r="KT60" s="272"/>
      <c r="KU60" s="272"/>
      <c r="KV60" s="272"/>
      <c r="KW60" s="272"/>
      <c r="KX60" s="272"/>
      <c r="KY60" s="272"/>
      <c r="KZ60" s="272"/>
      <c r="LA60" s="272"/>
      <c r="LB60" s="272"/>
      <c r="LC60" s="272"/>
      <c r="LD60" s="272"/>
      <c r="LE60" s="272"/>
      <c r="LF60" s="272"/>
      <c r="LG60" s="272"/>
      <c r="LH60" s="272"/>
      <c r="LI60" s="272"/>
      <c r="LJ60" s="272"/>
      <c r="LK60" s="272"/>
      <c r="LL60" s="272"/>
      <c r="LM60" s="272"/>
      <c r="LN60" s="272"/>
      <c r="LO60" s="272"/>
      <c r="LP60" s="272"/>
      <c r="LQ60" s="272"/>
      <c r="LR60" s="272"/>
      <c r="LS60" s="272"/>
      <c r="LT60" s="272"/>
      <c r="LU60" s="272"/>
      <c r="LV60" s="272"/>
      <c r="LW60" s="272"/>
      <c r="LX60" s="272"/>
      <c r="LY60" s="272"/>
      <c r="LZ60" s="272"/>
      <c r="MA60" s="272"/>
      <c r="MB60" s="272"/>
      <c r="MC60" s="272"/>
      <c r="MD60" s="272"/>
      <c r="ME60" s="272"/>
      <c r="MF60" s="272"/>
      <c r="MG60" s="272"/>
      <c r="MH60" s="272"/>
      <c r="MI60" s="272"/>
      <c r="MJ60" s="272"/>
      <c r="MK60" s="272"/>
      <c r="ML60" s="272"/>
      <c r="MM60" s="272"/>
      <c r="MN60" s="272"/>
      <c r="MO60" s="272"/>
      <c r="MP60" s="272"/>
      <c r="MQ60" s="272"/>
      <c r="MR60" s="272"/>
      <c r="MS60" s="272"/>
      <c r="MT60" s="272"/>
      <c r="MU60" s="272"/>
      <c r="MV60" s="272"/>
      <c r="MW60" s="272"/>
      <c r="MX60" s="272"/>
      <c r="MY60" s="272"/>
      <c r="MZ60" s="272"/>
      <c r="NA60" s="272"/>
      <c r="NB60" s="272"/>
      <c r="NC60" s="272"/>
      <c r="ND60" s="272"/>
      <c r="NE60" s="272"/>
      <c r="NF60" s="272"/>
      <c r="NG60" s="272"/>
      <c r="NH60" s="272"/>
      <c r="NI60" s="272"/>
      <c r="NJ60" s="272"/>
      <c r="NK60" s="272"/>
      <c r="NL60" s="272"/>
      <c r="NM60" s="272"/>
      <c r="NN60" s="272"/>
      <c r="NO60" s="272"/>
      <c r="NP60" s="272"/>
      <c r="NQ60" s="272"/>
      <c r="NR60" s="272"/>
      <c r="NS60" s="272"/>
      <c r="NT60" s="272"/>
      <c r="NU60" s="272"/>
      <c r="NV60" s="272"/>
      <c r="NW60" s="272"/>
      <c r="NX60" s="272"/>
      <c r="NY60" s="272"/>
      <c r="NZ60" s="272"/>
      <c r="OA60" s="272"/>
      <c r="OB60" s="272"/>
      <c r="OC60" s="272"/>
      <c r="OD60" s="272"/>
      <c r="OE60" s="272"/>
      <c r="OF60" s="272"/>
      <c r="OG60" s="272"/>
      <c r="OH60" s="272"/>
      <c r="OI60" s="272"/>
      <c r="OJ60" s="272"/>
      <c r="OK60" s="272"/>
      <c r="OL60" s="272"/>
      <c r="OM60" s="272"/>
      <c r="ON60" s="272"/>
      <c r="OO60" s="272"/>
      <c r="OP60" s="272"/>
      <c r="OQ60" s="272"/>
      <c r="OR60" s="272"/>
      <c r="OS60" s="272"/>
      <c r="OT60" s="272"/>
      <c r="OU60" s="272"/>
      <c r="OV60" s="272"/>
      <c r="OW60" s="272"/>
      <c r="OX60" s="272"/>
      <c r="OY60" s="272"/>
      <c r="OZ60" s="272"/>
      <c r="PA60" s="272"/>
      <c r="PB60" s="272"/>
      <c r="PC60" s="272"/>
      <c r="PD60" s="272"/>
      <c r="PE60" s="272"/>
      <c r="PF60" s="272"/>
      <c r="PG60" s="272"/>
      <c r="PH60" s="272"/>
      <c r="PI60" s="272"/>
      <c r="PJ60" s="272"/>
      <c r="PK60" s="272"/>
      <c r="PL60" s="272"/>
      <c r="PM60" s="272"/>
      <c r="PN60" s="272"/>
      <c r="PO60" s="272"/>
      <c r="PP60" s="272"/>
      <c r="PQ60" s="272"/>
      <c r="PR60" s="272"/>
      <c r="PS60" s="272"/>
      <c r="PT60" s="272"/>
      <c r="PU60" s="272"/>
      <c r="PV60" s="272"/>
      <c r="PW60" s="272"/>
      <c r="PX60" s="272"/>
      <c r="PY60" s="272"/>
      <c r="PZ60" s="272"/>
      <c r="QA60" s="272"/>
      <c r="QB60" s="272"/>
      <c r="QC60" s="272"/>
      <c r="QD60" s="272"/>
      <c r="QE60" s="272"/>
      <c r="QF60" s="272"/>
      <c r="QG60" s="272"/>
      <c r="QH60" s="272"/>
      <c r="QI60" s="272"/>
      <c r="QJ60" s="272"/>
      <c r="QK60" s="272"/>
      <c r="QL60" s="272"/>
      <c r="QM60" s="272"/>
      <c r="QN60" s="272"/>
      <c r="QO60" s="272"/>
      <c r="QP60" s="272"/>
      <c r="QQ60" s="272"/>
      <c r="QR60" s="272"/>
      <c r="QS60" s="272"/>
      <c r="QT60" s="272"/>
      <c r="QU60" s="272"/>
      <c r="QV60" s="272"/>
      <c r="QW60" s="272"/>
      <c r="QX60" s="272"/>
      <c r="QY60" s="272"/>
      <c r="QZ60" s="272"/>
      <c r="RA60" s="272"/>
      <c r="RB60" s="272"/>
      <c r="RC60" s="272"/>
      <c r="RD60" s="272"/>
      <c r="RE60" s="272"/>
      <c r="RF60" s="272"/>
      <c r="RG60" s="272"/>
      <c r="RH60" s="272"/>
      <c r="RI60" s="272"/>
      <c r="RJ60" s="272"/>
      <c r="RK60" s="272"/>
      <c r="RL60" s="272"/>
      <c r="RM60" s="272"/>
      <c r="RN60" s="272"/>
      <c r="RO60" s="272"/>
      <c r="RP60" s="272"/>
      <c r="RQ60" s="272"/>
      <c r="RR60" s="272"/>
      <c r="RS60" s="272"/>
      <c r="RT60" s="272"/>
      <c r="RU60" s="272"/>
      <c r="RV60" s="272"/>
      <c r="RW60" s="272"/>
      <c r="RX60" s="272"/>
      <c r="RY60" s="272"/>
      <c r="RZ60" s="272"/>
      <c r="SA60" s="272"/>
      <c r="SB60" s="272"/>
      <c r="SC60" s="272"/>
      <c r="SD60" s="272"/>
      <c r="SE60" s="272"/>
      <c r="SF60" s="272"/>
      <c r="SG60" s="272"/>
      <c r="SH60" s="272"/>
      <c r="SI60" s="272"/>
      <c r="SJ60" s="272"/>
      <c r="SK60" s="272"/>
      <c r="SL60" s="272"/>
      <c r="SM60" s="272"/>
      <c r="SN60" s="272"/>
      <c r="SO60" s="272"/>
      <c r="SP60" s="272"/>
      <c r="SQ60" s="272"/>
      <c r="SR60" s="272"/>
      <c r="SS60" s="272"/>
      <c r="ST60" s="272"/>
      <c r="SU60" s="272"/>
      <c r="SV60" s="272"/>
      <c r="SW60" s="272"/>
      <c r="SX60" s="272"/>
      <c r="SY60" s="272"/>
      <c r="SZ60" s="272"/>
      <c r="TA60" s="272"/>
      <c r="TB60" s="272"/>
      <c r="TC60" s="272"/>
      <c r="TD60" s="272"/>
      <c r="TE60" s="272"/>
      <c r="TF60" s="272"/>
      <c r="TG60" s="272"/>
      <c r="TH60" s="272"/>
      <c r="TI60" s="272"/>
      <c r="TJ60" s="272"/>
      <c r="TK60" s="272"/>
      <c r="TL60" s="272"/>
      <c r="TM60" s="272"/>
      <c r="TN60" s="272"/>
      <c r="TO60" s="272"/>
      <c r="TP60" s="272"/>
      <c r="TQ60" s="272"/>
      <c r="TR60" s="272"/>
      <c r="TS60" s="272"/>
      <c r="TT60" s="272"/>
      <c r="TU60" s="272"/>
      <c r="TV60" s="272"/>
      <c r="TW60" s="272"/>
      <c r="TX60" s="272"/>
      <c r="TY60" s="272"/>
      <c r="TZ60" s="272"/>
      <c r="UA60" s="272"/>
      <c r="UB60" s="272"/>
      <c r="UC60" s="272"/>
      <c r="UD60" s="272"/>
      <c r="UE60" s="272"/>
      <c r="UF60" s="272"/>
      <c r="UG60" s="272"/>
      <c r="UH60" s="272"/>
      <c r="UI60" s="272"/>
      <c r="UJ60" s="272"/>
      <c r="UK60" s="272"/>
      <c r="UL60" s="272"/>
      <c r="UM60" s="272"/>
      <c r="UN60" s="272"/>
      <c r="UO60" s="272"/>
      <c r="UP60" s="272"/>
      <c r="UQ60" s="272"/>
      <c r="UR60" s="272"/>
      <c r="US60" s="272"/>
      <c r="UT60" s="272"/>
      <c r="UU60" s="272"/>
      <c r="UV60" s="272"/>
      <c r="UW60" s="272"/>
      <c r="UX60" s="272"/>
      <c r="UY60" s="272"/>
      <c r="UZ60" s="272"/>
      <c r="VA60" s="272"/>
      <c r="VB60" s="272"/>
      <c r="VC60" s="272"/>
      <c r="VD60" s="272"/>
      <c r="VE60" s="272"/>
      <c r="VF60" s="272"/>
      <c r="VG60" s="272"/>
      <c r="VH60" s="272"/>
      <c r="VI60" s="272"/>
      <c r="VJ60" s="272"/>
      <c r="VK60" s="272"/>
      <c r="VL60" s="272"/>
      <c r="VM60" s="272"/>
      <c r="VN60" s="272"/>
      <c r="VO60" s="272"/>
      <c r="VP60" s="272"/>
      <c r="VQ60" s="272"/>
      <c r="VR60" s="272"/>
      <c r="VS60" s="272"/>
      <c r="VT60" s="272"/>
      <c r="VU60" s="272"/>
      <c r="VV60" s="272"/>
      <c r="VW60" s="272"/>
      <c r="VX60" s="272"/>
      <c r="VY60" s="272"/>
      <c r="VZ60" s="272"/>
      <c r="WA60" s="272"/>
      <c r="WB60" s="272"/>
      <c r="WC60" s="272"/>
      <c r="WD60" s="272"/>
      <c r="WE60" s="272"/>
      <c r="WF60" s="272"/>
      <c r="WG60" s="272"/>
      <c r="WH60" s="272"/>
      <c r="WI60" s="272"/>
      <c r="WJ60" s="272"/>
      <c r="WK60" s="272"/>
      <c r="WL60" s="272"/>
      <c r="WM60" s="272"/>
      <c r="WN60" s="272"/>
      <c r="WO60" s="272"/>
      <c r="WP60" s="272"/>
      <c r="WQ60" s="272"/>
      <c r="WR60" s="272"/>
      <c r="WS60" s="272"/>
      <c r="WT60" s="272"/>
      <c r="WU60" s="272"/>
      <c r="WV60" s="272"/>
      <c r="WW60" s="272"/>
      <c r="WX60" s="272"/>
      <c r="WY60" s="272"/>
      <c r="WZ60" s="272"/>
      <c r="XA60" s="272"/>
      <c r="XB60" s="272"/>
      <c r="XC60" s="272"/>
      <c r="XD60" s="272"/>
      <c r="XE60" s="272"/>
      <c r="XF60" s="272"/>
      <c r="XG60" s="272"/>
      <c r="XH60" s="272"/>
      <c r="XI60" s="272"/>
      <c r="XJ60" s="272"/>
      <c r="XK60" s="272"/>
      <c r="XL60" s="272"/>
      <c r="XM60" s="272"/>
      <c r="XN60" s="272"/>
      <c r="XO60" s="272"/>
      <c r="XP60" s="272"/>
      <c r="XQ60" s="272"/>
      <c r="XR60" s="272"/>
      <c r="XS60" s="272"/>
      <c r="XT60" s="272"/>
      <c r="XU60" s="272"/>
      <c r="XV60" s="272"/>
      <c r="XW60" s="272"/>
      <c r="XX60" s="272"/>
      <c r="XY60" s="272"/>
      <c r="XZ60" s="272"/>
      <c r="YA60" s="272"/>
      <c r="YB60" s="272"/>
      <c r="YC60" s="272"/>
      <c r="YD60" s="272"/>
      <c r="YE60" s="272"/>
      <c r="YF60" s="272"/>
      <c r="YG60" s="272"/>
      <c r="YH60" s="272"/>
      <c r="YI60" s="272"/>
      <c r="YJ60" s="272"/>
      <c r="YK60" s="272"/>
      <c r="YL60" s="272"/>
      <c r="YM60" s="272"/>
      <c r="YN60" s="272"/>
      <c r="YO60" s="272"/>
      <c r="YP60" s="272"/>
      <c r="YQ60" s="272"/>
      <c r="YR60" s="272"/>
      <c r="YS60" s="272"/>
      <c r="YT60" s="272"/>
      <c r="YU60" s="272"/>
      <c r="YV60" s="272"/>
      <c r="YW60" s="272"/>
      <c r="YX60" s="272"/>
      <c r="YY60" s="272"/>
      <c r="YZ60" s="272"/>
      <c r="ZA60" s="272"/>
      <c r="ZB60" s="272"/>
      <c r="ZC60" s="272"/>
      <c r="ZD60" s="272"/>
      <c r="ZE60" s="272"/>
      <c r="ZF60" s="272"/>
      <c r="ZG60" s="272"/>
      <c r="ZH60" s="272"/>
      <c r="ZI60" s="272"/>
      <c r="ZJ60" s="272"/>
      <c r="ZK60" s="272"/>
      <c r="ZL60" s="272"/>
      <c r="ZM60" s="272"/>
      <c r="ZN60" s="272"/>
      <c r="ZO60" s="272"/>
      <c r="ZP60" s="272"/>
      <c r="ZQ60" s="272"/>
      <c r="ZR60" s="272"/>
      <c r="ZS60" s="272"/>
      <c r="ZT60" s="272"/>
      <c r="ZU60" s="272"/>
      <c r="ZV60" s="272"/>
      <c r="ZW60" s="272"/>
      <c r="ZX60" s="272"/>
      <c r="ZY60" s="272"/>
      <c r="ZZ60" s="272"/>
      <c r="AAA60" s="272"/>
      <c r="AAB60" s="272"/>
      <c r="AAC60" s="272"/>
      <c r="AAD60" s="272"/>
      <c r="AAE60" s="272"/>
      <c r="AAF60" s="272"/>
      <c r="AAG60" s="272"/>
      <c r="AAH60" s="272"/>
      <c r="AAI60" s="272"/>
      <c r="AAJ60" s="272"/>
      <c r="AAK60" s="272"/>
      <c r="AAL60" s="272"/>
      <c r="AAM60" s="272"/>
      <c r="AAN60" s="272"/>
      <c r="AAO60" s="272"/>
      <c r="AAP60" s="272"/>
      <c r="AAQ60" s="272"/>
      <c r="AAR60" s="272"/>
      <c r="AAS60" s="272"/>
      <c r="AAT60" s="272"/>
      <c r="AAU60" s="272"/>
      <c r="AAV60" s="272"/>
      <c r="AAW60" s="272"/>
      <c r="AAX60" s="272"/>
      <c r="AAY60" s="272"/>
      <c r="AAZ60" s="272"/>
      <c r="ABA60" s="272"/>
      <c r="ABB60" s="272"/>
      <c r="ABC60" s="272"/>
      <c r="ABD60" s="272"/>
      <c r="ABE60" s="272"/>
      <c r="ABF60" s="272"/>
      <c r="ABG60" s="272"/>
    </row>
    <row r="61" spans="1:735" s="61" customFormat="1" ht="88.5" customHeight="1">
      <c r="A61" s="46" t="s">
        <v>7</v>
      </c>
      <c r="B61" s="68" t="s">
        <v>64</v>
      </c>
      <c r="C61" s="30" t="s">
        <v>52</v>
      </c>
      <c r="D61" s="501"/>
      <c r="E61" s="502"/>
      <c r="F61" s="503"/>
      <c r="G61" s="504"/>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2"/>
      <c r="DS61" s="272"/>
      <c r="DT61" s="272"/>
      <c r="DU61" s="272"/>
      <c r="DV61" s="272"/>
      <c r="DW61" s="272"/>
      <c r="DX61" s="272"/>
      <c r="DY61" s="272"/>
      <c r="DZ61" s="272"/>
      <c r="EA61" s="272"/>
      <c r="EB61" s="272"/>
      <c r="EC61" s="272"/>
      <c r="ED61" s="272"/>
      <c r="EE61" s="272"/>
      <c r="EF61" s="272"/>
      <c r="EG61" s="272"/>
      <c r="EH61" s="272"/>
      <c r="EI61" s="272"/>
      <c r="EJ61" s="272"/>
      <c r="EK61" s="272"/>
      <c r="EL61" s="272"/>
      <c r="EM61" s="272"/>
      <c r="EN61" s="272"/>
      <c r="EO61" s="272"/>
      <c r="EP61" s="272"/>
      <c r="EQ61" s="272"/>
      <c r="ER61" s="272"/>
      <c r="ES61" s="272"/>
      <c r="ET61" s="272"/>
      <c r="EU61" s="272"/>
      <c r="EV61" s="272"/>
      <c r="EW61" s="272"/>
      <c r="EX61" s="272"/>
      <c r="EY61" s="272"/>
      <c r="EZ61" s="272"/>
      <c r="FA61" s="272"/>
      <c r="FB61" s="272"/>
      <c r="FC61" s="272"/>
      <c r="FD61" s="272"/>
      <c r="FE61" s="272"/>
      <c r="FF61" s="272"/>
      <c r="FG61" s="272"/>
      <c r="FH61" s="272"/>
      <c r="FI61" s="272"/>
      <c r="FJ61" s="272"/>
      <c r="FK61" s="272"/>
      <c r="FL61" s="272"/>
      <c r="FM61" s="272"/>
      <c r="FN61" s="272"/>
      <c r="FO61" s="272"/>
      <c r="FP61" s="272"/>
      <c r="FQ61" s="272"/>
      <c r="FR61" s="272"/>
      <c r="FS61" s="272"/>
      <c r="FT61" s="272"/>
      <c r="FU61" s="272"/>
      <c r="FV61" s="272"/>
      <c r="FW61" s="272"/>
      <c r="FX61" s="272"/>
      <c r="FY61" s="272"/>
      <c r="FZ61" s="272"/>
      <c r="GA61" s="272"/>
      <c r="GB61" s="272"/>
      <c r="GC61" s="272"/>
      <c r="GD61" s="272"/>
      <c r="GE61" s="272"/>
      <c r="GF61" s="272"/>
      <c r="GG61" s="272"/>
      <c r="GH61" s="272"/>
      <c r="GI61" s="272"/>
      <c r="GJ61" s="272"/>
      <c r="GK61" s="272"/>
      <c r="GL61" s="272"/>
      <c r="GM61" s="272"/>
      <c r="GN61" s="272"/>
      <c r="GO61" s="272"/>
      <c r="GP61" s="272"/>
      <c r="GQ61" s="272"/>
      <c r="GR61" s="272"/>
      <c r="GS61" s="272"/>
      <c r="GT61" s="272"/>
      <c r="GU61" s="272"/>
      <c r="GV61" s="272"/>
      <c r="GW61" s="272"/>
      <c r="GX61" s="272"/>
      <c r="GY61" s="272"/>
      <c r="GZ61" s="272"/>
      <c r="HA61" s="272"/>
      <c r="HB61" s="272"/>
      <c r="HC61" s="272"/>
      <c r="HD61" s="272"/>
      <c r="HE61" s="272"/>
      <c r="HF61" s="272"/>
      <c r="HG61" s="272"/>
      <c r="HH61" s="272"/>
      <c r="HI61" s="272"/>
      <c r="HJ61" s="272"/>
      <c r="HK61" s="272"/>
      <c r="HL61" s="272"/>
      <c r="HM61" s="272"/>
      <c r="HN61" s="272"/>
      <c r="HO61" s="272"/>
      <c r="HP61" s="272"/>
      <c r="HQ61" s="272"/>
      <c r="HR61" s="272"/>
      <c r="HS61" s="272"/>
      <c r="HT61" s="272"/>
      <c r="HU61" s="272"/>
      <c r="HV61" s="272"/>
      <c r="HW61" s="272"/>
      <c r="HX61" s="272"/>
      <c r="HY61" s="272"/>
      <c r="HZ61" s="272"/>
      <c r="IA61" s="272"/>
      <c r="IB61" s="272"/>
      <c r="IC61" s="272"/>
      <c r="ID61" s="272"/>
      <c r="IE61" s="272"/>
      <c r="IF61" s="272"/>
      <c r="IG61" s="272"/>
      <c r="IH61" s="272"/>
      <c r="II61" s="272"/>
      <c r="IJ61" s="272"/>
      <c r="IK61" s="272"/>
      <c r="IL61" s="272"/>
      <c r="IM61" s="272"/>
      <c r="IN61" s="272"/>
      <c r="IO61" s="272"/>
      <c r="IP61" s="272"/>
      <c r="IQ61" s="272"/>
      <c r="IR61" s="272"/>
      <c r="IS61" s="272"/>
      <c r="IT61" s="272"/>
      <c r="IU61" s="272"/>
      <c r="IV61" s="272"/>
      <c r="IW61" s="272"/>
      <c r="IX61" s="272"/>
      <c r="IY61" s="272"/>
      <c r="IZ61" s="272"/>
      <c r="JA61" s="272"/>
      <c r="JB61" s="272"/>
      <c r="JC61" s="272"/>
      <c r="JD61" s="272"/>
      <c r="JE61" s="272"/>
      <c r="JF61" s="272"/>
      <c r="JG61" s="272"/>
      <c r="JH61" s="272"/>
      <c r="JI61" s="272"/>
      <c r="JJ61" s="272"/>
      <c r="JK61" s="272"/>
      <c r="JL61" s="272"/>
      <c r="JM61" s="272"/>
      <c r="JN61" s="272"/>
      <c r="JO61" s="272"/>
      <c r="JP61" s="272"/>
      <c r="JQ61" s="272"/>
      <c r="JR61" s="272"/>
      <c r="JS61" s="272"/>
      <c r="JT61" s="272"/>
      <c r="JU61" s="272"/>
      <c r="JV61" s="272"/>
      <c r="JW61" s="272"/>
      <c r="JX61" s="272"/>
      <c r="JY61" s="272"/>
      <c r="JZ61" s="272"/>
      <c r="KA61" s="272"/>
      <c r="KB61" s="272"/>
      <c r="KC61" s="272"/>
      <c r="KD61" s="272"/>
      <c r="KE61" s="272"/>
      <c r="KF61" s="272"/>
      <c r="KG61" s="272"/>
      <c r="KH61" s="272"/>
      <c r="KI61" s="272"/>
      <c r="KJ61" s="272"/>
      <c r="KK61" s="272"/>
      <c r="KL61" s="272"/>
      <c r="KM61" s="272"/>
      <c r="KN61" s="272"/>
      <c r="KO61" s="272"/>
      <c r="KP61" s="272"/>
      <c r="KQ61" s="272"/>
      <c r="KR61" s="272"/>
      <c r="KS61" s="272"/>
      <c r="KT61" s="272"/>
      <c r="KU61" s="272"/>
      <c r="KV61" s="272"/>
      <c r="KW61" s="272"/>
      <c r="KX61" s="272"/>
      <c r="KY61" s="272"/>
      <c r="KZ61" s="272"/>
      <c r="LA61" s="272"/>
      <c r="LB61" s="272"/>
      <c r="LC61" s="272"/>
      <c r="LD61" s="272"/>
      <c r="LE61" s="272"/>
      <c r="LF61" s="272"/>
      <c r="LG61" s="272"/>
      <c r="LH61" s="272"/>
      <c r="LI61" s="272"/>
      <c r="LJ61" s="272"/>
      <c r="LK61" s="272"/>
      <c r="LL61" s="272"/>
      <c r="LM61" s="272"/>
      <c r="LN61" s="272"/>
      <c r="LO61" s="272"/>
      <c r="LP61" s="272"/>
      <c r="LQ61" s="272"/>
      <c r="LR61" s="272"/>
      <c r="LS61" s="272"/>
      <c r="LT61" s="272"/>
      <c r="LU61" s="272"/>
      <c r="LV61" s="272"/>
      <c r="LW61" s="272"/>
      <c r="LX61" s="272"/>
      <c r="LY61" s="272"/>
      <c r="LZ61" s="272"/>
      <c r="MA61" s="272"/>
      <c r="MB61" s="272"/>
      <c r="MC61" s="272"/>
      <c r="MD61" s="272"/>
      <c r="ME61" s="272"/>
      <c r="MF61" s="272"/>
      <c r="MG61" s="272"/>
      <c r="MH61" s="272"/>
      <c r="MI61" s="272"/>
      <c r="MJ61" s="272"/>
      <c r="MK61" s="272"/>
      <c r="ML61" s="272"/>
      <c r="MM61" s="272"/>
      <c r="MN61" s="272"/>
      <c r="MO61" s="272"/>
      <c r="MP61" s="272"/>
      <c r="MQ61" s="272"/>
      <c r="MR61" s="272"/>
      <c r="MS61" s="272"/>
      <c r="MT61" s="272"/>
      <c r="MU61" s="272"/>
      <c r="MV61" s="272"/>
      <c r="MW61" s="272"/>
      <c r="MX61" s="272"/>
      <c r="MY61" s="272"/>
      <c r="MZ61" s="272"/>
      <c r="NA61" s="272"/>
      <c r="NB61" s="272"/>
      <c r="NC61" s="272"/>
      <c r="ND61" s="272"/>
      <c r="NE61" s="272"/>
      <c r="NF61" s="272"/>
      <c r="NG61" s="272"/>
      <c r="NH61" s="272"/>
      <c r="NI61" s="272"/>
      <c r="NJ61" s="272"/>
      <c r="NK61" s="272"/>
      <c r="NL61" s="272"/>
      <c r="NM61" s="272"/>
      <c r="NN61" s="272"/>
      <c r="NO61" s="272"/>
      <c r="NP61" s="272"/>
      <c r="NQ61" s="272"/>
      <c r="NR61" s="272"/>
      <c r="NS61" s="272"/>
      <c r="NT61" s="272"/>
      <c r="NU61" s="272"/>
      <c r="NV61" s="272"/>
      <c r="NW61" s="272"/>
      <c r="NX61" s="272"/>
      <c r="NY61" s="272"/>
      <c r="NZ61" s="272"/>
      <c r="OA61" s="272"/>
      <c r="OB61" s="272"/>
      <c r="OC61" s="272"/>
      <c r="OD61" s="272"/>
      <c r="OE61" s="272"/>
      <c r="OF61" s="272"/>
      <c r="OG61" s="272"/>
      <c r="OH61" s="272"/>
      <c r="OI61" s="272"/>
      <c r="OJ61" s="272"/>
      <c r="OK61" s="272"/>
      <c r="OL61" s="272"/>
      <c r="OM61" s="272"/>
      <c r="ON61" s="272"/>
      <c r="OO61" s="272"/>
      <c r="OP61" s="272"/>
      <c r="OQ61" s="272"/>
      <c r="OR61" s="272"/>
      <c r="OS61" s="272"/>
      <c r="OT61" s="272"/>
      <c r="OU61" s="272"/>
      <c r="OV61" s="272"/>
      <c r="OW61" s="272"/>
      <c r="OX61" s="272"/>
      <c r="OY61" s="272"/>
      <c r="OZ61" s="272"/>
      <c r="PA61" s="272"/>
      <c r="PB61" s="272"/>
      <c r="PC61" s="272"/>
      <c r="PD61" s="272"/>
      <c r="PE61" s="272"/>
      <c r="PF61" s="272"/>
      <c r="PG61" s="272"/>
      <c r="PH61" s="272"/>
      <c r="PI61" s="272"/>
      <c r="PJ61" s="272"/>
      <c r="PK61" s="272"/>
      <c r="PL61" s="272"/>
      <c r="PM61" s="272"/>
      <c r="PN61" s="272"/>
      <c r="PO61" s="272"/>
      <c r="PP61" s="272"/>
      <c r="PQ61" s="272"/>
      <c r="PR61" s="272"/>
      <c r="PS61" s="272"/>
      <c r="PT61" s="272"/>
      <c r="PU61" s="272"/>
      <c r="PV61" s="272"/>
      <c r="PW61" s="272"/>
      <c r="PX61" s="272"/>
      <c r="PY61" s="272"/>
      <c r="PZ61" s="272"/>
      <c r="QA61" s="272"/>
      <c r="QB61" s="272"/>
      <c r="QC61" s="272"/>
      <c r="QD61" s="272"/>
      <c r="QE61" s="272"/>
      <c r="QF61" s="272"/>
      <c r="QG61" s="272"/>
      <c r="QH61" s="272"/>
      <c r="QI61" s="272"/>
      <c r="QJ61" s="272"/>
      <c r="QK61" s="272"/>
      <c r="QL61" s="272"/>
      <c r="QM61" s="272"/>
      <c r="QN61" s="272"/>
      <c r="QO61" s="272"/>
      <c r="QP61" s="272"/>
      <c r="QQ61" s="272"/>
      <c r="QR61" s="272"/>
      <c r="QS61" s="272"/>
      <c r="QT61" s="272"/>
      <c r="QU61" s="272"/>
      <c r="QV61" s="272"/>
      <c r="QW61" s="272"/>
      <c r="QX61" s="272"/>
      <c r="QY61" s="272"/>
      <c r="QZ61" s="272"/>
      <c r="RA61" s="272"/>
      <c r="RB61" s="272"/>
      <c r="RC61" s="272"/>
      <c r="RD61" s="272"/>
      <c r="RE61" s="272"/>
      <c r="RF61" s="272"/>
      <c r="RG61" s="272"/>
      <c r="RH61" s="272"/>
      <c r="RI61" s="272"/>
      <c r="RJ61" s="272"/>
      <c r="RK61" s="272"/>
      <c r="RL61" s="272"/>
      <c r="RM61" s="272"/>
      <c r="RN61" s="272"/>
      <c r="RO61" s="272"/>
      <c r="RP61" s="272"/>
      <c r="RQ61" s="272"/>
      <c r="RR61" s="272"/>
      <c r="RS61" s="272"/>
      <c r="RT61" s="272"/>
      <c r="RU61" s="272"/>
      <c r="RV61" s="272"/>
      <c r="RW61" s="272"/>
      <c r="RX61" s="272"/>
      <c r="RY61" s="272"/>
      <c r="RZ61" s="272"/>
      <c r="SA61" s="272"/>
      <c r="SB61" s="272"/>
      <c r="SC61" s="272"/>
      <c r="SD61" s="272"/>
      <c r="SE61" s="272"/>
      <c r="SF61" s="272"/>
      <c r="SG61" s="272"/>
      <c r="SH61" s="272"/>
      <c r="SI61" s="272"/>
      <c r="SJ61" s="272"/>
      <c r="SK61" s="272"/>
      <c r="SL61" s="272"/>
      <c r="SM61" s="272"/>
      <c r="SN61" s="272"/>
      <c r="SO61" s="272"/>
      <c r="SP61" s="272"/>
      <c r="SQ61" s="272"/>
      <c r="SR61" s="272"/>
      <c r="SS61" s="272"/>
      <c r="ST61" s="272"/>
      <c r="SU61" s="272"/>
      <c r="SV61" s="272"/>
      <c r="SW61" s="272"/>
      <c r="SX61" s="272"/>
      <c r="SY61" s="272"/>
      <c r="SZ61" s="272"/>
      <c r="TA61" s="272"/>
      <c r="TB61" s="272"/>
      <c r="TC61" s="272"/>
      <c r="TD61" s="272"/>
      <c r="TE61" s="272"/>
      <c r="TF61" s="272"/>
      <c r="TG61" s="272"/>
      <c r="TH61" s="272"/>
      <c r="TI61" s="272"/>
      <c r="TJ61" s="272"/>
      <c r="TK61" s="272"/>
      <c r="TL61" s="272"/>
      <c r="TM61" s="272"/>
      <c r="TN61" s="272"/>
      <c r="TO61" s="272"/>
      <c r="TP61" s="272"/>
      <c r="TQ61" s="272"/>
      <c r="TR61" s="272"/>
      <c r="TS61" s="272"/>
      <c r="TT61" s="272"/>
      <c r="TU61" s="272"/>
      <c r="TV61" s="272"/>
      <c r="TW61" s="272"/>
      <c r="TX61" s="272"/>
      <c r="TY61" s="272"/>
      <c r="TZ61" s="272"/>
      <c r="UA61" s="272"/>
      <c r="UB61" s="272"/>
      <c r="UC61" s="272"/>
      <c r="UD61" s="272"/>
      <c r="UE61" s="272"/>
      <c r="UF61" s="272"/>
      <c r="UG61" s="272"/>
      <c r="UH61" s="272"/>
      <c r="UI61" s="272"/>
      <c r="UJ61" s="272"/>
      <c r="UK61" s="272"/>
      <c r="UL61" s="272"/>
      <c r="UM61" s="272"/>
      <c r="UN61" s="272"/>
      <c r="UO61" s="272"/>
      <c r="UP61" s="272"/>
      <c r="UQ61" s="272"/>
      <c r="UR61" s="272"/>
      <c r="US61" s="272"/>
      <c r="UT61" s="272"/>
      <c r="UU61" s="272"/>
      <c r="UV61" s="272"/>
      <c r="UW61" s="272"/>
      <c r="UX61" s="272"/>
      <c r="UY61" s="272"/>
      <c r="UZ61" s="272"/>
      <c r="VA61" s="272"/>
      <c r="VB61" s="272"/>
      <c r="VC61" s="272"/>
      <c r="VD61" s="272"/>
      <c r="VE61" s="272"/>
      <c r="VF61" s="272"/>
      <c r="VG61" s="272"/>
      <c r="VH61" s="272"/>
      <c r="VI61" s="272"/>
      <c r="VJ61" s="272"/>
      <c r="VK61" s="272"/>
      <c r="VL61" s="272"/>
      <c r="VM61" s="272"/>
      <c r="VN61" s="272"/>
      <c r="VO61" s="272"/>
      <c r="VP61" s="272"/>
      <c r="VQ61" s="272"/>
      <c r="VR61" s="272"/>
      <c r="VS61" s="272"/>
      <c r="VT61" s="272"/>
      <c r="VU61" s="272"/>
      <c r="VV61" s="272"/>
      <c r="VW61" s="272"/>
      <c r="VX61" s="272"/>
      <c r="VY61" s="272"/>
      <c r="VZ61" s="272"/>
      <c r="WA61" s="272"/>
      <c r="WB61" s="272"/>
      <c r="WC61" s="272"/>
      <c r="WD61" s="272"/>
      <c r="WE61" s="272"/>
      <c r="WF61" s="272"/>
      <c r="WG61" s="272"/>
      <c r="WH61" s="272"/>
      <c r="WI61" s="272"/>
      <c r="WJ61" s="272"/>
      <c r="WK61" s="272"/>
      <c r="WL61" s="272"/>
      <c r="WM61" s="272"/>
      <c r="WN61" s="272"/>
      <c r="WO61" s="272"/>
      <c r="WP61" s="272"/>
      <c r="WQ61" s="272"/>
      <c r="WR61" s="272"/>
      <c r="WS61" s="272"/>
      <c r="WT61" s="272"/>
      <c r="WU61" s="272"/>
      <c r="WV61" s="272"/>
      <c r="WW61" s="272"/>
      <c r="WX61" s="272"/>
      <c r="WY61" s="272"/>
      <c r="WZ61" s="272"/>
      <c r="XA61" s="272"/>
      <c r="XB61" s="272"/>
      <c r="XC61" s="272"/>
      <c r="XD61" s="272"/>
      <c r="XE61" s="272"/>
      <c r="XF61" s="272"/>
      <c r="XG61" s="272"/>
      <c r="XH61" s="272"/>
      <c r="XI61" s="272"/>
      <c r="XJ61" s="272"/>
      <c r="XK61" s="272"/>
      <c r="XL61" s="272"/>
      <c r="XM61" s="272"/>
      <c r="XN61" s="272"/>
      <c r="XO61" s="272"/>
      <c r="XP61" s="272"/>
      <c r="XQ61" s="272"/>
      <c r="XR61" s="272"/>
      <c r="XS61" s="272"/>
      <c r="XT61" s="272"/>
      <c r="XU61" s="272"/>
      <c r="XV61" s="272"/>
      <c r="XW61" s="272"/>
      <c r="XX61" s="272"/>
      <c r="XY61" s="272"/>
      <c r="XZ61" s="272"/>
      <c r="YA61" s="272"/>
      <c r="YB61" s="272"/>
      <c r="YC61" s="272"/>
      <c r="YD61" s="272"/>
      <c r="YE61" s="272"/>
      <c r="YF61" s="272"/>
      <c r="YG61" s="272"/>
      <c r="YH61" s="272"/>
      <c r="YI61" s="272"/>
      <c r="YJ61" s="272"/>
      <c r="YK61" s="272"/>
      <c r="YL61" s="272"/>
      <c r="YM61" s="272"/>
      <c r="YN61" s="272"/>
      <c r="YO61" s="272"/>
      <c r="YP61" s="272"/>
      <c r="YQ61" s="272"/>
      <c r="YR61" s="272"/>
      <c r="YS61" s="272"/>
      <c r="YT61" s="272"/>
      <c r="YU61" s="272"/>
      <c r="YV61" s="272"/>
      <c r="YW61" s="272"/>
      <c r="YX61" s="272"/>
      <c r="YY61" s="272"/>
      <c r="YZ61" s="272"/>
      <c r="ZA61" s="272"/>
      <c r="ZB61" s="272"/>
      <c r="ZC61" s="272"/>
      <c r="ZD61" s="272"/>
      <c r="ZE61" s="272"/>
      <c r="ZF61" s="272"/>
      <c r="ZG61" s="272"/>
      <c r="ZH61" s="272"/>
      <c r="ZI61" s="272"/>
      <c r="ZJ61" s="272"/>
      <c r="ZK61" s="272"/>
      <c r="ZL61" s="272"/>
      <c r="ZM61" s="272"/>
      <c r="ZN61" s="272"/>
      <c r="ZO61" s="272"/>
      <c r="ZP61" s="272"/>
      <c r="ZQ61" s="272"/>
      <c r="ZR61" s="272"/>
      <c r="ZS61" s="272"/>
      <c r="ZT61" s="272"/>
      <c r="ZU61" s="272"/>
      <c r="ZV61" s="272"/>
      <c r="ZW61" s="272"/>
      <c r="ZX61" s="272"/>
      <c r="ZY61" s="272"/>
      <c r="ZZ61" s="272"/>
      <c r="AAA61" s="272"/>
      <c r="AAB61" s="272"/>
      <c r="AAC61" s="272"/>
      <c r="AAD61" s="272"/>
      <c r="AAE61" s="272"/>
      <c r="AAF61" s="272"/>
      <c r="AAG61" s="272"/>
      <c r="AAH61" s="272"/>
      <c r="AAI61" s="272"/>
      <c r="AAJ61" s="272"/>
      <c r="AAK61" s="272"/>
      <c r="AAL61" s="272"/>
      <c r="AAM61" s="272"/>
      <c r="AAN61" s="272"/>
      <c r="AAO61" s="272"/>
      <c r="AAP61" s="272"/>
      <c r="AAQ61" s="272"/>
      <c r="AAR61" s="272"/>
      <c r="AAS61" s="272"/>
      <c r="AAT61" s="272"/>
      <c r="AAU61" s="272"/>
      <c r="AAV61" s="272"/>
      <c r="AAW61" s="272"/>
      <c r="AAX61" s="272"/>
      <c r="AAY61" s="272"/>
      <c r="AAZ61" s="272"/>
      <c r="ABA61" s="272"/>
      <c r="ABB61" s="272"/>
      <c r="ABC61" s="272"/>
      <c r="ABD61" s="272"/>
      <c r="ABE61" s="272"/>
      <c r="ABF61" s="272"/>
      <c r="ABG61" s="272"/>
    </row>
    <row r="62" spans="1:735" s="19" customFormat="1" ht="15">
      <c r="A62" s="47"/>
      <c r="B62" s="74"/>
      <c r="C62" s="20" t="s">
        <v>53</v>
      </c>
      <c r="D62" s="508"/>
      <c r="E62" s="509"/>
      <c r="F62" s="506"/>
      <c r="G62" s="507"/>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2"/>
      <c r="EB62" s="272"/>
      <c r="EC62" s="272"/>
      <c r="ED62" s="272"/>
      <c r="EE62" s="272"/>
      <c r="EF62" s="272"/>
      <c r="EG62" s="272"/>
      <c r="EH62" s="272"/>
      <c r="EI62" s="272"/>
      <c r="EJ62" s="272"/>
      <c r="EK62" s="272"/>
      <c r="EL62" s="272"/>
      <c r="EM62" s="272"/>
      <c r="EN62" s="272"/>
      <c r="EO62" s="272"/>
      <c r="EP62" s="272"/>
      <c r="EQ62" s="272"/>
      <c r="ER62" s="272"/>
      <c r="ES62" s="272"/>
      <c r="ET62" s="272"/>
      <c r="EU62" s="272"/>
      <c r="EV62" s="272"/>
      <c r="EW62" s="272"/>
      <c r="EX62" s="272"/>
      <c r="EY62" s="272"/>
      <c r="EZ62" s="272"/>
      <c r="FA62" s="272"/>
      <c r="FB62" s="272"/>
      <c r="FC62" s="272"/>
      <c r="FD62" s="272"/>
      <c r="FE62" s="272"/>
      <c r="FF62" s="272"/>
      <c r="FG62" s="272"/>
      <c r="FH62" s="272"/>
      <c r="FI62" s="272"/>
      <c r="FJ62" s="272"/>
      <c r="FK62" s="272"/>
      <c r="FL62" s="272"/>
      <c r="FM62" s="272"/>
      <c r="FN62" s="272"/>
      <c r="FO62" s="272"/>
      <c r="FP62" s="272"/>
      <c r="FQ62" s="272"/>
      <c r="FR62" s="272"/>
      <c r="FS62" s="272"/>
      <c r="FT62" s="272"/>
      <c r="FU62" s="272"/>
      <c r="FV62" s="272"/>
      <c r="FW62" s="272"/>
      <c r="FX62" s="272"/>
      <c r="FY62" s="272"/>
      <c r="FZ62" s="272"/>
      <c r="GA62" s="272"/>
      <c r="GB62" s="272"/>
      <c r="GC62" s="272"/>
      <c r="GD62" s="272"/>
      <c r="GE62" s="272"/>
      <c r="GF62" s="272"/>
      <c r="GG62" s="272"/>
      <c r="GH62" s="272"/>
      <c r="GI62" s="272"/>
      <c r="GJ62" s="272"/>
      <c r="GK62" s="272"/>
      <c r="GL62" s="272"/>
      <c r="GM62" s="272"/>
      <c r="GN62" s="272"/>
      <c r="GO62" s="272"/>
      <c r="GP62" s="272"/>
      <c r="GQ62" s="272"/>
      <c r="GR62" s="272"/>
      <c r="GS62" s="272"/>
      <c r="GT62" s="272"/>
      <c r="GU62" s="272"/>
      <c r="GV62" s="272"/>
      <c r="GW62" s="272"/>
      <c r="GX62" s="272"/>
      <c r="GY62" s="272"/>
      <c r="GZ62" s="272"/>
      <c r="HA62" s="272"/>
      <c r="HB62" s="272"/>
      <c r="HC62" s="272"/>
      <c r="HD62" s="272"/>
      <c r="HE62" s="272"/>
      <c r="HF62" s="272"/>
      <c r="HG62" s="272"/>
      <c r="HH62" s="272"/>
      <c r="HI62" s="272"/>
      <c r="HJ62" s="272"/>
      <c r="HK62" s="272"/>
      <c r="HL62" s="272"/>
      <c r="HM62" s="272"/>
      <c r="HN62" s="272"/>
      <c r="HO62" s="272"/>
      <c r="HP62" s="272"/>
      <c r="HQ62" s="272"/>
      <c r="HR62" s="272"/>
      <c r="HS62" s="272"/>
      <c r="HT62" s="272"/>
      <c r="HU62" s="272"/>
      <c r="HV62" s="272"/>
      <c r="HW62" s="272"/>
      <c r="HX62" s="272"/>
      <c r="HY62" s="272"/>
      <c r="HZ62" s="272"/>
      <c r="IA62" s="272"/>
      <c r="IB62" s="272"/>
      <c r="IC62" s="272"/>
      <c r="ID62" s="272"/>
      <c r="IE62" s="272"/>
      <c r="IF62" s="272"/>
      <c r="IG62" s="272"/>
      <c r="IH62" s="272"/>
      <c r="II62" s="272"/>
      <c r="IJ62" s="272"/>
      <c r="IK62" s="272"/>
      <c r="IL62" s="272"/>
      <c r="IM62" s="272"/>
      <c r="IN62" s="272"/>
      <c r="IO62" s="272"/>
      <c r="IP62" s="272"/>
      <c r="IQ62" s="272"/>
      <c r="IR62" s="272"/>
      <c r="IS62" s="272"/>
      <c r="IT62" s="272"/>
      <c r="IU62" s="272"/>
      <c r="IV62" s="272"/>
      <c r="IW62" s="272"/>
      <c r="IX62" s="272"/>
      <c r="IY62" s="272"/>
      <c r="IZ62" s="272"/>
      <c r="JA62" s="272"/>
      <c r="JB62" s="272"/>
      <c r="JC62" s="272"/>
      <c r="JD62" s="272"/>
      <c r="JE62" s="272"/>
      <c r="JF62" s="272"/>
      <c r="JG62" s="272"/>
      <c r="JH62" s="272"/>
      <c r="JI62" s="272"/>
      <c r="JJ62" s="272"/>
      <c r="JK62" s="272"/>
      <c r="JL62" s="272"/>
      <c r="JM62" s="272"/>
      <c r="JN62" s="272"/>
      <c r="JO62" s="272"/>
      <c r="JP62" s="272"/>
      <c r="JQ62" s="272"/>
      <c r="JR62" s="272"/>
      <c r="JS62" s="272"/>
      <c r="JT62" s="272"/>
      <c r="JU62" s="272"/>
      <c r="JV62" s="272"/>
      <c r="JW62" s="272"/>
      <c r="JX62" s="272"/>
      <c r="JY62" s="272"/>
      <c r="JZ62" s="272"/>
      <c r="KA62" s="272"/>
      <c r="KB62" s="272"/>
      <c r="KC62" s="272"/>
      <c r="KD62" s="272"/>
      <c r="KE62" s="272"/>
      <c r="KF62" s="272"/>
      <c r="KG62" s="272"/>
      <c r="KH62" s="272"/>
      <c r="KI62" s="272"/>
      <c r="KJ62" s="272"/>
      <c r="KK62" s="272"/>
      <c r="KL62" s="272"/>
      <c r="KM62" s="272"/>
      <c r="KN62" s="272"/>
      <c r="KO62" s="272"/>
      <c r="KP62" s="272"/>
      <c r="KQ62" s="272"/>
      <c r="KR62" s="272"/>
      <c r="KS62" s="272"/>
      <c r="KT62" s="272"/>
      <c r="KU62" s="272"/>
      <c r="KV62" s="272"/>
      <c r="KW62" s="272"/>
      <c r="KX62" s="272"/>
      <c r="KY62" s="272"/>
      <c r="KZ62" s="272"/>
      <c r="LA62" s="272"/>
      <c r="LB62" s="272"/>
      <c r="LC62" s="272"/>
      <c r="LD62" s="272"/>
      <c r="LE62" s="272"/>
      <c r="LF62" s="272"/>
      <c r="LG62" s="272"/>
      <c r="LH62" s="272"/>
      <c r="LI62" s="272"/>
      <c r="LJ62" s="272"/>
      <c r="LK62" s="272"/>
      <c r="LL62" s="272"/>
      <c r="LM62" s="272"/>
      <c r="LN62" s="272"/>
      <c r="LO62" s="272"/>
      <c r="LP62" s="272"/>
      <c r="LQ62" s="272"/>
      <c r="LR62" s="272"/>
      <c r="LS62" s="272"/>
      <c r="LT62" s="272"/>
      <c r="LU62" s="272"/>
      <c r="LV62" s="272"/>
      <c r="LW62" s="272"/>
      <c r="LX62" s="272"/>
      <c r="LY62" s="272"/>
      <c r="LZ62" s="272"/>
      <c r="MA62" s="272"/>
      <c r="MB62" s="272"/>
      <c r="MC62" s="272"/>
      <c r="MD62" s="272"/>
      <c r="ME62" s="272"/>
      <c r="MF62" s="272"/>
      <c r="MG62" s="272"/>
      <c r="MH62" s="272"/>
      <c r="MI62" s="272"/>
      <c r="MJ62" s="272"/>
      <c r="MK62" s="272"/>
      <c r="ML62" s="272"/>
      <c r="MM62" s="272"/>
      <c r="MN62" s="272"/>
      <c r="MO62" s="272"/>
      <c r="MP62" s="272"/>
      <c r="MQ62" s="272"/>
      <c r="MR62" s="272"/>
      <c r="MS62" s="272"/>
      <c r="MT62" s="272"/>
      <c r="MU62" s="272"/>
      <c r="MV62" s="272"/>
      <c r="MW62" s="272"/>
      <c r="MX62" s="272"/>
      <c r="MY62" s="272"/>
      <c r="MZ62" s="272"/>
      <c r="NA62" s="272"/>
      <c r="NB62" s="272"/>
      <c r="NC62" s="272"/>
      <c r="ND62" s="272"/>
      <c r="NE62" s="272"/>
      <c r="NF62" s="272"/>
      <c r="NG62" s="272"/>
      <c r="NH62" s="272"/>
      <c r="NI62" s="272"/>
      <c r="NJ62" s="272"/>
      <c r="NK62" s="272"/>
      <c r="NL62" s="272"/>
      <c r="NM62" s="272"/>
      <c r="NN62" s="272"/>
      <c r="NO62" s="272"/>
      <c r="NP62" s="272"/>
      <c r="NQ62" s="272"/>
      <c r="NR62" s="272"/>
      <c r="NS62" s="272"/>
      <c r="NT62" s="272"/>
      <c r="NU62" s="272"/>
      <c r="NV62" s="272"/>
      <c r="NW62" s="272"/>
      <c r="NX62" s="272"/>
      <c r="NY62" s="272"/>
      <c r="NZ62" s="272"/>
      <c r="OA62" s="272"/>
      <c r="OB62" s="272"/>
      <c r="OC62" s="272"/>
      <c r="OD62" s="272"/>
      <c r="OE62" s="272"/>
      <c r="OF62" s="272"/>
      <c r="OG62" s="272"/>
      <c r="OH62" s="272"/>
      <c r="OI62" s="272"/>
      <c r="OJ62" s="272"/>
      <c r="OK62" s="272"/>
      <c r="OL62" s="272"/>
      <c r="OM62" s="272"/>
      <c r="ON62" s="272"/>
      <c r="OO62" s="272"/>
      <c r="OP62" s="272"/>
      <c r="OQ62" s="272"/>
      <c r="OR62" s="272"/>
      <c r="OS62" s="272"/>
      <c r="OT62" s="272"/>
      <c r="OU62" s="272"/>
      <c r="OV62" s="272"/>
      <c r="OW62" s="272"/>
      <c r="OX62" s="272"/>
      <c r="OY62" s="272"/>
      <c r="OZ62" s="272"/>
      <c r="PA62" s="272"/>
      <c r="PB62" s="272"/>
      <c r="PC62" s="272"/>
      <c r="PD62" s="272"/>
      <c r="PE62" s="272"/>
      <c r="PF62" s="272"/>
      <c r="PG62" s="272"/>
      <c r="PH62" s="272"/>
      <c r="PI62" s="272"/>
      <c r="PJ62" s="272"/>
      <c r="PK62" s="272"/>
      <c r="PL62" s="272"/>
      <c r="PM62" s="272"/>
      <c r="PN62" s="272"/>
      <c r="PO62" s="272"/>
      <c r="PP62" s="272"/>
      <c r="PQ62" s="272"/>
      <c r="PR62" s="272"/>
      <c r="PS62" s="272"/>
      <c r="PT62" s="272"/>
      <c r="PU62" s="272"/>
      <c r="PV62" s="272"/>
      <c r="PW62" s="272"/>
      <c r="PX62" s="272"/>
      <c r="PY62" s="272"/>
      <c r="PZ62" s="272"/>
      <c r="QA62" s="272"/>
      <c r="QB62" s="272"/>
      <c r="QC62" s="272"/>
      <c r="QD62" s="272"/>
      <c r="QE62" s="272"/>
      <c r="QF62" s="272"/>
      <c r="QG62" s="272"/>
      <c r="QH62" s="272"/>
      <c r="QI62" s="272"/>
      <c r="QJ62" s="272"/>
      <c r="QK62" s="272"/>
      <c r="QL62" s="272"/>
      <c r="QM62" s="272"/>
      <c r="QN62" s="272"/>
      <c r="QO62" s="272"/>
      <c r="QP62" s="272"/>
      <c r="QQ62" s="272"/>
      <c r="QR62" s="272"/>
      <c r="QS62" s="272"/>
      <c r="QT62" s="272"/>
      <c r="QU62" s="272"/>
      <c r="QV62" s="272"/>
      <c r="QW62" s="272"/>
      <c r="QX62" s="272"/>
      <c r="QY62" s="272"/>
      <c r="QZ62" s="272"/>
      <c r="RA62" s="272"/>
      <c r="RB62" s="272"/>
      <c r="RC62" s="272"/>
      <c r="RD62" s="272"/>
      <c r="RE62" s="272"/>
      <c r="RF62" s="272"/>
      <c r="RG62" s="272"/>
      <c r="RH62" s="272"/>
      <c r="RI62" s="272"/>
      <c r="RJ62" s="272"/>
      <c r="RK62" s="272"/>
      <c r="RL62" s="272"/>
      <c r="RM62" s="272"/>
      <c r="RN62" s="272"/>
      <c r="RO62" s="272"/>
      <c r="RP62" s="272"/>
      <c r="RQ62" s="272"/>
      <c r="RR62" s="272"/>
      <c r="RS62" s="272"/>
      <c r="RT62" s="272"/>
      <c r="RU62" s="272"/>
      <c r="RV62" s="272"/>
      <c r="RW62" s="272"/>
      <c r="RX62" s="272"/>
      <c r="RY62" s="272"/>
      <c r="RZ62" s="272"/>
      <c r="SA62" s="272"/>
      <c r="SB62" s="272"/>
      <c r="SC62" s="272"/>
      <c r="SD62" s="272"/>
      <c r="SE62" s="272"/>
      <c r="SF62" s="272"/>
      <c r="SG62" s="272"/>
      <c r="SH62" s="272"/>
      <c r="SI62" s="272"/>
      <c r="SJ62" s="272"/>
      <c r="SK62" s="272"/>
      <c r="SL62" s="272"/>
      <c r="SM62" s="272"/>
      <c r="SN62" s="272"/>
      <c r="SO62" s="272"/>
      <c r="SP62" s="272"/>
      <c r="SQ62" s="272"/>
      <c r="SR62" s="272"/>
      <c r="SS62" s="272"/>
      <c r="ST62" s="272"/>
      <c r="SU62" s="272"/>
      <c r="SV62" s="272"/>
      <c r="SW62" s="272"/>
      <c r="SX62" s="272"/>
      <c r="SY62" s="272"/>
      <c r="SZ62" s="272"/>
      <c r="TA62" s="272"/>
      <c r="TB62" s="272"/>
      <c r="TC62" s="272"/>
      <c r="TD62" s="272"/>
      <c r="TE62" s="272"/>
      <c r="TF62" s="272"/>
      <c r="TG62" s="272"/>
      <c r="TH62" s="272"/>
      <c r="TI62" s="272"/>
      <c r="TJ62" s="272"/>
      <c r="TK62" s="272"/>
      <c r="TL62" s="272"/>
      <c r="TM62" s="272"/>
      <c r="TN62" s="272"/>
      <c r="TO62" s="272"/>
      <c r="TP62" s="272"/>
      <c r="TQ62" s="272"/>
      <c r="TR62" s="272"/>
      <c r="TS62" s="272"/>
      <c r="TT62" s="272"/>
      <c r="TU62" s="272"/>
      <c r="TV62" s="272"/>
      <c r="TW62" s="272"/>
      <c r="TX62" s="272"/>
      <c r="TY62" s="272"/>
      <c r="TZ62" s="272"/>
      <c r="UA62" s="272"/>
      <c r="UB62" s="272"/>
      <c r="UC62" s="272"/>
      <c r="UD62" s="272"/>
      <c r="UE62" s="272"/>
      <c r="UF62" s="272"/>
      <c r="UG62" s="272"/>
      <c r="UH62" s="272"/>
      <c r="UI62" s="272"/>
      <c r="UJ62" s="272"/>
      <c r="UK62" s="272"/>
      <c r="UL62" s="272"/>
      <c r="UM62" s="272"/>
      <c r="UN62" s="272"/>
      <c r="UO62" s="272"/>
      <c r="UP62" s="272"/>
      <c r="UQ62" s="272"/>
      <c r="UR62" s="272"/>
      <c r="US62" s="272"/>
      <c r="UT62" s="272"/>
      <c r="UU62" s="272"/>
      <c r="UV62" s="272"/>
      <c r="UW62" s="272"/>
      <c r="UX62" s="272"/>
      <c r="UY62" s="272"/>
      <c r="UZ62" s="272"/>
      <c r="VA62" s="272"/>
      <c r="VB62" s="272"/>
      <c r="VC62" s="272"/>
      <c r="VD62" s="272"/>
      <c r="VE62" s="272"/>
      <c r="VF62" s="272"/>
      <c r="VG62" s="272"/>
      <c r="VH62" s="272"/>
      <c r="VI62" s="272"/>
      <c r="VJ62" s="272"/>
      <c r="VK62" s="272"/>
      <c r="VL62" s="272"/>
      <c r="VM62" s="272"/>
      <c r="VN62" s="272"/>
      <c r="VO62" s="272"/>
      <c r="VP62" s="272"/>
      <c r="VQ62" s="272"/>
      <c r="VR62" s="272"/>
      <c r="VS62" s="272"/>
      <c r="VT62" s="272"/>
      <c r="VU62" s="272"/>
      <c r="VV62" s="272"/>
      <c r="VW62" s="272"/>
      <c r="VX62" s="272"/>
      <c r="VY62" s="272"/>
      <c r="VZ62" s="272"/>
      <c r="WA62" s="272"/>
      <c r="WB62" s="272"/>
      <c r="WC62" s="272"/>
      <c r="WD62" s="272"/>
      <c r="WE62" s="272"/>
      <c r="WF62" s="272"/>
      <c r="WG62" s="272"/>
      <c r="WH62" s="272"/>
      <c r="WI62" s="272"/>
      <c r="WJ62" s="272"/>
      <c r="WK62" s="272"/>
      <c r="WL62" s="272"/>
      <c r="WM62" s="272"/>
      <c r="WN62" s="272"/>
      <c r="WO62" s="272"/>
      <c r="WP62" s="272"/>
      <c r="WQ62" s="272"/>
      <c r="WR62" s="272"/>
      <c r="WS62" s="272"/>
      <c r="WT62" s="272"/>
      <c r="WU62" s="272"/>
      <c r="WV62" s="272"/>
      <c r="WW62" s="272"/>
      <c r="WX62" s="272"/>
      <c r="WY62" s="272"/>
      <c r="WZ62" s="272"/>
      <c r="XA62" s="272"/>
      <c r="XB62" s="272"/>
      <c r="XC62" s="272"/>
      <c r="XD62" s="272"/>
      <c r="XE62" s="272"/>
      <c r="XF62" s="272"/>
      <c r="XG62" s="272"/>
      <c r="XH62" s="272"/>
      <c r="XI62" s="272"/>
      <c r="XJ62" s="272"/>
      <c r="XK62" s="272"/>
      <c r="XL62" s="272"/>
      <c r="XM62" s="272"/>
      <c r="XN62" s="272"/>
      <c r="XO62" s="272"/>
      <c r="XP62" s="272"/>
      <c r="XQ62" s="272"/>
      <c r="XR62" s="272"/>
      <c r="XS62" s="272"/>
      <c r="XT62" s="272"/>
      <c r="XU62" s="272"/>
      <c r="XV62" s="272"/>
      <c r="XW62" s="272"/>
      <c r="XX62" s="272"/>
      <c r="XY62" s="272"/>
      <c r="XZ62" s="272"/>
      <c r="YA62" s="272"/>
      <c r="YB62" s="272"/>
      <c r="YC62" s="272"/>
      <c r="YD62" s="272"/>
      <c r="YE62" s="272"/>
      <c r="YF62" s="272"/>
      <c r="YG62" s="272"/>
      <c r="YH62" s="272"/>
      <c r="YI62" s="272"/>
      <c r="YJ62" s="272"/>
      <c r="YK62" s="272"/>
      <c r="YL62" s="272"/>
      <c r="YM62" s="272"/>
      <c r="YN62" s="272"/>
      <c r="YO62" s="272"/>
      <c r="YP62" s="272"/>
      <c r="YQ62" s="272"/>
      <c r="YR62" s="272"/>
      <c r="YS62" s="272"/>
      <c r="YT62" s="272"/>
      <c r="YU62" s="272"/>
      <c r="YV62" s="272"/>
      <c r="YW62" s="272"/>
      <c r="YX62" s="272"/>
      <c r="YY62" s="272"/>
      <c r="YZ62" s="272"/>
      <c r="ZA62" s="272"/>
      <c r="ZB62" s="272"/>
      <c r="ZC62" s="272"/>
      <c r="ZD62" s="272"/>
      <c r="ZE62" s="272"/>
      <c r="ZF62" s="272"/>
      <c r="ZG62" s="272"/>
      <c r="ZH62" s="272"/>
      <c r="ZI62" s="272"/>
      <c r="ZJ62" s="272"/>
      <c r="ZK62" s="272"/>
      <c r="ZL62" s="272"/>
      <c r="ZM62" s="272"/>
      <c r="ZN62" s="272"/>
      <c r="ZO62" s="272"/>
      <c r="ZP62" s="272"/>
      <c r="ZQ62" s="272"/>
      <c r="ZR62" s="272"/>
      <c r="ZS62" s="272"/>
      <c r="ZT62" s="272"/>
      <c r="ZU62" s="272"/>
      <c r="ZV62" s="272"/>
      <c r="ZW62" s="272"/>
      <c r="ZX62" s="272"/>
      <c r="ZY62" s="272"/>
      <c r="ZZ62" s="272"/>
      <c r="AAA62" s="272"/>
      <c r="AAB62" s="272"/>
      <c r="AAC62" s="272"/>
      <c r="AAD62" s="272"/>
      <c r="AAE62" s="272"/>
      <c r="AAF62" s="272"/>
      <c r="AAG62" s="272"/>
      <c r="AAH62" s="272"/>
      <c r="AAI62" s="272"/>
      <c r="AAJ62" s="272"/>
      <c r="AAK62" s="272"/>
      <c r="AAL62" s="272"/>
      <c r="AAM62" s="272"/>
      <c r="AAN62" s="272"/>
      <c r="AAO62" s="272"/>
      <c r="AAP62" s="272"/>
      <c r="AAQ62" s="272"/>
      <c r="AAR62" s="272"/>
      <c r="AAS62" s="272"/>
      <c r="AAT62" s="272"/>
      <c r="AAU62" s="272"/>
      <c r="AAV62" s="272"/>
      <c r="AAW62" s="272"/>
      <c r="AAX62" s="272"/>
      <c r="AAY62" s="272"/>
      <c r="AAZ62" s="272"/>
      <c r="ABA62" s="272"/>
      <c r="ABB62" s="272"/>
      <c r="ABC62" s="272"/>
      <c r="ABD62" s="272"/>
      <c r="ABE62" s="272"/>
      <c r="ABF62" s="272"/>
      <c r="ABG62" s="272"/>
    </row>
    <row r="63" spans="1:735" s="62" customFormat="1" ht="13.5" thickBot="1">
      <c r="A63" s="48"/>
      <c r="B63" s="75"/>
      <c r="C63" s="58" t="s">
        <v>54</v>
      </c>
      <c r="D63" s="58"/>
      <c r="E63" s="60"/>
      <c r="F63" s="264"/>
      <c r="G63" s="389"/>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c r="EI63" s="272"/>
      <c r="EJ63" s="272"/>
      <c r="EK63" s="272"/>
      <c r="EL63" s="272"/>
      <c r="EM63" s="272"/>
      <c r="EN63" s="272"/>
      <c r="EO63" s="272"/>
      <c r="EP63" s="272"/>
      <c r="EQ63" s="272"/>
      <c r="ER63" s="272"/>
      <c r="ES63" s="272"/>
      <c r="ET63" s="272"/>
      <c r="EU63" s="272"/>
      <c r="EV63" s="272"/>
      <c r="EW63" s="272"/>
      <c r="EX63" s="272"/>
      <c r="EY63" s="272"/>
      <c r="EZ63" s="272"/>
      <c r="FA63" s="272"/>
      <c r="FB63" s="272"/>
      <c r="FC63" s="272"/>
      <c r="FD63" s="272"/>
      <c r="FE63" s="272"/>
      <c r="FF63" s="272"/>
      <c r="FG63" s="272"/>
      <c r="FH63" s="272"/>
      <c r="FI63" s="272"/>
      <c r="FJ63" s="272"/>
      <c r="FK63" s="272"/>
      <c r="FL63" s="272"/>
      <c r="FM63" s="272"/>
      <c r="FN63" s="272"/>
      <c r="FO63" s="272"/>
      <c r="FP63" s="272"/>
      <c r="FQ63" s="272"/>
      <c r="FR63" s="272"/>
      <c r="FS63" s="272"/>
      <c r="FT63" s="272"/>
      <c r="FU63" s="272"/>
      <c r="FV63" s="272"/>
      <c r="FW63" s="272"/>
      <c r="FX63" s="272"/>
      <c r="FY63" s="272"/>
      <c r="FZ63" s="272"/>
      <c r="GA63" s="272"/>
      <c r="GB63" s="272"/>
      <c r="GC63" s="272"/>
      <c r="GD63" s="272"/>
      <c r="GE63" s="272"/>
      <c r="GF63" s="272"/>
      <c r="GG63" s="272"/>
      <c r="GH63" s="272"/>
      <c r="GI63" s="272"/>
      <c r="GJ63" s="272"/>
      <c r="GK63" s="272"/>
      <c r="GL63" s="272"/>
      <c r="GM63" s="272"/>
      <c r="GN63" s="272"/>
      <c r="GO63" s="272"/>
      <c r="GP63" s="272"/>
      <c r="GQ63" s="272"/>
      <c r="GR63" s="272"/>
      <c r="GS63" s="272"/>
      <c r="GT63" s="272"/>
      <c r="GU63" s="272"/>
      <c r="GV63" s="272"/>
      <c r="GW63" s="272"/>
      <c r="GX63" s="272"/>
      <c r="GY63" s="272"/>
      <c r="GZ63" s="272"/>
      <c r="HA63" s="272"/>
      <c r="HB63" s="272"/>
      <c r="HC63" s="272"/>
      <c r="HD63" s="272"/>
      <c r="HE63" s="272"/>
      <c r="HF63" s="272"/>
      <c r="HG63" s="272"/>
      <c r="HH63" s="272"/>
      <c r="HI63" s="272"/>
      <c r="HJ63" s="272"/>
      <c r="HK63" s="272"/>
      <c r="HL63" s="272"/>
      <c r="HM63" s="272"/>
      <c r="HN63" s="272"/>
      <c r="HO63" s="272"/>
      <c r="HP63" s="272"/>
      <c r="HQ63" s="272"/>
      <c r="HR63" s="272"/>
      <c r="HS63" s="272"/>
      <c r="HT63" s="272"/>
      <c r="HU63" s="272"/>
      <c r="HV63" s="272"/>
      <c r="HW63" s="272"/>
      <c r="HX63" s="272"/>
      <c r="HY63" s="272"/>
      <c r="HZ63" s="272"/>
      <c r="IA63" s="272"/>
      <c r="IB63" s="272"/>
      <c r="IC63" s="272"/>
      <c r="ID63" s="272"/>
      <c r="IE63" s="272"/>
      <c r="IF63" s="272"/>
      <c r="IG63" s="272"/>
      <c r="IH63" s="272"/>
      <c r="II63" s="272"/>
      <c r="IJ63" s="272"/>
      <c r="IK63" s="272"/>
      <c r="IL63" s="272"/>
      <c r="IM63" s="272"/>
      <c r="IN63" s="272"/>
      <c r="IO63" s="272"/>
      <c r="IP63" s="272"/>
      <c r="IQ63" s="272"/>
      <c r="IR63" s="272"/>
      <c r="IS63" s="272"/>
      <c r="IT63" s="272"/>
      <c r="IU63" s="272"/>
      <c r="IV63" s="272"/>
      <c r="IW63" s="272"/>
      <c r="IX63" s="272"/>
      <c r="IY63" s="272"/>
      <c r="IZ63" s="272"/>
      <c r="JA63" s="272"/>
      <c r="JB63" s="272"/>
      <c r="JC63" s="272"/>
      <c r="JD63" s="272"/>
      <c r="JE63" s="272"/>
      <c r="JF63" s="272"/>
      <c r="JG63" s="272"/>
      <c r="JH63" s="272"/>
      <c r="JI63" s="272"/>
      <c r="JJ63" s="272"/>
      <c r="JK63" s="272"/>
      <c r="JL63" s="272"/>
      <c r="JM63" s="272"/>
      <c r="JN63" s="272"/>
      <c r="JO63" s="272"/>
      <c r="JP63" s="272"/>
      <c r="JQ63" s="272"/>
      <c r="JR63" s="272"/>
      <c r="JS63" s="272"/>
      <c r="JT63" s="272"/>
      <c r="JU63" s="272"/>
      <c r="JV63" s="272"/>
      <c r="JW63" s="272"/>
      <c r="JX63" s="272"/>
      <c r="JY63" s="272"/>
      <c r="JZ63" s="272"/>
      <c r="KA63" s="272"/>
      <c r="KB63" s="272"/>
      <c r="KC63" s="272"/>
      <c r="KD63" s="272"/>
      <c r="KE63" s="272"/>
      <c r="KF63" s="272"/>
      <c r="KG63" s="272"/>
      <c r="KH63" s="272"/>
      <c r="KI63" s="272"/>
      <c r="KJ63" s="272"/>
      <c r="KK63" s="272"/>
      <c r="KL63" s="272"/>
      <c r="KM63" s="272"/>
      <c r="KN63" s="272"/>
      <c r="KO63" s="272"/>
      <c r="KP63" s="272"/>
      <c r="KQ63" s="272"/>
      <c r="KR63" s="272"/>
      <c r="KS63" s="272"/>
      <c r="KT63" s="272"/>
      <c r="KU63" s="272"/>
      <c r="KV63" s="272"/>
      <c r="KW63" s="272"/>
      <c r="KX63" s="272"/>
      <c r="KY63" s="272"/>
      <c r="KZ63" s="272"/>
      <c r="LA63" s="272"/>
      <c r="LB63" s="272"/>
      <c r="LC63" s="272"/>
      <c r="LD63" s="272"/>
      <c r="LE63" s="272"/>
      <c r="LF63" s="272"/>
      <c r="LG63" s="272"/>
      <c r="LH63" s="272"/>
      <c r="LI63" s="272"/>
      <c r="LJ63" s="272"/>
      <c r="LK63" s="272"/>
      <c r="LL63" s="272"/>
      <c r="LM63" s="272"/>
      <c r="LN63" s="272"/>
      <c r="LO63" s="272"/>
      <c r="LP63" s="272"/>
      <c r="LQ63" s="272"/>
      <c r="LR63" s="272"/>
      <c r="LS63" s="272"/>
      <c r="LT63" s="272"/>
      <c r="LU63" s="272"/>
      <c r="LV63" s="272"/>
      <c r="LW63" s="272"/>
      <c r="LX63" s="272"/>
      <c r="LY63" s="272"/>
      <c r="LZ63" s="272"/>
      <c r="MA63" s="272"/>
      <c r="MB63" s="272"/>
      <c r="MC63" s="272"/>
      <c r="MD63" s="272"/>
      <c r="ME63" s="272"/>
      <c r="MF63" s="272"/>
      <c r="MG63" s="272"/>
      <c r="MH63" s="272"/>
      <c r="MI63" s="272"/>
      <c r="MJ63" s="272"/>
      <c r="MK63" s="272"/>
      <c r="ML63" s="272"/>
      <c r="MM63" s="272"/>
      <c r="MN63" s="272"/>
      <c r="MO63" s="272"/>
      <c r="MP63" s="272"/>
      <c r="MQ63" s="272"/>
      <c r="MR63" s="272"/>
      <c r="MS63" s="272"/>
      <c r="MT63" s="272"/>
      <c r="MU63" s="272"/>
      <c r="MV63" s="272"/>
      <c r="MW63" s="272"/>
      <c r="MX63" s="272"/>
      <c r="MY63" s="272"/>
      <c r="MZ63" s="272"/>
      <c r="NA63" s="272"/>
      <c r="NB63" s="272"/>
      <c r="NC63" s="272"/>
      <c r="ND63" s="272"/>
      <c r="NE63" s="272"/>
      <c r="NF63" s="272"/>
      <c r="NG63" s="272"/>
      <c r="NH63" s="272"/>
      <c r="NI63" s="272"/>
      <c r="NJ63" s="272"/>
      <c r="NK63" s="272"/>
      <c r="NL63" s="272"/>
      <c r="NM63" s="272"/>
      <c r="NN63" s="272"/>
      <c r="NO63" s="272"/>
      <c r="NP63" s="272"/>
      <c r="NQ63" s="272"/>
      <c r="NR63" s="272"/>
      <c r="NS63" s="272"/>
      <c r="NT63" s="272"/>
      <c r="NU63" s="272"/>
      <c r="NV63" s="272"/>
      <c r="NW63" s="272"/>
      <c r="NX63" s="272"/>
      <c r="NY63" s="272"/>
      <c r="NZ63" s="272"/>
      <c r="OA63" s="272"/>
      <c r="OB63" s="272"/>
      <c r="OC63" s="272"/>
      <c r="OD63" s="272"/>
      <c r="OE63" s="272"/>
      <c r="OF63" s="272"/>
      <c r="OG63" s="272"/>
      <c r="OH63" s="272"/>
      <c r="OI63" s="272"/>
      <c r="OJ63" s="272"/>
      <c r="OK63" s="272"/>
      <c r="OL63" s="272"/>
      <c r="OM63" s="272"/>
      <c r="ON63" s="272"/>
      <c r="OO63" s="272"/>
      <c r="OP63" s="272"/>
      <c r="OQ63" s="272"/>
      <c r="OR63" s="272"/>
      <c r="OS63" s="272"/>
      <c r="OT63" s="272"/>
      <c r="OU63" s="272"/>
      <c r="OV63" s="272"/>
      <c r="OW63" s="272"/>
      <c r="OX63" s="272"/>
      <c r="OY63" s="272"/>
      <c r="OZ63" s="272"/>
      <c r="PA63" s="272"/>
      <c r="PB63" s="272"/>
      <c r="PC63" s="272"/>
      <c r="PD63" s="272"/>
      <c r="PE63" s="272"/>
      <c r="PF63" s="272"/>
      <c r="PG63" s="272"/>
      <c r="PH63" s="272"/>
      <c r="PI63" s="272"/>
      <c r="PJ63" s="272"/>
      <c r="PK63" s="272"/>
      <c r="PL63" s="272"/>
      <c r="PM63" s="272"/>
      <c r="PN63" s="272"/>
      <c r="PO63" s="272"/>
      <c r="PP63" s="272"/>
      <c r="PQ63" s="272"/>
      <c r="PR63" s="272"/>
      <c r="PS63" s="272"/>
      <c r="PT63" s="272"/>
      <c r="PU63" s="272"/>
      <c r="PV63" s="272"/>
      <c r="PW63" s="272"/>
      <c r="PX63" s="272"/>
      <c r="PY63" s="272"/>
      <c r="PZ63" s="272"/>
      <c r="QA63" s="272"/>
      <c r="QB63" s="272"/>
      <c r="QC63" s="272"/>
      <c r="QD63" s="272"/>
      <c r="QE63" s="272"/>
      <c r="QF63" s="272"/>
      <c r="QG63" s="272"/>
      <c r="QH63" s="272"/>
      <c r="QI63" s="272"/>
      <c r="QJ63" s="272"/>
      <c r="QK63" s="272"/>
      <c r="QL63" s="272"/>
      <c r="QM63" s="272"/>
      <c r="QN63" s="272"/>
      <c r="QO63" s="272"/>
      <c r="QP63" s="272"/>
      <c r="QQ63" s="272"/>
      <c r="QR63" s="272"/>
      <c r="QS63" s="272"/>
      <c r="QT63" s="272"/>
      <c r="QU63" s="272"/>
      <c r="QV63" s="272"/>
      <c r="QW63" s="272"/>
      <c r="QX63" s="272"/>
      <c r="QY63" s="272"/>
      <c r="QZ63" s="272"/>
      <c r="RA63" s="272"/>
      <c r="RB63" s="272"/>
      <c r="RC63" s="272"/>
      <c r="RD63" s="272"/>
      <c r="RE63" s="272"/>
      <c r="RF63" s="272"/>
      <c r="RG63" s="272"/>
      <c r="RH63" s="272"/>
      <c r="RI63" s="272"/>
      <c r="RJ63" s="272"/>
      <c r="RK63" s="272"/>
      <c r="RL63" s="272"/>
      <c r="RM63" s="272"/>
      <c r="RN63" s="272"/>
      <c r="RO63" s="272"/>
      <c r="RP63" s="272"/>
      <c r="RQ63" s="272"/>
      <c r="RR63" s="272"/>
      <c r="RS63" s="272"/>
      <c r="RT63" s="272"/>
      <c r="RU63" s="272"/>
      <c r="RV63" s="272"/>
      <c r="RW63" s="272"/>
      <c r="RX63" s="272"/>
      <c r="RY63" s="272"/>
      <c r="RZ63" s="272"/>
      <c r="SA63" s="272"/>
      <c r="SB63" s="272"/>
      <c r="SC63" s="272"/>
      <c r="SD63" s="272"/>
      <c r="SE63" s="272"/>
      <c r="SF63" s="272"/>
      <c r="SG63" s="272"/>
      <c r="SH63" s="272"/>
      <c r="SI63" s="272"/>
      <c r="SJ63" s="272"/>
      <c r="SK63" s="272"/>
      <c r="SL63" s="272"/>
      <c r="SM63" s="272"/>
      <c r="SN63" s="272"/>
      <c r="SO63" s="272"/>
      <c r="SP63" s="272"/>
      <c r="SQ63" s="272"/>
      <c r="SR63" s="272"/>
      <c r="SS63" s="272"/>
      <c r="ST63" s="272"/>
      <c r="SU63" s="272"/>
      <c r="SV63" s="272"/>
      <c r="SW63" s="272"/>
      <c r="SX63" s="272"/>
      <c r="SY63" s="272"/>
      <c r="SZ63" s="272"/>
      <c r="TA63" s="272"/>
      <c r="TB63" s="272"/>
      <c r="TC63" s="272"/>
      <c r="TD63" s="272"/>
      <c r="TE63" s="272"/>
      <c r="TF63" s="272"/>
      <c r="TG63" s="272"/>
      <c r="TH63" s="272"/>
      <c r="TI63" s="272"/>
      <c r="TJ63" s="272"/>
      <c r="TK63" s="272"/>
      <c r="TL63" s="272"/>
      <c r="TM63" s="272"/>
      <c r="TN63" s="272"/>
      <c r="TO63" s="272"/>
      <c r="TP63" s="272"/>
      <c r="TQ63" s="272"/>
      <c r="TR63" s="272"/>
      <c r="TS63" s="272"/>
      <c r="TT63" s="272"/>
      <c r="TU63" s="272"/>
      <c r="TV63" s="272"/>
      <c r="TW63" s="272"/>
      <c r="TX63" s="272"/>
      <c r="TY63" s="272"/>
      <c r="TZ63" s="272"/>
      <c r="UA63" s="272"/>
      <c r="UB63" s="272"/>
      <c r="UC63" s="272"/>
      <c r="UD63" s="272"/>
      <c r="UE63" s="272"/>
      <c r="UF63" s="272"/>
      <c r="UG63" s="272"/>
      <c r="UH63" s="272"/>
      <c r="UI63" s="272"/>
      <c r="UJ63" s="272"/>
      <c r="UK63" s="272"/>
      <c r="UL63" s="272"/>
      <c r="UM63" s="272"/>
      <c r="UN63" s="272"/>
      <c r="UO63" s="272"/>
      <c r="UP63" s="272"/>
      <c r="UQ63" s="272"/>
      <c r="UR63" s="272"/>
      <c r="US63" s="272"/>
      <c r="UT63" s="272"/>
      <c r="UU63" s="272"/>
      <c r="UV63" s="272"/>
      <c r="UW63" s="272"/>
      <c r="UX63" s="272"/>
      <c r="UY63" s="272"/>
      <c r="UZ63" s="272"/>
      <c r="VA63" s="272"/>
      <c r="VB63" s="272"/>
      <c r="VC63" s="272"/>
      <c r="VD63" s="272"/>
      <c r="VE63" s="272"/>
      <c r="VF63" s="272"/>
      <c r="VG63" s="272"/>
      <c r="VH63" s="272"/>
      <c r="VI63" s="272"/>
      <c r="VJ63" s="272"/>
      <c r="VK63" s="272"/>
      <c r="VL63" s="272"/>
      <c r="VM63" s="272"/>
      <c r="VN63" s="272"/>
      <c r="VO63" s="272"/>
      <c r="VP63" s="272"/>
      <c r="VQ63" s="272"/>
      <c r="VR63" s="272"/>
      <c r="VS63" s="272"/>
      <c r="VT63" s="272"/>
      <c r="VU63" s="272"/>
      <c r="VV63" s="272"/>
      <c r="VW63" s="272"/>
      <c r="VX63" s="272"/>
      <c r="VY63" s="272"/>
      <c r="VZ63" s="272"/>
      <c r="WA63" s="272"/>
      <c r="WB63" s="272"/>
      <c r="WC63" s="272"/>
      <c r="WD63" s="272"/>
      <c r="WE63" s="272"/>
      <c r="WF63" s="272"/>
      <c r="WG63" s="272"/>
      <c r="WH63" s="272"/>
      <c r="WI63" s="272"/>
      <c r="WJ63" s="272"/>
      <c r="WK63" s="272"/>
      <c r="WL63" s="272"/>
      <c r="WM63" s="272"/>
      <c r="WN63" s="272"/>
      <c r="WO63" s="272"/>
      <c r="WP63" s="272"/>
      <c r="WQ63" s="272"/>
      <c r="WR63" s="272"/>
      <c r="WS63" s="272"/>
      <c r="WT63" s="272"/>
      <c r="WU63" s="272"/>
      <c r="WV63" s="272"/>
      <c r="WW63" s="272"/>
      <c r="WX63" s="272"/>
      <c r="WY63" s="272"/>
      <c r="WZ63" s="272"/>
      <c r="XA63" s="272"/>
      <c r="XB63" s="272"/>
      <c r="XC63" s="272"/>
      <c r="XD63" s="272"/>
      <c r="XE63" s="272"/>
      <c r="XF63" s="272"/>
      <c r="XG63" s="272"/>
      <c r="XH63" s="272"/>
      <c r="XI63" s="272"/>
      <c r="XJ63" s="272"/>
      <c r="XK63" s="272"/>
      <c r="XL63" s="272"/>
      <c r="XM63" s="272"/>
      <c r="XN63" s="272"/>
      <c r="XO63" s="272"/>
      <c r="XP63" s="272"/>
      <c r="XQ63" s="272"/>
      <c r="XR63" s="272"/>
      <c r="XS63" s="272"/>
      <c r="XT63" s="272"/>
      <c r="XU63" s="272"/>
      <c r="XV63" s="272"/>
      <c r="XW63" s="272"/>
      <c r="XX63" s="272"/>
      <c r="XY63" s="272"/>
      <c r="XZ63" s="272"/>
      <c r="YA63" s="272"/>
      <c r="YB63" s="272"/>
      <c r="YC63" s="272"/>
      <c r="YD63" s="272"/>
      <c r="YE63" s="272"/>
      <c r="YF63" s="272"/>
      <c r="YG63" s="272"/>
      <c r="YH63" s="272"/>
      <c r="YI63" s="272"/>
      <c r="YJ63" s="272"/>
      <c r="YK63" s="272"/>
      <c r="YL63" s="272"/>
      <c r="YM63" s="272"/>
      <c r="YN63" s="272"/>
      <c r="YO63" s="272"/>
      <c r="YP63" s="272"/>
      <c r="YQ63" s="272"/>
      <c r="YR63" s="272"/>
      <c r="YS63" s="272"/>
      <c r="YT63" s="272"/>
      <c r="YU63" s="272"/>
      <c r="YV63" s="272"/>
      <c r="YW63" s="272"/>
      <c r="YX63" s="272"/>
      <c r="YY63" s="272"/>
      <c r="YZ63" s="272"/>
      <c r="ZA63" s="272"/>
      <c r="ZB63" s="272"/>
      <c r="ZC63" s="272"/>
      <c r="ZD63" s="272"/>
      <c r="ZE63" s="272"/>
      <c r="ZF63" s="272"/>
      <c r="ZG63" s="272"/>
      <c r="ZH63" s="272"/>
      <c r="ZI63" s="272"/>
      <c r="ZJ63" s="272"/>
      <c r="ZK63" s="272"/>
      <c r="ZL63" s="272"/>
      <c r="ZM63" s="272"/>
      <c r="ZN63" s="272"/>
      <c r="ZO63" s="272"/>
      <c r="ZP63" s="272"/>
      <c r="ZQ63" s="272"/>
      <c r="ZR63" s="272"/>
      <c r="ZS63" s="272"/>
      <c r="ZT63" s="272"/>
      <c r="ZU63" s="272"/>
      <c r="ZV63" s="272"/>
      <c r="ZW63" s="272"/>
      <c r="ZX63" s="272"/>
      <c r="ZY63" s="272"/>
      <c r="ZZ63" s="272"/>
      <c r="AAA63" s="272"/>
      <c r="AAB63" s="272"/>
      <c r="AAC63" s="272"/>
      <c r="AAD63" s="272"/>
      <c r="AAE63" s="272"/>
      <c r="AAF63" s="272"/>
      <c r="AAG63" s="272"/>
      <c r="AAH63" s="272"/>
      <c r="AAI63" s="272"/>
      <c r="AAJ63" s="272"/>
      <c r="AAK63" s="272"/>
      <c r="AAL63" s="272"/>
      <c r="AAM63" s="272"/>
      <c r="AAN63" s="272"/>
      <c r="AAO63" s="272"/>
      <c r="AAP63" s="272"/>
      <c r="AAQ63" s="272"/>
      <c r="AAR63" s="272"/>
      <c r="AAS63" s="272"/>
      <c r="AAT63" s="272"/>
      <c r="AAU63" s="272"/>
      <c r="AAV63" s="272"/>
      <c r="AAW63" s="272"/>
      <c r="AAX63" s="272"/>
      <c r="AAY63" s="272"/>
      <c r="AAZ63" s="272"/>
      <c r="ABA63" s="272"/>
      <c r="ABB63" s="272"/>
      <c r="ABC63" s="272"/>
      <c r="ABD63" s="272"/>
      <c r="ABE63" s="272"/>
      <c r="ABF63" s="272"/>
      <c r="ABG63" s="272"/>
    </row>
    <row r="64" spans="1:735" s="61" customFormat="1" ht="110.25" customHeight="1">
      <c r="A64" s="606" t="s">
        <v>2</v>
      </c>
      <c r="B64" s="38" t="s">
        <v>65</v>
      </c>
      <c r="C64" s="608" t="s">
        <v>52</v>
      </c>
      <c r="D64" s="605"/>
      <c r="E64" s="618"/>
      <c r="F64" s="628"/>
      <c r="G64" s="634"/>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c r="EH64" s="272"/>
      <c r="EI64" s="272"/>
      <c r="EJ64" s="272"/>
      <c r="EK64" s="272"/>
      <c r="EL64" s="272"/>
      <c r="EM64" s="272"/>
      <c r="EN64" s="272"/>
      <c r="EO64" s="272"/>
      <c r="EP64" s="272"/>
      <c r="EQ64" s="272"/>
      <c r="ER64" s="272"/>
      <c r="ES64" s="272"/>
      <c r="ET64" s="272"/>
      <c r="EU64" s="272"/>
      <c r="EV64" s="272"/>
      <c r="EW64" s="272"/>
      <c r="EX64" s="272"/>
      <c r="EY64" s="272"/>
      <c r="EZ64" s="272"/>
      <c r="FA64" s="272"/>
      <c r="FB64" s="272"/>
      <c r="FC64" s="272"/>
      <c r="FD64" s="272"/>
      <c r="FE64" s="272"/>
      <c r="FF64" s="272"/>
      <c r="FG64" s="272"/>
      <c r="FH64" s="272"/>
      <c r="FI64" s="272"/>
      <c r="FJ64" s="272"/>
      <c r="FK64" s="272"/>
      <c r="FL64" s="272"/>
      <c r="FM64" s="272"/>
      <c r="FN64" s="272"/>
      <c r="FO64" s="272"/>
      <c r="FP64" s="272"/>
      <c r="FQ64" s="272"/>
      <c r="FR64" s="272"/>
      <c r="FS64" s="272"/>
      <c r="FT64" s="272"/>
      <c r="FU64" s="272"/>
      <c r="FV64" s="272"/>
      <c r="FW64" s="272"/>
      <c r="FX64" s="272"/>
      <c r="FY64" s="272"/>
      <c r="FZ64" s="272"/>
      <c r="GA64" s="272"/>
      <c r="GB64" s="272"/>
      <c r="GC64" s="272"/>
      <c r="GD64" s="272"/>
      <c r="GE64" s="272"/>
      <c r="GF64" s="272"/>
      <c r="GG64" s="272"/>
      <c r="GH64" s="272"/>
      <c r="GI64" s="272"/>
      <c r="GJ64" s="272"/>
      <c r="GK64" s="272"/>
      <c r="GL64" s="272"/>
      <c r="GM64" s="272"/>
      <c r="GN64" s="272"/>
      <c r="GO64" s="272"/>
      <c r="GP64" s="272"/>
      <c r="GQ64" s="272"/>
      <c r="GR64" s="272"/>
      <c r="GS64" s="272"/>
      <c r="GT64" s="272"/>
      <c r="GU64" s="272"/>
      <c r="GV64" s="272"/>
      <c r="GW64" s="272"/>
      <c r="GX64" s="272"/>
      <c r="GY64" s="272"/>
      <c r="GZ64" s="272"/>
      <c r="HA64" s="272"/>
      <c r="HB64" s="272"/>
      <c r="HC64" s="272"/>
      <c r="HD64" s="272"/>
      <c r="HE64" s="272"/>
      <c r="HF64" s="272"/>
      <c r="HG64" s="272"/>
      <c r="HH64" s="272"/>
      <c r="HI64" s="272"/>
      <c r="HJ64" s="272"/>
      <c r="HK64" s="272"/>
      <c r="HL64" s="272"/>
      <c r="HM64" s="272"/>
      <c r="HN64" s="272"/>
      <c r="HO64" s="272"/>
      <c r="HP64" s="272"/>
      <c r="HQ64" s="272"/>
      <c r="HR64" s="272"/>
      <c r="HS64" s="272"/>
      <c r="HT64" s="272"/>
      <c r="HU64" s="272"/>
      <c r="HV64" s="272"/>
      <c r="HW64" s="272"/>
      <c r="HX64" s="272"/>
      <c r="HY64" s="272"/>
      <c r="HZ64" s="272"/>
      <c r="IA64" s="272"/>
      <c r="IB64" s="272"/>
      <c r="IC64" s="272"/>
      <c r="ID64" s="272"/>
      <c r="IE64" s="272"/>
      <c r="IF64" s="272"/>
      <c r="IG64" s="272"/>
      <c r="IH64" s="272"/>
      <c r="II64" s="272"/>
      <c r="IJ64" s="272"/>
      <c r="IK64" s="272"/>
      <c r="IL64" s="272"/>
      <c r="IM64" s="272"/>
      <c r="IN64" s="272"/>
      <c r="IO64" s="272"/>
      <c r="IP64" s="272"/>
      <c r="IQ64" s="272"/>
      <c r="IR64" s="272"/>
      <c r="IS64" s="272"/>
      <c r="IT64" s="272"/>
      <c r="IU64" s="272"/>
      <c r="IV64" s="272"/>
      <c r="IW64" s="272"/>
      <c r="IX64" s="272"/>
      <c r="IY64" s="272"/>
      <c r="IZ64" s="272"/>
      <c r="JA64" s="272"/>
      <c r="JB64" s="272"/>
      <c r="JC64" s="272"/>
      <c r="JD64" s="272"/>
      <c r="JE64" s="272"/>
      <c r="JF64" s="272"/>
      <c r="JG64" s="272"/>
      <c r="JH64" s="272"/>
      <c r="JI64" s="272"/>
      <c r="JJ64" s="272"/>
      <c r="JK64" s="272"/>
      <c r="JL64" s="272"/>
      <c r="JM64" s="272"/>
      <c r="JN64" s="272"/>
      <c r="JO64" s="272"/>
      <c r="JP64" s="272"/>
      <c r="JQ64" s="272"/>
      <c r="JR64" s="272"/>
      <c r="JS64" s="272"/>
      <c r="JT64" s="272"/>
      <c r="JU64" s="272"/>
      <c r="JV64" s="272"/>
      <c r="JW64" s="272"/>
      <c r="JX64" s="272"/>
      <c r="JY64" s="272"/>
      <c r="JZ64" s="272"/>
      <c r="KA64" s="272"/>
      <c r="KB64" s="272"/>
      <c r="KC64" s="272"/>
      <c r="KD64" s="272"/>
      <c r="KE64" s="272"/>
      <c r="KF64" s="272"/>
      <c r="KG64" s="272"/>
      <c r="KH64" s="272"/>
      <c r="KI64" s="272"/>
      <c r="KJ64" s="272"/>
      <c r="KK64" s="272"/>
      <c r="KL64" s="272"/>
      <c r="KM64" s="272"/>
      <c r="KN64" s="272"/>
      <c r="KO64" s="272"/>
      <c r="KP64" s="272"/>
      <c r="KQ64" s="272"/>
      <c r="KR64" s="272"/>
      <c r="KS64" s="272"/>
      <c r="KT64" s="272"/>
      <c r="KU64" s="272"/>
      <c r="KV64" s="272"/>
      <c r="KW64" s="272"/>
      <c r="KX64" s="272"/>
      <c r="KY64" s="272"/>
      <c r="KZ64" s="272"/>
      <c r="LA64" s="272"/>
      <c r="LB64" s="272"/>
      <c r="LC64" s="272"/>
      <c r="LD64" s="272"/>
      <c r="LE64" s="272"/>
      <c r="LF64" s="272"/>
      <c r="LG64" s="272"/>
      <c r="LH64" s="272"/>
      <c r="LI64" s="272"/>
      <c r="LJ64" s="272"/>
      <c r="LK64" s="272"/>
      <c r="LL64" s="272"/>
      <c r="LM64" s="272"/>
      <c r="LN64" s="272"/>
      <c r="LO64" s="272"/>
      <c r="LP64" s="272"/>
      <c r="LQ64" s="272"/>
      <c r="LR64" s="272"/>
      <c r="LS64" s="272"/>
      <c r="LT64" s="272"/>
      <c r="LU64" s="272"/>
      <c r="LV64" s="272"/>
      <c r="LW64" s="272"/>
      <c r="LX64" s="272"/>
      <c r="LY64" s="272"/>
      <c r="LZ64" s="272"/>
      <c r="MA64" s="272"/>
      <c r="MB64" s="272"/>
      <c r="MC64" s="272"/>
      <c r="MD64" s="272"/>
      <c r="ME64" s="272"/>
      <c r="MF64" s="272"/>
      <c r="MG64" s="272"/>
      <c r="MH64" s="272"/>
      <c r="MI64" s="272"/>
      <c r="MJ64" s="272"/>
      <c r="MK64" s="272"/>
      <c r="ML64" s="272"/>
      <c r="MM64" s="272"/>
      <c r="MN64" s="272"/>
      <c r="MO64" s="272"/>
      <c r="MP64" s="272"/>
      <c r="MQ64" s="272"/>
      <c r="MR64" s="272"/>
      <c r="MS64" s="272"/>
      <c r="MT64" s="272"/>
      <c r="MU64" s="272"/>
      <c r="MV64" s="272"/>
      <c r="MW64" s="272"/>
      <c r="MX64" s="272"/>
      <c r="MY64" s="272"/>
      <c r="MZ64" s="272"/>
      <c r="NA64" s="272"/>
      <c r="NB64" s="272"/>
      <c r="NC64" s="272"/>
      <c r="ND64" s="272"/>
      <c r="NE64" s="272"/>
      <c r="NF64" s="272"/>
      <c r="NG64" s="272"/>
      <c r="NH64" s="272"/>
      <c r="NI64" s="272"/>
      <c r="NJ64" s="272"/>
      <c r="NK64" s="272"/>
      <c r="NL64" s="272"/>
      <c r="NM64" s="272"/>
      <c r="NN64" s="272"/>
      <c r="NO64" s="272"/>
      <c r="NP64" s="272"/>
      <c r="NQ64" s="272"/>
      <c r="NR64" s="272"/>
      <c r="NS64" s="272"/>
      <c r="NT64" s="272"/>
      <c r="NU64" s="272"/>
      <c r="NV64" s="272"/>
      <c r="NW64" s="272"/>
      <c r="NX64" s="272"/>
      <c r="NY64" s="272"/>
      <c r="NZ64" s="272"/>
      <c r="OA64" s="272"/>
      <c r="OB64" s="272"/>
      <c r="OC64" s="272"/>
      <c r="OD64" s="272"/>
      <c r="OE64" s="272"/>
      <c r="OF64" s="272"/>
      <c r="OG64" s="272"/>
      <c r="OH64" s="272"/>
      <c r="OI64" s="272"/>
      <c r="OJ64" s="272"/>
      <c r="OK64" s="272"/>
      <c r="OL64" s="272"/>
      <c r="OM64" s="272"/>
      <c r="ON64" s="272"/>
      <c r="OO64" s="272"/>
      <c r="OP64" s="272"/>
      <c r="OQ64" s="272"/>
      <c r="OR64" s="272"/>
      <c r="OS64" s="272"/>
      <c r="OT64" s="272"/>
      <c r="OU64" s="272"/>
      <c r="OV64" s="272"/>
      <c r="OW64" s="272"/>
      <c r="OX64" s="272"/>
      <c r="OY64" s="272"/>
      <c r="OZ64" s="272"/>
      <c r="PA64" s="272"/>
      <c r="PB64" s="272"/>
      <c r="PC64" s="272"/>
      <c r="PD64" s="272"/>
      <c r="PE64" s="272"/>
      <c r="PF64" s="272"/>
      <c r="PG64" s="272"/>
      <c r="PH64" s="272"/>
      <c r="PI64" s="272"/>
      <c r="PJ64" s="272"/>
      <c r="PK64" s="272"/>
      <c r="PL64" s="272"/>
      <c r="PM64" s="272"/>
      <c r="PN64" s="272"/>
      <c r="PO64" s="272"/>
      <c r="PP64" s="272"/>
      <c r="PQ64" s="272"/>
      <c r="PR64" s="272"/>
      <c r="PS64" s="272"/>
      <c r="PT64" s="272"/>
      <c r="PU64" s="272"/>
      <c r="PV64" s="272"/>
      <c r="PW64" s="272"/>
      <c r="PX64" s="272"/>
      <c r="PY64" s="272"/>
      <c r="PZ64" s="272"/>
      <c r="QA64" s="272"/>
      <c r="QB64" s="272"/>
      <c r="QC64" s="272"/>
      <c r="QD64" s="272"/>
      <c r="QE64" s="272"/>
      <c r="QF64" s="272"/>
      <c r="QG64" s="272"/>
      <c r="QH64" s="272"/>
      <c r="QI64" s="272"/>
      <c r="QJ64" s="272"/>
      <c r="QK64" s="272"/>
      <c r="QL64" s="272"/>
      <c r="QM64" s="272"/>
      <c r="QN64" s="272"/>
      <c r="QO64" s="272"/>
      <c r="QP64" s="272"/>
      <c r="QQ64" s="272"/>
      <c r="QR64" s="272"/>
      <c r="QS64" s="272"/>
      <c r="QT64" s="272"/>
      <c r="QU64" s="272"/>
      <c r="QV64" s="272"/>
      <c r="QW64" s="272"/>
      <c r="QX64" s="272"/>
      <c r="QY64" s="272"/>
      <c r="QZ64" s="272"/>
      <c r="RA64" s="272"/>
      <c r="RB64" s="272"/>
      <c r="RC64" s="272"/>
      <c r="RD64" s="272"/>
      <c r="RE64" s="272"/>
      <c r="RF64" s="272"/>
      <c r="RG64" s="272"/>
      <c r="RH64" s="272"/>
      <c r="RI64" s="272"/>
      <c r="RJ64" s="272"/>
      <c r="RK64" s="272"/>
      <c r="RL64" s="272"/>
      <c r="RM64" s="272"/>
      <c r="RN64" s="272"/>
      <c r="RO64" s="272"/>
      <c r="RP64" s="272"/>
      <c r="RQ64" s="272"/>
      <c r="RR64" s="272"/>
      <c r="RS64" s="272"/>
      <c r="RT64" s="272"/>
      <c r="RU64" s="272"/>
      <c r="RV64" s="272"/>
      <c r="RW64" s="272"/>
      <c r="RX64" s="272"/>
      <c r="RY64" s="272"/>
      <c r="RZ64" s="272"/>
      <c r="SA64" s="272"/>
      <c r="SB64" s="272"/>
      <c r="SC64" s="272"/>
      <c r="SD64" s="272"/>
      <c r="SE64" s="272"/>
      <c r="SF64" s="272"/>
      <c r="SG64" s="272"/>
      <c r="SH64" s="272"/>
      <c r="SI64" s="272"/>
      <c r="SJ64" s="272"/>
      <c r="SK64" s="272"/>
      <c r="SL64" s="272"/>
      <c r="SM64" s="272"/>
      <c r="SN64" s="272"/>
      <c r="SO64" s="272"/>
      <c r="SP64" s="272"/>
      <c r="SQ64" s="272"/>
      <c r="SR64" s="272"/>
      <c r="SS64" s="272"/>
      <c r="ST64" s="272"/>
      <c r="SU64" s="272"/>
      <c r="SV64" s="272"/>
      <c r="SW64" s="272"/>
      <c r="SX64" s="272"/>
      <c r="SY64" s="272"/>
      <c r="SZ64" s="272"/>
      <c r="TA64" s="272"/>
      <c r="TB64" s="272"/>
      <c r="TC64" s="272"/>
      <c r="TD64" s="272"/>
      <c r="TE64" s="272"/>
      <c r="TF64" s="272"/>
      <c r="TG64" s="272"/>
      <c r="TH64" s="272"/>
      <c r="TI64" s="272"/>
      <c r="TJ64" s="272"/>
      <c r="TK64" s="272"/>
      <c r="TL64" s="272"/>
      <c r="TM64" s="272"/>
      <c r="TN64" s="272"/>
      <c r="TO64" s="272"/>
      <c r="TP64" s="272"/>
      <c r="TQ64" s="272"/>
      <c r="TR64" s="272"/>
      <c r="TS64" s="272"/>
      <c r="TT64" s="272"/>
      <c r="TU64" s="272"/>
      <c r="TV64" s="272"/>
      <c r="TW64" s="272"/>
      <c r="TX64" s="272"/>
      <c r="TY64" s="272"/>
      <c r="TZ64" s="272"/>
      <c r="UA64" s="272"/>
      <c r="UB64" s="272"/>
      <c r="UC64" s="272"/>
      <c r="UD64" s="272"/>
      <c r="UE64" s="272"/>
      <c r="UF64" s="272"/>
      <c r="UG64" s="272"/>
      <c r="UH64" s="272"/>
      <c r="UI64" s="272"/>
      <c r="UJ64" s="272"/>
      <c r="UK64" s="272"/>
      <c r="UL64" s="272"/>
      <c r="UM64" s="272"/>
      <c r="UN64" s="272"/>
      <c r="UO64" s="272"/>
      <c r="UP64" s="272"/>
      <c r="UQ64" s="272"/>
      <c r="UR64" s="272"/>
      <c r="US64" s="272"/>
      <c r="UT64" s="272"/>
      <c r="UU64" s="272"/>
      <c r="UV64" s="272"/>
      <c r="UW64" s="272"/>
      <c r="UX64" s="272"/>
      <c r="UY64" s="272"/>
      <c r="UZ64" s="272"/>
      <c r="VA64" s="272"/>
      <c r="VB64" s="272"/>
      <c r="VC64" s="272"/>
      <c r="VD64" s="272"/>
      <c r="VE64" s="272"/>
      <c r="VF64" s="272"/>
      <c r="VG64" s="272"/>
      <c r="VH64" s="272"/>
      <c r="VI64" s="272"/>
      <c r="VJ64" s="272"/>
      <c r="VK64" s="272"/>
      <c r="VL64" s="272"/>
      <c r="VM64" s="272"/>
      <c r="VN64" s="272"/>
      <c r="VO64" s="272"/>
      <c r="VP64" s="272"/>
      <c r="VQ64" s="272"/>
      <c r="VR64" s="272"/>
      <c r="VS64" s="272"/>
      <c r="VT64" s="272"/>
      <c r="VU64" s="272"/>
      <c r="VV64" s="272"/>
      <c r="VW64" s="272"/>
      <c r="VX64" s="272"/>
      <c r="VY64" s="272"/>
      <c r="VZ64" s="272"/>
      <c r="WA64" s="272"/>
      <c r="WB64" s="272"/>
      <c r="WC64" s="272"/>
      <c r="WD64" s="272"/>
      <c r="WE64" s="272"/>
      <c r="WF64" s="272"/>
      <c r="WG64" s="272"/>
      <c r="WH64" s="272"/>
      <c r="WI64" s="272"/>
      <c r="WJ64" s="272"/>
      <c r="WK64" s="272"/>
      <c r="WL64" s="272"/>
      <c r="WM64" s="272"/>
      <c r="WN64" s="272"/>
      <c r="WO64" s="272"/>
      <c r="WP64" s="272"/>
      <c r="WQ64" s="272"/>
      <c r="WR64" s="272"/>
      <c r="WS64" s="272"/>
      <c r="WT64" s="272"/>
      <c r="WU64" s="272"/>
      <c r="WV64" s="272"/>
      <c r="WW64" s="272"/>
      <c r="WX64" s="272"/>
      <c r="WY64" s="272"/>
      <c r="WZ64" s="272"/>
      <c r="XA64" s="272"/>
      <c r="XB64" s="272"/>
      <c r="XC64" s="272"/>
      <c r="XD64" s="272"/>
      <c r="XE64" s="272"/>
      <c r="XF64" s="272"/>
      <c r="XG64" s="272"/>
      <c r="XH64" s="272"/>
      <c r="XI64" s="272"/>
      <c r="XJ64" s="272"/>
      <c r="XK64" s="272"/>
      <c r="XL64" s="272"/>
      <c r="XM64" s="272"/>
      <c r="XN64" s="272"/>
      <c r="XO64" s="272"/>
      <c r="XP64" s="272"/>
      <c r="XQ64" s="272"/>
      <c r="XR64" s="272"/>
      <c r="XS64" s="272"/>
      <c r="XT64" s="272"/>
      <c r="XU64" s="272"/>
      <c r="XV64" s="272"/>
      <c r="XW64" s="272"/>
      <c r="XX64" s="272"/>
      <c r="XY64" s="272"/>
      <c r="XZ64" s="272"/>
      <c r="YA64" s="272"/>
      <c r="YB64" s="272"/>
      <c r="YC64" s="272"/>
      <c r="YD64" s="272"/>
      <c r="YE64" s="272"/>
      <c r="YF64" s="272"/>
      <c r="YG64" s="272"/>
      <c r="YH64" s="272"/>
      <c r="YI64" s="272"/>
      <c r="YJ64" s="272"/>
      <c r="YK64" s="272"/>
      <c r="YL64" s="272"/>
      <c r="YM64" s="272"/>
      <c r="YN64" s="272"/>
      <c r="YO64" s="272"/>
      <c r="YP64" s="272"/>
      <c r="YQ64" s="272"/>
      <c r="YR64" s="272"/>
      <c r="YS64" s="272"/>
      <c r="YT64" s="272"/>
      <c r="YU64" s="272"/>
      <c r="YV64" s="272"/>
      <c r="YW64" s="272"/>
      <c r="YX64" s="272"/>
      <c r="YY64" s="272"/>
      <c r="YZ64" s="272"/>
      <c r="ZA64" s="272"/>
      <c r="ZB64" s="272"/>
      <c r="ZC64" s="272"/>
      <c r="ZD64" s="272"/>
      <c r="ZE64" s="272"/>
      <c r="ZF64" s="272"/>
      <c r="ZG64" s="272"/>
      <c r="ZH64" s="272"/>
      <c r="ZI64" s="272"/>
      <c r="ZJ64" s="272"/>
      <c r="ZK64" s="272"/>
      <c r="ZL64" s="272"/>
      <c r="ZM64" s="272"/>
      <c r="ZN64" s="272"/>
      <c r="ZO64" s="272"/>
      <c r="ZP64" s="272"/>
      <c r="ZQ64" s="272"/>
      <c r="ZR64" s="272"/>
      <c r="ZS64" s="272"/>
      <c r="ZT64" s="272"/>
      <c r="ZU64" s="272"/>
      <c r="ZV64" s="272"/>
      <c r="ZW64" s="272"/>
      <c r="ZX64" s="272"/>
      <c r="ZY64" s="272"/>
      <c r="ZZ64" s="272"/>
      <c r="AAA64" s="272"/>
      <c r="AAB64" s="272"/>
      <c r="AAC64" s="272"/>
      <c r="AAD64" s="272"/>
      <c r="AAE64" s="272"/>
      <c r="AAF64" s="272"/>
      <c r="AAG64" s="272"/>
      <c r="AAH64" s="272"/>
      <c r="AAI64" s="272"/>
      <c r="AAJ64" s="272"/>
      <c r="AAK64" s="272"/>
      <c r="AAL64" s="272"/>
      <c r="AAM64" s="272"/>
      <c r="AAN64" s="272"/>
      <c r="AAO64" s="272"/>
      <c r="AAP64" s="272"/>
      <c r="AAQ64" s="272"/>
      <c r="AAR64" s="272"/>
      <c r="AAS64" s="272"/>
      <c r="AAT64" s="272"/>
      <c r="AAU64" s="272"/>
      <c r="AAV64" s="272"/>
      <c r="AAW64" s="272"/>
      <c r="AAX64" s="272"/>
      <c r="AAY64" s="272"/>
      <c r="AAZ64" s="272"/>
      <c r="ABA64" s="272"/>
      <c r="ABB64" s="272"/>
      <c r="ABC64" s="272"/>
      <c r="ABD64" s="272"/>
      <c r="ABE64" s="272"/>
      <c r="ABF64" s="272"/>
      <c r="ABG64" s="272"/>
    </row>
    <row r="65" spans="1:735" s="86" customFormat="1" ht="15">
      <c r="A65" s="607"/>
      <c r="B65" s="82"/>
      <c r="C65" s="598"/>
      <c r="D65" s="601"/>
      <c r="E65" s="619"/>
      <c r="F65" s="626"/>
      <c r="G65" s="636"/>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c r="EI65" s="272"/>
      <c r="EJ65" s="272"/>
      <c r="EK65" s="272"/>
      <c r="EL65" s="272"/>
      <c r="EM65" s="272"/>
      <c r="EN65" s="272"/>
      <c r="EO65" s="272"/>
      <c r="EP65" s="272"/>
      <c r="EQ65" s="272"/>
      <c r="ER65" s="272"/>
      <c r="ES65" s="272"/>
      <c r="ET65" s="272"/>
      <c r="EU65" s="272"/>
      <c r="EV65" s="272"/>
      <c r="EW65" s="272"/>
      <c r="EX65" s="272"/>
      <c r="EY65" s="272"/>
      <c r="EZ65" s="272"/>
      <c r="FA65" s="272"/>
      <c r="FB65" s="272"/>
      <c r="FC65" s="272"/>
      <c r="FD65" s="272"/>
      <c r="FE65" s="272"/>
      <c r="FF65" s="272"/>
      <c r="FG65" s="272"/>
      <c r="FH65" s="272"/>
      <c r="FI65" s="272"/>
      <c r="FJ65" s="272"/>
      <c r="FK65" s="272"/>
      <c r="FL65" s="272"/>
      <c r="FM65" s="272"/>
      <c r="FN65" s="272"/>
      <c r="FO65" s="272"/>
      <c r="FP65" s="272"/>
      <c r="FQ65" s="272"/>
      <c r="FR65" s="272"/>
      <c r="FS65" s="272"/>
      <c r="FT65" s="272"/>
      <c r="FU65" s="272"/>
      <c r="FV65" s="272"/>
      <c r="FW65" s="272"/>
      <c r="FX65" s="272"/>
      <c r="FY65" s="272"/>
      <c r="FZ65" s="272"/>
      <c r="GA65" s="272"/>
      <c r="GB65" s="272"/>
      <c r="GC65" s="272"/>
      <c r="GD65" s="272"/>
      <c r="GE65" s="272"/>
      <c r="GF65" s="272"/>
      <c r="GG65" s="272"/>
      <c r="GH65" s="272"/>
      <c r="GI65" s="272"/>
      <c r="GJ65" s="272"/>
      <c r="GK65" s="272"/>
      <c r="GL65" s="272"/>
      <c r="GM65" s="272"/>
      <c r="GN65" s="272"/>
      <c r="GO65" s="272"/>
      <c r="GP65" s="272"/>
      <c r="GQ65" s="272"/>
      <c r="GR65" s="272"/>
      <c r="GS65" s="272"/>
      <c r="GT65" s="272"/>
      <c r="GU65" s="272"/>
      <c r="GV65" s="272"/>
      <c r="GW65" s="272"/>
      <c r="GX65" s="272"/>
      <c r="GY65" s="272"/>
      <c r="GZ65" s="272"/>
      <c r="HA65" s="272"/>
      <c r="HB65" s="272"/>
      <c r="HC65" s="272"/>
      <c r="HD65" s="272"/>
      <c r="HE65" s="272"/>
      <c r="HF65" s="272"/>
      <c r="HG65" s="272"/>
      <c r="HH65" s="272"/>
      <c r="HI65" s="272"/>
      <c r="HJ65" s="272"/>
      <c r="HK65" s="272"/>
      <c r="HL65" s="272"/>
      <c r="HM65" s="272"/>
      <c r="HN65" s="272"/>
      <c r="HO65" s="272"/>
      <c r="HP65" s="272"/>
      <c r="HQ65" s="272"/>
      <c r="HR65" s="272"/>
      <c r="HS65" s="272"/>
      <c r="HT65" s="272"/>
      <c r="HU65" s="272"/>
      <c r="HV65" s="272"/>
      <c r="HW65" s="272"/>
      <c r="HX65" s="272"/>
      <c r="HY65" s="272"/>
      <c r="HZ65" s="272"/>
      <c r="IA65" s="272"/>
      <c r="IB65" s="272"/>
      <c r="IC65" s="272"/>
      <c r="ID65" s="272"/>
      <c r="IE65" s="272"/>
      <c r="IF65" s="272"/>
      <c r="IG65" s="272"/>
      <c r="IH65" s="272"/>
      <c r="II65" s="272"/>
      <c r="IJ65" s="272"/>
      <c r="IK65" s="272"/>
      <c r="IL65" s="272"/>
      <c r="IM65" s="272"/>
      <c r="IN65" s="272"/>
      <c r="IO65" s="272"/>
      <c r="IP65" s="272"/>
      <c r="IQ65" s="272"/>
      <c r="IR65" s="272"/>
      <c r="IS65" s="272"/>
      <c r="IT65" s="272"/>
      <c r="IU65" s="272"/>
      <c r="IV65" s="272"/>
      <c r="IW65" s="272"/>
      <c r="IX65" s="272"/>
      <c r="IY65" s="272"/>
      <c r="IZ65" s="272"/>
      <c r="JA65" s="272"/>
      <c r="JB65" s="272"/>
      <c r="JC65" s="272"/>
      <c r="JD65" s="272"/>
      <c r="JE65" s="272"/>
      <c r="JF65" s="272"/>
      <c r="JG65" s="272"/>
      <c r="JH65" s="272"/>
      <c r="JI65" s="272"/>
      <c r="JJ65" s="272"/>
      <c r="JK65" s="272"/>
      <c r="JL65" s="272"/>
      <c r="JM65" s="272"/>
      <c r="JN65" s="272"/>
      <c r="JO65" s="272"/>
      <c r="JP65" s="272"/>
      <c r="JQ65" s="272"/>
      <c r="JR65" s="272"/>
      <c r="JS65" s="272"/>
      <c r="JT65" s="272"/>
      <c r="JU65" s="272"/>
      <c r="JV65" s="272"/>
      <c r="JW65" s="272"/>
      <c r="JX65" s="272"/>
      <c r="JY65" s="272"/>
      <c r="JZ65" s="272"/>
      <c r="KA65" s="272"/>
      <c r="KB65" s="272"/>
      <c r="KC65" s="272"/>
      <c r="KD65" s="272"/>
      <c r="KE65" s="272"/>
      <c r="KF65" s="272"/>
      <c r="KG65" s="272"/>
      <c r="KH65" s="272"/>
      <c r="KI65" s="272"/>
      <c r="KJ65" s="272"/>
      <c r="KK65" s="272"/>
      <c r="KL65" s="272"/>
      <c r="KM65" s="272"/>
      <c r="KN65" s="272"/>
      <c r="KO65" s="272"/>
      <c r="KP65" s="272"/>
      <c r="KQ65" s="272"/>
      <c r="KR65" s="272"/>
      <c r="KS65" s="272"/>
      <c r="KT65" s="272"/>
      <c r="KU65" s="272"/>
      <c r="KV65" s="272"/>
      <c r="KW65" s="272"/>
      <c r="KX65" s="272"/>
      <c r="KY65" s="272"/>
      <c r="KZ65" s="272"/>
      <c r="LA65" s="272"/>
      <c r="LB65" s="272"/>
      <c r="LC65" s="272"/>
      <c r="LD65" s="272"/>
      <c r="LE65" s="272"/>
      <c r="LF65" s="272"/>
      <c r="LG65" s="272"/>
      <c r="LH65" s="272"/>
      <c r="LI65" s="272"/>
      <c r="LJ65" s="272"/>
      <c r="LK65" s="272"/>
      <c r="LL65" s="272"/>
      <c r="LM65" s="272"/>
      <c r="LN65" s="272"/>
      <c r="LO65" s="272"/>
      <c r="LP65" s="272"/>
      <c r="LQ65" s="272"/>
      <c r="LR65" s="272"/>
      <c r="LS65" s="272"/>
      <c r="LT65" s="272"/>
      <c r="LU65" s="272"/>
      <c r="LV65" s="272"/>
      <c r="LW65" s="272"/>
      <c r="LX65" s="272"/>
      <c r="LY65" s="272"/>
      <c r="LZ65" s="272"/>
      <c r="MA65" s="272"/>
      <c r="MB65" s="272"/>
      <c r="MC65" s="272"/>
      <c r="MD65" s="272"/>
      <c r="ME65" s="272"/>
      <c r="MF65" s="272"/>
      <c r="MG65" s="272"/>
      <c r="MH65" s="272"/>
      <c r="MI65" s="272"/>
      <c r="MJ65" s="272"/>
      <c r="MK65" s="272"/>
      <c r="ML65" s="272"/>
      <c r="MM65" s="272"/>
      <c r="MN65" s="272"/>
      <c r="MO65" s="272"/>
      <c r="MP65" s="272"/>
      <c r="MQ65" s="272"/>
      <c r="MR65" s="272"/>
      <c r="MS65" s="272"/>
      <c r="MT65" s="272"/>
      <c r="MU65" s="272"/>
      <c r="MV65" s="272"/>
      <c r="MW65" s="272"/>
      <c r="MX65" s="272"/>
      <c r="MY65" s="272"/>
      <c r="MZ65" s="272"/>
      <c r="NA65" s="272"/>
      <c r="NB65" s="272"/>
      <c r="NC65" s="272"/>
      <c r="ND65" s="272"/>
      <c r="NE65" s="272"/>
      <c r="NF65" s="272"/>
      <c r="NG65" s="272"/>
      <c r="NH65" s="272"/>
      <c r="NI65" s="272"/>
      <c r="NJ65" s="272"/>
      <c r="NK65" s="272"/>
      <c r="NL65" s="272"/>
      <c r="NM65" s="272"/>
      <c r="NN65" s="272"/>
      <c r="NO65" s="272"/>
      <c r="NP65" s="272"/>
      <c r="NQ65" s="272"/>
      <c r="NR65" s="272"/>
      <c r="NS65" s="272"/>
      <c r="NT65" s="272"/>
      <c r="NU65" s="272"/>
      <c r="NV65" s="272"/>
      <c r="NW65" s="272"/>
      <c r="NX65" s="272"/>
      <c r="NY65" s="272"/>
      <c r="NZ65" s="272"/>
      <c r="OA65" s="272"/>
      <c r="OB65" s="272"/>
      <c r="OC65" s="272"/>
      <c r="OD65" s="272"/>
      <c r="OE65" s="272"/>
      <c r="OF65" s="272"/>
      <c r="OG65" s="272"/>
      <c r="OH65" s="272"/>
      <c r="OI65" s="272"/>
      <c r="OJ65" s="272"/>
      <c r="OK65" s="272"/>
      <c r="OL65" s="272"/>
      <c r="OM65" s="272"/>
      <c r="ON65" s="272"/>
      <c r="OO65" s="272"/>
      <c r="OP65" s="272"/>
      <c r="OQ65" s="272"/>
      <c r="OR65" s="272"/>
      <c r="OS65" s="272"/>
      <c r="OT65" s="272"/>
      <c r="OU65" s="272"/>
      <c r="OV65" s="272"/>
      <c r="OW65" s="272"/>
      <c r="OX65" s="272"/>
      <c r="OY65" s="272"/>
      <c r="OZ65" s="272"/>
      <c r="PA65" s="272"/>
      <c r="PB65" s="272"/>
      <c r="PC65" s="272"/>
      <c r="PD65" s="272"/>
      <c r="PE65" s="272"/>
      <c r="PF65" s="272"/>
      <c r="PG65" s="272"/>
      <c r="PH65" s="272"/>
      <c r="PI65" s="272"/>
      <c r="PJ65" s="272"/>
      <c r="PK65" s="272"/>
      <c r="PL65" s="272"/>
      <c r="PM65" s="272"/>
      <c r="PN65" s="272"/>
      <c r="PO65" s="272"/>
      <c r="PP65" s="272"/>
      <c r="PQ65" s="272"/>
      <c r="PR65" s="272"/>
      <c r="PS65" s="272"/>
      <c r="PT65" s="272"/>
      <c r="PU65" s="272"/>
      <c r="PV65" s="272"/>
      <c r="PW65" s="272"/>
      <c r="PX65" s="272"/>
      <c r="PY65" s="272"/>
      <c r="PZ65" s="272"/>
      <c r="QA65" s="272"/>
      <c r="QB65" s="272"/>
      <c r="QC65" s="272"/>
      <c r="QD65" s="272"/>
      <c r="QE65" s="272"/>
      <c r="QF65" s="272"/>
      <c r="QG65" s="272"/>
      <c r="QH65" s="272"/>
      <c r="QI65" s="272"/>
      <c r="QJ65" s="272"/>
      <c r="QK65" s="272"/>
      <c r="QL65" s="272"/>
      <c r="QM65" s="272"/>
      <c r="QN65" s="272"/>
      <c r="QO65" s="272"/>
      <c r="QP65" s="272"/>
      <c r="QQ65" s="272"/>
      <c r="QR65" s="272"/>
      <c r="QS65" s="272"/>
      <c r="QT65" s="272"/>
      <c r="QU65" s="272"/>
      <c r="QV65" s="272"/>
      <c r="QW65" s="272"/>
      <c r="QX65" s="272"/>
      <c r="QY65" s="272"/>
      <c r="QZ65" s="272"/>
      <c r="RA65" s="272"/>
      <c r="RB65" s="272"/>
      <c r="RC65" s="272"/>
      <c r="RD65" s="272"/>
      <c r="RE65" s="272"/>
      <c r="RF65" s="272"/>
      <c r="RG65" s="272"/>
      <c r="RH65" s="272"/>
      <c r="RI65" s="272"/>
      <c r="RJ65" s="272"/>
      <c r="RK65" s="272"/>
      <c r="RL65" s="272"/>
      <c r="RM65" s="272"/>
      <c r="RN65" s="272"/>
      <c r="RO65" s="272"/>
      <c r="RP65" s="272"/>
      <c r="RQ65" s="272"/>
      <c r="RR65" s="272"/>
      <c r="RS65" s="272"/>
      <c r="RT65" s="272"/>
      <c r="RU65" s="272"/>
      <c r="RV65" s="272"/>
      <c r="RW65" s="272"/>
      <c r="RX65" s="272"/>
      <c r="RY65" s="272"/>
      <c r="RZ65" s="272"/>
      <c r="SA65" s="272"/>
      <c r="SB65" s="272"/>
      <c r="SC65" s="272"/>
      <c r="SD65" s="272"/>
      <c r="SE65" s="272"/>
      <c r="SF65" s="272"/>
      <c r="SG65" s="272"/>
      <c r="SH65" s="272"/>
      <c r="SI65" s="272"/>
      <c r="SJ65" s="272"/>
      <c r="SK65" s="272"/>
      <c r="SL65" s="272"/>
      <c r="SM65" s="272"/>
      <c r="SN65" s="272"/>
      <c r="SO65" s="272"/>
      <c r="SP65" s="272"/>
      <c r="SQ65" s="272"/>
      <c r="SR65" s="272"/>
      <c r="SS65" s="272"/>
      <c r="ST65" s="272"/>
      <c r="SU65" s="272"/>
      <c r="SV65" s="272"/>
      <c r="SW65" s="272"/>
      <c r="SX65" s="272"/>
      <c r="SY65" s="272"/>
      <c r="SZ65" s="272"/>
      <c r="TA65" s="272"/>
      <c r="TB65" s="272"/>
      <c r="TC65" s="272"/>
      <c r="TD65" s="272"/>
      <c r="TE65" s="272"/>
      <c r="TF65" s="272"/>
      <c r="TG65" s="272"/>
      <c r="TH65" s="272"/>
      <c r="TI65" s="272"/>
      <c r="TJ65" s="272"/>
      <c r="TK65" s="272"/>
      <c r="TL65" s="272"/>
      <c r="TM65" s="272"/>
      <c r="TN65" s="272"/>
      <c r="TO65" s="272"/>
      <c r="TP65" s="272"/>
      <c r="TQ65" s="272"/>
      <c r="TR65" s="272"/>
      <c r="TS65" s="272"/>
      <c r="TT65" s="272"/>
      <c r="TU65" s="272"/>
      <c r="TV65" s="272"/>
      <c r="TW65" s="272"/>
      <c r="TX65" s="272"/>
      <c r="TY65" s="272"/>
      <c r="TZ65" s="272"/>
      <c r="UA65" s="272"/>
      <c r="UB65" s="272"/>
      <c r="UC65" s="272"/>
      <c r="UD65" s="272"/>
      <c r="UE65" s="272"/>
      <c r="UF65" s="272"/>
      <c r="UG65" s="272"/>
      <c r="UH65" s="272"/>
      <c r="UI65" s="272"/>
      <c r="UJ65" s="272"/>
      <c r="UK65" s="272"/>
      <c r="UL65" s="272"/>
      <c r="UM65" s="272"/>
      <c r="UN65" s="272"/>
      <c r="UO65" s="272"/>
      <c r="UP65" s="272"/>
      <c r="UQ65" s="272"/>
      <c r="UR65" s="272"/>
      <c r="US65" s="272"/>
      <c r="UT65" s="272"/>
      <c r="UU65" s="272"/>
      <c r="UV65" s="272"/>
      <c r="UW65" s="272"/>
      <c r="UX65" s="272"/>
      <c r="UY65" s="272"/>
      <c r="UZ65" s="272"/>
      <c r="VA65" s="272"/>
      <c r="VB65" s="272"/>
      <c r="VC65" s="272"/>
      <c r="VD65" s="272"/>
      <c r="VE65" s="272"/>
      <c r="VF65" s="272"/>
      <c r="VG65" s="272"/>
      <c r="VH65" s="272"/>
      <c r="VI65" s="272"/>
      <c r="VJ65" s="272"/>
      <c r="VK65" s="272"/>
      <c r="VL65" s="272"/>
      <c r="VM65" s="272"/>
      <c r="VN65" s="272"/>
      <c r="VO65" s="272"/>
      <c r="VP65" s="272"/>
      <c r="VQ65" s="272"/>
      <c r="VR65" s="272"/>
      <c r="VS65" s="272"/>
      <c r="VT65" s="272"/>
      <c r="VU65" s="272"/>
      <c r="VV65" s="272"/>
      <c r="VW65" s="272"/>
      <c r="VX65" s="272"/>
      <c r="VY65" s="272"/>
      <c r="VZ65" s="272"/>
      <c r="WA65" s="272"/>
      <c r="WB65" s="272"/>
      <c r="WC65" s="272"/>
      <c r="WD65" s="272"/>
      <c r="WE65" s="272"/>
      <c r="WF65" s="272"/>
      <c r="WG65" s="272"/>
      <c r="WH65" s="272"/>
      <c r="WI65" s="272"/>
      <c r="WJ65" s="272"/>
      <c r="WK65" s="272"/>
      <c r="WL65" s="272"/>
      <c r="WM65" s="272"/>
      <c r="WN65" s="272"/>
      <c r="WO65" s="272"/>
      <c r="WP65" s="272"/>
      <c r="WQ65" s="272"/>
      <c r="WR65" s="272"/>
      <c r="WS65" s="272"/>
      <c r="WT65" s="272"/>
      <c r="WU65" s="272"/>
      <c r="WV65" s="272"/>
      <c r="WW65" s="272"/>
      <c r="WX65" s="272"/>
      <c r="WY65" s="272"/>
      <c r="WZ65" s="272"/>
      <c r="XA65" s="272"/>
      <c r="XB65" s="272"/>
      <c r="XC65" s="272"/>
      <c r="XD65" s="272"/>
      <c r="XE65" s="272"/>
      <c r="XF65" s="272"/>
      <c r="XG65" s="272"/>
      <c r="XH65" s="272"/>
      <c r="XI65" s="272"/>
      <c r="XJ65" s="272"/>
      <c r="XK65" s="272"/>
      <c r="XL65" s="272"/>
      <c r="XM65" s="272"/>
      <c r="XN65" s="272"/>
      <c r="XO65" s="272"/>
      <c r="XP65" s="272"/>
      <c r="XQ65" s="272"/>
      <c r="XR65" s="272"/>
      <c r="XS65" s="272"/>
      <c r="XT65" s="272"/>
      <c r="XU65" s="272"/>
      <c r="XV65" s="272"/>
      <c r="XW65" s="272"/>
      <c r="XX65" s="272"/>
      <c r="XY65" s="272"/>
      <c r="XZ65" s="272"/>
      <c r="YA65" s="272"/>
      <c r="YB65" s="272"/>
      <c r="YC65" s="272"/>
      <c r="YD65" s="272"/>
      <c r="YE65" s="272"/>
      <c r="YF65" s="272"/>
      <c r="YG65" s="272"/>
      <c r="YH65" s="272"/>
      <c r="YI65" s="272"/>
      <c r="YJ65" s="272"/>
      <c r="YK65" s="272"/>
      <c r="YL65" s="272"/>
      <c r="YM65" s="272"/>
      <c r="YN65" s="272"/>
      <c r="YO65" s="272"/>
      <c r="YP65" s="272"/>
      <c r="YQ65" s="272"/>
      <c r="YR65" s="272"/>
      <c r="YS65" s="272"/>
      <c r="YT65" s="272"/>
      <c r="YU65" s="272"/>
      <c r="YV65" s="272"/>
      <c r="YW65" s="272"/>
      <c r="YX65" s="272"/>
      <c r="YY65" s="272"/>
      <c r="YZ65" s="272"/>
      <c r="ZA65" s="272"/>
      <c r="ZB65" s="272"/>
      <c r="ZC65" s="272"/>
      <c r="ZD65" s="272"/>
      <c r="ZE65" s="272"/>
      <c r="ZF65" s="272"/>
      <c r="ZG65" s="272"/>
      <c r="ZH65" s="272"/>
      <c r="ZI65" s="272"/>
      <c r="ZJ65" s="272"/>
      <c r="ZK65" s="272"/>
      <c r="ZL65" s="272"/>
      <c r="ZM65" s="272"/>
      <c r="ZN65" s="272"/>
      <c r="ZO65" s="272"/>
      <c r="ZP65" s="272"/>
      <c r="ZQ65" s="272"/>
      <c r="ZR65" s="272"/>
      <c r="ZS65" s="272"/>
      <c r="ZT65" s="272"/>
      <c r="ZU65" s="272"/>
      <c r="ZV65" s="272"/>
      <c r="ZW65" s="272"/>
      <c r="ZX65" s="272"/>
      <c r="ZY65" s="272"/>
      <c r="ZZ65" s="272"/>
      <c r="AAA65" s="272"/>
      <c r="AAB65" s="272"/>
      <c r="AAC65" s="272"/>
      <c r="AAD65" s="272"/>
      <c r="AAE65" s="272"/>
      <c r="AAF65" s="272"/>
      <c r="AAG65" s="272"/>
      <c r="AAH65" s="272"/>
      <c r="AAI65" s="272"/>
      <c r="AAJ65" s="272"/>
      <c r="AAK65" s="272"/>
      <c r="AAL65" s="272"/>
      <c r="AAM65" s="272"/>
      <c r="AAN65" s="272"/>
      <c r="AAO65" s="272"/>
      <c r="AAP65" s="272"/>
      <c r="AAQ65" s="272"/>
      <c r="AAR65" s="272"/>
      <c r="AAS65" s="272"/>
      <c r="AAT65" s="272"/>
      <c r="AAU65" s="272"/>
      <c r="AAV65" s="272"/>
      <c r="AAW65" s="272"/>
      <c r="AAX65" s="272"/>
      <c r="AAY65" s="272"/>
      <c r="AAZ65" s="272"/>
      <c r="ABA65" s="272"/>
      <c r="ABB65" s="272"/>
      <c r="ABC65" s="272"/>
      <c r="ABD65" s="272"/>
      <c r="ABE65" s="272"/>
      <c r="ABF65" s="272"/>
      <c r="ABG65" s="272"/>
    </row>
    <row r="66" spans="1:735" s="19" customFormat="1" ht="67.5" customHeight="1">
      <c r="A66" s="49"/>
      <c r="B66" s="44"/>
      <c r="C66" s="24" t="s">
        <v>53</v>
      </c>
      <c r="D66" s="508"/>
      <c r="E66" s="509"/>
      <c r="F66" s="506"/>
      <c r="G66" s="507"/>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c r="CL66" s="272"/>
      <c r="CM66" s="272"/>
      <c r="CN66" s="272"/>
      <c r="CO66" s="272"/>
      <c r="CP66" s="272"/>
      <c r="CQ66" s="272"/>
      <c r="CR66" s="272"/>
      <c r="CS66" s="272"/>
      <c r="CT66" s="272"/>
      <c r="CU66" s="272"/>
      <c r="CV66" s="272"/>
      <c r="CW66" s="272"/>
      <c r="CX66" s="272"/>
      <c r="CY66" s="272"/>
      <c r="CZ66" s="272"/>
      <c r="DA66" s="272"/>
      <c r="DB66" s="272"/>
      <c r="DC66" s="272"/>
      <c r="DD66" s="272"/>
      <c r="DE66" s="272"/>
      <c r="DF66" s="272"/>
      <c r="DG66" s="272"/>
      <c r="DH66" s="272"/>
      <c r="DI66" s="272"/>
      <c r="DJ66" s="272"/>
      <c r="DK66" s="272"/>
      <c r="DL66" s="272"/>
      <c r="DM66" s="272"/>
      <c r="DN66" s="272"/>
      <c r="DO66" s="272"/>
      <c r="DP66" s="272"/>
      <c r="DQ66" s="272"/>
      <c r="DR66" s="272"/>
      <c r="DS66" s="272"/>
      <c r="DT66" s="272"/>
      <c r="DU66" s="272"/>
      <c r="DV66" s="272"/>
      <c r="DW66" s="272"/>
      <c r="DX66" s="272"/>
      <c r="DY66" s="272"/>
      <c r="DZ66" s="272"/>
      <c r="EA66" s="272"/>
      <c r="EB66" s="272"/>
      <c r="EC66" s="272"/>
      <c r="ED66" s="272"/>
      <c r="EE66" s="272"/>
      <c r="EF66" s="272"/>
      <c r="EG66" s="272"/>
      <c r="EH66" s="272"/>
      <c r="EI66" s="272"/>
      <c r="EJ66" s="272"/>
      <c r="EK66" s="272"/>
      <c r="EL66" s="272"/>
      <c r="EM66" s="272"/>
      <c r="EN66" s="272"/>
      <c r="EO66" s="272"/>
      <c r="EP66" s="272"/>
      <c r="EQ66" s="272"/>
      <c r="ER66" s="272"/>
      <c r="ES66" s="272"/>
      <c r="ET66" s="272"/>
      <c r="EU66" s="272"/>
      <c r="EV66" s="272"/>
      <c r="EW66" s="272"/>
      <c r="EX66" s="272"/>
      <c r="EY66" s="272"/>
      <c r="EZ66" s="272"/>
      <c r="FA66" s="272"/>
      <c r="FB66" s="272"/>
      <c r="FC66" s="272"/>
      <c r="FD66" s="272"/>
      <c r="FE66" s="272"/>
      <c r="FF66" s="272"/>
      <c r="FG66" s="272"/>
      <c r="FH66" s="272"/>
      <c r="FI66" s="272"/>
      <c r="FJ66" s="272"/>
      <c r="FK66" s="272"/>
      <c r="FL66" s="272"/>
      <c r="FM66" s="272"/>
      <c r="FN66" s="272"/>
      <c r="FO66" s="272"/>
      <c r="FP66" s="272"/>
      <c r="FQ66" s="272"/>
      <c r="FR66" s="272"/>
      <c r="FS66" s="272"/>
      <c r="FT66" s="272"/>
      <c r="FU66" s="272"/>
      <c r="FV66" s="272"/>
      <c r="FW66" s="272"/>
      <c r="FX66" s="272"/>
      <c r="FY66" s="272"/>
      <c r="FZ66" s="272"/>
      <c r="GA66" s="272"/>
      <c r="GB66" s="272"/>
      <c r="GC66" s="272"/>
      <c r="GD66" s="272"/>
      <c r="GE66" s="272"/>
      <c r="GF66" s="272"/>
      <c r="GG66" s="272"/>
      <c r="GH66" s="272"/>
      <c r="GI66" s="272"/>
      <c r="GJ66" s="272"/>
      <c r="GK66" s="272"/>
      <c r="GL66" s="272"/>
      <c r="GM66" s="272"/>
      <c r="GN66" s="272"/>
      <c r="GO66" s="272"/>
      <c r="GP66" s="272"/>
      <c r="GQ66" s="272"/>
      <c r="GR66" s="272"/>
      <c r="GS66" s="272"/>
      <c r="GT66" s="272"/>
      <c r="GU66" s="272"/>
      <c r="GV66" s="272"/>
      <c r="GW66" s="272"/>
      <c r="GX66" s="272"/>
      <c r="GY66" s="272"/>
      <c r="GZ66" s="272"/>
      <c r="HA66" s="272"/>
      <c r="HB66" s="272"/>
      <c r="HC66" s="272"/>
      <c r="HD66" s="272"/>
      <c r="HE66" s="272"/>
      <c r="HF66" s="272"/>
      <c r="HG66" s="272"/>
      <c r="HH66" s="272"/>
      <c r="HI66" s="272"/>
      <c r="HJ66" s="272"/>
      <c r="HK66" s="272"/>
      <c r="HL66" s="272"/>
      <c r="HM66" s="272"/>
      <c r="HN66" s="272"/>
      <c r="HO66" s="272"/>
      <c r="HP66" s="272"/>
      <c r="HQ66" s="272"/>
      <c r="HR66" s="272"/>
      <c r="HS66" s="272"/>
      <c r="HT66" s="272"/>
      <c r="HU66" s="272"/>
      <c r="HV66" s="272"/>
      <c r="HW66" s="272"/>
      <c r="HX66" s="272"/>
      <c r="HY66" s="272"/>
      <c r="HZ66" s="272"/>
      <c r="IA66" s="272"/>
      <c r="IB66" s="272"/>
      <c r="IC66" s="272"/>
      <c r="ID66" s="272"/>
      <c r="IE66" s="272"/>
      <c r="IF66" s="272"/>
      <c r="IG66" s="272"/>
      <c r="IH66" s="272"/>
      <c r="II66" s="272"/>
      <c r="IJ66" s="272"/>
      <c r="IK66" s="272"/>
      <c r="IL66" s="272"/>
      <c r="IM66" s="272"/>
      <c r="IN66" s="272"/>
      <c r="IO66" s="272"/>
      <c r="IP66" s="272"/>
      <c r="IQ66" s="272"/>
      <c r="IR66" s="272"/>
      <c r="IS66" s="272"/>
      <c r="IT66" s="272"/>
      <c r="IU66" s="272"/>
      <c r="IV66" s="272"/>
      <c r="IW66" s="272"/>
      <c r="IX66" s="272"/>
      <c r="IY66" s="272"/>
      <c r="IZ66" s="272"/>
      <c r="JA66" s="272"/>
      <c r="JB66" s="272"/>
      <c r="JC66" s="272"/>
      <c r="JD66" s="272"/>
      <c r="JE66" s="272"/>
      <c r="JF66" s="272"/>
      <c r="JG66" s="272"/>
      <c r="JH66" s="272"/>
      <c r="JI66" s="272"/>
      <c r="JJ66" s="272"/>
      <c r="JK66" s="272"/>
      <c r="JL66" s="272"/>
      <c r="JM66" s="272"/>
      <c r="JN66" s="272"/>
      <c r="JO66" s="272"/>
      <c r="JP66" s="272"/>
      <c r="JQ66" s="272"/>
      <c r="JR66" s="272"/>
      <c r="JS66" s="272"/>
      <c r="JT66" s="272"/>
      <c r="JU66" s="272"/>
      <c r="JV66" s="272"/>
      <c r="JW66" s="272"/>
      <c r="JX66" s="272"/>
      <c r="JY66" s="272"/>
      <c r="JZ66" s="272"/>
      <c r="KA66" s="272"/>
      <c r="KB66" s="272"/>
      <c r="KC66" s="272"/>
      <c r="KD66" s="272"/>
      <c r="KE66" s="272"/>
      <c r="KF66" s="272"/>
      <c r="KG66" s="272"/>
      <c r="KH66" s="272"/>
      <c r="KI66" s="272"/>
      <c r="KJ66" s="272"/>
      <c r="KK66" s="272"/>
      <c r="KL66" s="272"/>
      <c r="KM66" s="272"/>
      <c r="KN66" s="272"/>
      <c r="KO66" s="272"/>
      <c r="KP66" s="272"/>
      <c r="KQ66" s="272"/>
      <c r="KR66" s="272"/>
      <c r="KS66" s="272"/>
      <c r="KT66" s="272"/>
      <c r="KU66" s="272"/>
      <c r="KV66" s="272"/>
      <c r="KW66" s="272"/>
      <c r="KX66" s="272"/>
      <c r="KY66" s="272"/>
      <c r="KZ66" s="272"/>
      <c r="LA66" s="272"/>
      <c r="LB66" s="272"/>
      <c r="LC66" s="272"/>
      <c r="LD66" s="272"/>
      <c r="LE66" s="272"/>
      <c r="LF66" s="272"/>
      <c r="LG66" s="272"/>
      <c r="LH66" s="272"/>
      <c r="LI66" s="272"/>
      <c r="LJ66" s="272"/>
      <c r="LK66" s="272"/>
      <c r="LL66" s="272"/>
      <c r="LM66" s="272"/>
      <c r="LN66" s="272"/>
      <c r="LO66" s="272"/>
      <c r="LP66" s="272"/>
      <c r="LQ66" s="272"/>
      <c r="LR66" s="272"/>
      <c r="LS66" s="272"/>
      <c r="LT66" s="272"/>
      <c r="LU66" s="272"/>
      <c r="LV66" s="272"/>
      <c r="LW66" s="272"/>
      <c r="LX66" s="272"/>
      <c r="LY66" s="272"/>
      <c r="LZ66" s="272"/>
      <c r="MA66" s="272"/>
      <c r="MB66" s="272"/>
      <c r="MC66" s="272"/>
      <c r="MD66" s="272"/>
      <c r="ME66" s="272"/>
      <c r="MF66" s="272"/>
      <c r="MG66" s="272"/>
      <c r="MH66" s="272"/>
      <c r="MI66" s="272"/>
      <c r="MJ66" s="272"/>
      <c r="MK66" s="272"/>
      <c r="ML66" s="272"/>
      <c r="MM66" s="272"/>
      <c r="MN66" s="272"/>
      <c r="MO66" s="272"/>
      <c r="MP66" s="272"/>
      <c r="MQ66" s="272"/>
      <c r="MR66" s="272"/>
      <c r="MS66" s="272"/>
      <c r="MT66" s="272"/>
      <c r="MU66" s="272"/>
      <c r="MV66" s="272"/>
      <c r="MW66" s="272"/>
      <c r="MX66" s="272"/>
      <c r="MY66" s="272"/>
      <c r="MZ66" s="272"/>
      <c r="NA66" s="272"/>
      <c r="NB66" s="272"/>
      <c r="NC66" s="272"/>
      <c r="ND66" s="272"/>
      <c r="NE66" s="272"/>
      <c r="NF66" s="272"/>
      <c r="NG66" s="272"/>
      <c r="NH66" s="272"/>
      <c r="NI66" s="272"/>
      <c r="NJ66" s="272"/>
      <c r="NK66" s="272"/>
      <c r="NL66" s="272"/>
      <c r="NM66" s="272"/>
      <c r="NN66" s="272"/>
      <c r="NO66" s="272"/>
      <c r="NP66" s="272"/>
      <c r="NQ66" s="272"/>
      <c r="NR66" s="272"/>
      <c r="NS66" s="272"/>
      <c r="NT66" s="272"/>
      <c r="NU66" s="272"/>
      <c r="NV66" s="272"/>
      <c r="NW66" s="272"/>
      <c r="NX66" s="272"/>
      <c r="NY66" s="272"/>
      <c r="NZ66" s="272"/>
      <c r="OA66" s="272"/>
      <c r="OB66" s="272"/>
      <c r="OC66" s="272"/>
      <c r="OD66" s="272"/>
      <c r="OE66" s="272"/>
      <c r="OF66" s="272"/>
      <c r="OG66" s="272"/>
      <c r="OH66" s="272"/>
      <c r="OI66" s="272"/>
      <c r="OJ66" s="272"/>
      <c r="OK66" s="272"/>
      <c r="OL66" s="272"/>
      <c r="OM66" s="272"/>
      <c r="ON66" s="272"/>
      <c r="OO66" s="272"/>
      <c r="OP66" s="272"/>
      <c r="OQ66" s="272"/>
      <c r="OR66" s="272"/>
      <c r="OS66" s="272"/>
      <c r="OT66" s="272"/>
      <c r="OU66" s="272"/>
      <c r="OV66" s="272"/>
      <c r="OW66" s="272"/>
      <c r="OX66" s="272"/>
      <c r="OY66" s="272"/>
      <c r="OZ66" s="272"/>
      <c r="PA66" s="272"/>
      <c r="PB66" s="272"/>
      <c r="PC66" s="272"/>
      <c r="PD66" s="272"/>
      <c r="PE66" s="272"/>
      <c r="PF66" s="272"/>
      <c r="PG66" s="272"/>
      <c r="PH66" s="272"/>
      <c r="PI66" s="272"/>
      <c r="PJ66" s="272"/>
      <c r="PK66" s="272"/>
      <c r="PL66" s="272"/>
      <c r="PM66" s="272"/>
      <c r="PN66" s="272"/>
      <c r="PO66" s="272"/>
      <c r="PP66" s="272"/>
      <c r="PQ66" s="272"/>
      <c r="PR66" s="272"/>
      <c r="PS66" s="272"/>
      <c r="PT66" s="272"/>
      <c r="PU66" s="272"/>
      <c r="PV66" s="272"/>
      <c r="PW66" s="272"/>
      <c r="PX66" s="272"/>
      <c r="PY66" s="272"/>
      <c r="PZ66" s="272"/>
      <c r="QA66" s="272"/>
      <c r="QB66" s="272"/>
      <c r="QC66" s="272"/>
      <c r="QD66" s="272"/>
      <c r="QE66" s="272"/>
      <c r="QF66" s="272"/>
      <c r="QG66" s="272"/>
      <c r="QH66" s="272"/>
      <c r="QI66" s="272"/>
      <c r="QJ66" s="272"/>
      <c r="QK66" s="272"/>
      <c r="QL66" s="272"/>
      <c r="QM66" s="272"/>
      <c r="QN66" s="272"/>
      <c r="QO66" s="272"/>
      <c r="QP66" s="272"/>
      <c r="QQ66" s="272"/>
      <c r="QR66" s="272"/>
      <c r="QS66" s="272"/>
      <c r="QT66" s="272"/>
      <c r="QU66" s="272"/>
      <c r="QV66" s="272"/>
      <c r="QW66" s="272"/>
      <c r="QX66" s="272"/>
      <c r="QY66" s="272"/>
      <c r="QZ66" s="272"/>
      <c r="RA66" s="272"/>
      <c r="RB66" s="272"/>
      <c r="RC66" s="272"/>
      <c r="RD66" s="272"/>
      <c r="RE66" s="272"/>
      <c r="RF66" s="272"/>
      <c r="RG66" s="272"/>
      <c r="RH66" s="272"/>
      <c r="RI66" s="272"/>
      <c r="RJ66" s="272"/>
      <c r="RK66" s="272"/>
      <c r="RL66" s="272"/>
      <c r="RM66" s="272"/>
      <c r="RN66" s="272"/>
      <c r="RO66" s="272"/>
      <c r="RP66" s="272"/>
      <c r="RQ66" s="272"/>
      <c r="RR66" s="272"/>
      <c r="RS66" s="272"/>
      <c r="RT66" s="272"/>
      <c r="RU66" s="272"/>
      <c r="RV66" s="272"/>
      <c r="RW66" s="272"/>
      <c r="RX66" s="272"/>
      <c r="RY66" s="272"/>
      <c r="RZ66" s="272"/>
      <c r="SA66" s="272"/>
      <c r="SB66" s="272"/>
      <c r="SC66" s="272"/>
      <c r="SD66" s="272"/>
      <c r="SE66" s="272"/>
      <c r="SF66" s="272"/>
      <c r="SG66" s="272"/>
      <c r="SH66" s="272"/>
      <c r="SI66" s="272"/>
      <c r="SJ66" s="272"/>
      <c r="SK66" s="272"/>
      <c r="SL66" s="272"/>
      <c r="SM66" s="272"/>
      <c r="SN66" s="272"/>
      <c r="SO66" s="272"/>
      <c r="SP66" s="272"/>
      <c r="SQ66" s="272"/>
      <c r="SR66" s="272"/>
      <c r="SS66" s="272"/>
      <c r="ST66" s="272"/>
      <c r="SU66" s="272"/>
      <c r="SV66" s="272"/>
      <c r="SW66" s="272"/>
      <c r="SX66" s="272"/>
      <c r="SY66" s="272"/>
      <c r="SZ66" s="272"/>
      <c r="TA66" s="272"/>
      <c r="TB66" s="272"/>
      <c r="TC66" s="272"/>
      <c r="TD66" s="272"/>
      <c r="TE66" s="272"/>
      <c r="TF66" s="272"/>
      <c r="TG66" s="272"/>
      <c r="TH66" s="272"/>
      <c r="TI66" s="272"/>
      <c r="TJ66" s="272"/>
      <c r="TK66" s="272"/>
      <c r="TL66" s="272"/>
      <c r="TM66" s="272"/>
      <c r="TN66" s="272"/>
      <c r="TO66" s="272"/>
      <c r="TP66" s="272"/>
      <c r="TQ66" s="272"/>
      <c r="TR66" s="272"/>
      <c r="TS66" s="272"/>
      <c r="TT66" s="272"/>
      <c r="TU66" s="272"/>
      <c r="TV66" s="272"/>
      <c r="TW66" s="272"/>
      <c r="TX66" s="272"/>
      <c r="TY66" s="272"/>
      <c r="TZ66" s="272"/>
      <c r="UA66" s="272"/>
      <c r="UB66" s="272"/>
      <c r="UC66" s="272"/>
      <c r="UD66" s="272"/>
      <c r="UE66" s="272"/>
      <c r="UF66" s="272"/>
      <c r="UG66" s="272"/>
      <c r="UH66" s="272"/>
      <c r="UI66" s="272"/>
      <c r="UJ66" s="272"/>
      <c r="UK66" s="272"/>
      <c r="UL66" s="272"/>
      <c r="UM66" s="272"/>
      <c r="UN66" s="272"/>
      <c r="UO66" s="272"/>
      <c r="UP66" s="272"/>
      <c r="UQ66" s="272"/>
      <c r="UR66" s="272"/>
      <c r="US66" s="272"/>
      <c r="UT66" s="272"/>
      <c r="UU66" s="272"/>
      <c r="UV66" s="272"/>
      <c r="UW66" s="272"/>
      <c r="UX66" s="272"/>
      <c r="UY66" s="272"/>
      <c r="UZ66" s="272"/>
      <c r="VA66" s="272"/>
      <c r="VB66" s="272"/>
      <c r="VC66" s="272"/>
      <c r="VD66" s="272"/>
      <c r="VE66" s="272"/>
      <c r="VF66" s="272"/>
      <c r="VG66" s="272"/>
      <c r="VH66" s="272"/>
      <c r="VI66" s="272"/>
      <c r="VJ66" s="272"/>
      <c r="VK66" s="272"/>
      <c r="VL66" s="272"/>
      <c r="VM66" s="272"/>
      <c r="VN66" s="272"/>
      <c r="VO66" s="272"/>
      <c r="VP66" s="272"/>
      <c r="VQ66" s="272"/>
      <c r="VR66" s="272"/>
      <c r="VS66" s="272"/>
      <c r="VT66" s="272"/>
      <c r="VU66" s="272"/>
      <c r="VV66" s="272"/>
      <c r="VW66" s="272"/>
      <c r="VX66" s="272"/>
      <c r="VY66" s="272"/>
      <c r="VZ66" s="272"/>
      <c r="WA66" s="272"/>
      <c r="WB66" s="272"/>
      <c r="WC66" s="272"/>
      <c r="WD66" s="272"/>
      <c r="WE66" s="272"/>
      <c r="WF66" s="272"/>
      <c r="WG66" s="272"/>
      <c r="WH66" s="272"/>
      <c r="WI66" s="272"/>
      <c r="WJ66" s="272"/>
      <c r="WK66" s="272"/>
      <c r="WL66" s="272"/>
      <c r="WM66" s="272"/>
      <c r="WN66" s="272"/>
      <c r="WO66" s="272"/>
      <c r="WP66" s="272"/>
      <c r="WQ66" s="272"/>
      <c r="WR66" s="272"/>
      <c r="WS66" s="272"/>
      <c r="WT66" s="272"/>
      <c r="WU66" s="272"/>
      <c r="WV66" s="272"/>
      <c r="WW66" s="272"/>
      <c r="WX66" s="272"/>
      <c r="WY66" s="272"/>
      <c r="WZ66" s="272"/>
      <c r="XA66" s="272"/>
      <c r="XB66" s="272"/>
      <c r="XC66" s="272"/>
      <c r="XD66" s="272"/>
      <c r="XE66" s="272"/>
      <c r="XF66" s="272"/>
      <c r="XG66" s="272"/>
      <c r="XH66" s="272"/>
      <c r="XI66" s="272"/>
      <c r="XJ66" s="272"/>
      <c r="XK66" s="272"/>
      <c r="XL66" s="272"/>
      <c r="XM66" s="272"/>
      <c r="XN66" s="272"/>
      <c r="XO66" s="272"/>
      <c r="XP66" s="272"/>
      <c r="XQ66" s="272"/>
      <c r="XR66" s="272"/>
      <c r="XS66" s="272"/>
      <c r="XT66" s="272"/>
      <c r="XU66" s="272"/>
      <c r="XV66" s="272"/>
      <c r="XW66" s="272"/>
      <c r="XX66" s="272"/>
      <c r="XY66" s="272"/>
      <c r="XZ66" s="272"/>
      <c r="YA66" s="272"/>
      <c r="YB66" s="272"/>
      <c r="YC66" s="272"/>
      <c r="YD66" s="272"/>
      <c r="YE66" s="272"/>
      <c r="YF66" s="272"/>
      <c r="YG66" s="272"/>
      <c r="YH66" s="272"/>
      <c r="YI66" s="272"/>
      <c r="YJ66" s="272"/>
      <c r="YK66" s="272"/>
      <c r="YL66" s="272"/>
      <c r="YM66" s="272"/>
      <c r="YN66" s="272"/>
      <c r="YO66" s="272"/>
      <c r="YP66" s="272"/>
      <c r="YQ66" s="272"/>
      <c r="YR66" s="272"/>
      <c r="YS66" s="272"/>
      <c r="YT66" s="272"/>
      <c r="YU66" s="272"/>
      <c r="YV66" s="272"/>
      <c r="YW66" s="272"/>
      <c r="YX66" s="272"/>
      <c r="YY66" s="272"/>
      <c r="YZ66" s="272"/>
      <c r="ZA66" s="272"/>
      <c r="ZB66" s="272"/>
      <c r="ZC66" s="272"/>
      <c r="ZD66" s="272"/>
      <c r="ZE66" s="272"/>
      <c r="ZF66" s="272"/>
      <c r="ZG66" s="272"/>
      <c r="ZH66" s="272"/>
      <c r="ZI66" s="272"/>
      <c r="ZJ66" s="272"/>
      <c r="ZK66" s="272"/>
      <c r="ZL66" s="272"/>
      <c r="ZM66" s="272"/>
      <c r="ZN66" s="272"/>
      <c r="ZO66" s="272"/>
      <c r="ZP66" s="272"/>
      <c r="ZQ66" s="272"/>
      <c r="ZR66" s="272"/>
      <c r="ZS66" s="272"/>
      <c r="ZT66" s="272"/>
      <c r="ZU66" s="272"/>
      <c r="ZV66" s="272"/>
      <c r="ZW66" s="272"/>
      <c r="ZX66" s="272"/>
      <c r="ZY66" s="272"/>
      <c r="ZZ66" s="272"/>
      <c r="AAA66" s="272"/>
      <c r="AAB66" s="272"/>
      <c r="AAC66" s="272"/>
      <c r="AAD66" s="272"/>
      <c r="AAE66" s="272"/>
      <c r="AAF66" s="272"/>
      <c r="AAG66" s="272"/>
      <c r="AAH66" s="272"/>
      <c r="AAI66" s="272"/>
      <c r="AAJ66" s="272"/>
      <c r="AAK66" s="272"/>
      <c r="AAL66" s="272"/>
      <c r="AAM66" s="272"/>
      <c r="AAN66" s="272"/>
      <c r="AAO66" s="272"/>
      <c r="AAP66" s="272"/>
      <c r="AAQ66" s="272"/>
      <c r="AAR66" s="272"/>
      <c r="AAS66" s="272"/>
      <c r="AAT66" s="272"/>
      <c r="AAU66" s="272"/>
      <c r="AAV66" s="272"/>
      <c r="AAW66" s="272"/>
      <c r="AAX66" s="272"/>
      <c r="AAY66" s="272"/>
      <c r="AAZ66" s="272"/>
      <c r="ABA66" s="272"/>
      <c r="ABB66" s="272"/>
      <c r="ABC66" s="272"/>
      <c r="ABD66" s="272"/>
      <c r="ABE66" s="272"/>
      <c r="ABF66" s="272"/>
      <c r="ABG66" s="272"/>
    </row>
    <row r="67" spans="1:735" s="62" customFormat="1" ht="13.5" thickBot="1">
      <c r="A67" s="50"/>
      <c r="B67" s="73"/>
      <c r="C67" s="28" t="s">
        <v>54</v>
      </c>
      <c r="D67" s="513"/>
      <c r="E67" s="514"/>
      <c r="F67" s="515"/>
      <c r="G67" s="516"/>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c r="DJ67" s="272"/>
      <c r="DK67" s="272"/>
      <c r="DL67" s="272"/>
      <c r="DM67" s="272"/>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c r="EO67" s="272"/>
      <c r="EP67" s="272"/>
      <c r="EQ67" s="272"/>
      <c r="ER67" s="272"/>
      <c r="ES67" s="272"/>
      <c r="ET67" s="272"/>
      <c r="EU67" s="272"/>
      <c r="EV67" s="272"/>
      <c r="EW67" s="272"/>
      <c r="EX67" s="272"/>
      <c r="EY67" s="272"/>
      <c r="EZ67" s="272"/>
      <c r="FA67" s="272"/>
      <c r="FB67" s="272"/>
      <c r="FC67" s="272"/>
      <c r="FD67" s="272"/>
      <c r="FE67" s="272"/>
      <c r="FF67" s="272"/>
      <c r="FG67" s="272"/>
      <c r="FH67" s="272"/>
      <c r="FI67" s="272"/>
      <c r="FJ67" s="272"/>
      <c r="FK67" s="272"/>
      <c r="FL67" s="272"/>
      <c r="FM67" s="272"/>
      <c r="FN67" s="272"/>
      <c r="FO67" s="272"/>
      <c r="FP67" s="272"/>
      <c r="FQ67" s="272"/>
      <c r="FR67" s="272"/>
      <c r="FS67" s="272"/>
      <c r="FT67" s="272"/>
      <c r="FU67" s="272"/>
      <c r="FV67" s="272"/>
      <c r="FW67" s="272"/>
      <c r="FX67" s="272"/>
      <c r="FY67" s="272"/>
      <c r="FZ67" s="272"/>
      <c r="GA67" s="272"/>
      <c r="GB67" s="272"/>
      <c r="GC67" s="272"/>
      <c r="GD67" s="272"/>
      <c r="GE67" s="272"/>
      <c r="GF67" s="272"/>
      <c r="GG67" s="272"/>
      <c r="GH67" s="272"/>
      <c r="GI67" s="272"/>
      <c r="GJ67" s="272"/>
      <c r="GK67" s="272"/>
      <c r="GL67" s="272"/>
      <c r="GM67" s="272"/>
      <c r="GN67" s="272"/>
      <c r="GO67" s="272"/>
      <c r="GP67" s="272"/>
      <c r="GQ67" s="272"/>
      <c r="GR67" s="272"/>
      <c r="GS67" s="272"/>
      <c r="GT67" s="272"/>
      <c r="GU67" s="272"/>
      <c r="GV67" s="272"/>
      <c r="GW67" s="272"/>
      <c r="GX67" s="272"/>
      <c r="GY67" s="272"/>
      <c r="GZ67" s="272"/>
      <c r="HA67" s="272"/>
      <c r="HB67" s="272"/>
      <c r="HC67" s="272"/>
      <c r="HD67" s="272"/>
      <c r="HE67" s="272"/>
      <c r="HF67" s="272"/>
      <c r="HG67" s="272"/>
      <c r="HH67" s="272"/>
      <c r="HI67" s="272"/>
      <c r="HJ67" s="272"/>
      <c r="HK67" s="272"/>
      <c r="HL67" s="272"/>
      <c r="HM67" s="272"/>
      <c r="HN67" s="272"/>
      <c r="HO67" s="272"/>
      <c r="HP67" s="272"/>
      <c r="HQ67" s="272"/>
      <c r="HR67" s="272"/>
      <c r="HS67" s="272"/>
      <c r="HT67" s="272"/>
      <c r="HU67" s="272"/>
      <c r="HV67" s="272"/>
      <c r="HW67" s="272"/>
      <c r="HX67" s="272"/>
      <c r="HY67" s="272"/>
      <c r="HZ67" s="272"/>
      <c r="IA67" s="272"/>
      <c r="IB67" s="272"/>
      <c r="IC67" s="272"/>
      <c r="ID67" s="272"/>
      <c r="IE67" s="272"/>
      <c r="IF67" s="272"/>
      <c r="IG67" s="272"/>
      <c r="IH67" s="272"/>
      <c r="II67" s="272"/>
      <c r="IJ67" s="272"/>
      <c r="IK67" s="272"/>
      <c r="IL67" s="272"/>
      <c r="IM67" s="272"/>
      <c r="IN67" s="272"/>
      <c r="IO67" s="272"/>
      <c r="IP67" s="272"/>
      <c r="IQ67" s="272"/>
      <c r="IR67" s="272"/>
      <c r="IS67" s="272"/>
      <c r="IT67" s="272"/>
      <c r="IU67" s="272"/>
      <c r="IV67" s="272"/>
      <c r="IW67" s="272"/>
      <c r="IX67" s="272"/>
      <c r="IY67" s="272"/>
      <c r="IZ67" s="272"/>
      <c r="JA67" s="272"/>
      <c r="JB67" s="272"/>
      <c r="JC67" s="272"/>
      <c r="JD67" s="272"/>
      <c r="JE67" s="272"/>
      <c r="JF67" s="272"/>
      <c r="JG67" s="272"/>
      <c r="JH67" s="272"/>
      <c r="JI67" s="272"/>
      <c r="JJ67" s="272"/>
      <c r="JK67" s="272"/>
      <c r="JL67" s="272"/>
      <c r="JM67" s="272"/>
      <c r="JN67" s="272"/>
      <c r="JO67" s="272"/>
      <c r="JP67" s="272"/>
      <c r="JQ67" s="272"/>
      <c r="JR67" s="272"/>
      <c r="JS67" s="272"/>
      <c r="JT67" s="272"/>
      <c r="JU67" s="272"/>
      <c r="JV67" s="272"/>
      <c r="JW67" s="272"/>
      <c r="JX67" s="272"/>
      <c r="JY67" s="272"/>
      <c r="JZ67" s="272"/>
      <c r="KA67" s="272"/>
      <c r="KB67" s="272"/>
      <c r="KC67" s="272"/>
      <c r="KD67" s="272"/>
      <c r="KE67" s="272"/>
      <c r="KF67" s="272"/>
      <c r="KG67" s="272"/>
      <c r="KH67" s="272"/>
      <c r="KI67" s="272"/>
      <c r="KJ67" s="272"/>
      <c r="KK67" s="272"/>
      <c r="KL67" s="272"/>
      <c r="KM67" s="272"/>
      <c r="KN67" s="272"/>
      <c r="KO67" s="272"/>
      <c r="KP67" s="272"/>
      <c r="KQ67" s="272"/>
      <c r="KR67" s="272"/>
      <c r="KS67" s="272"/>
      <c r="KT67" s="272"/>
      <c r="KU67" s="272"/>
      <c r="KV67" s="272"/>
      <c r="KW67" s="272"/>
      <c r="KX67" s="272"/>
      <c r="KY67" s="272"/>
      <c r="KZ67" s="272"/>
      <c r="LA67" s="272"/>
      <c r="LB67" s="272"/>
      <c r="LC67" s="272"/>
      <c r="LD67" s="272"/>
      <c r="LE67" s="272"/>
      <c r="LF67" s="272"/>
      <c r="LG67" s="272"/>
      <c r="LH67" s="272"/>
      <c r="LI67" s="272"/>
      <c r="LJ67" s="272"/>
      <c r="LK67" s="272"/>
      <c r="LL67" s="272"/>
      <c r="LM67" s="272"/>
      <c r="LN67" s="272"/>
      <c r="LO67" s="272"/>
      <c r="LP67" s="272"/>
      <c r="LQ67" s="272"/>
      <c r="LR67" s="272"/>
      <c r="LS67" s="272"/>
      <c r="LT67" s="272"/>
      <c r="LU67" s="272"/>
      <c r="LV67" s="272"/>
      <c r="LW67" s="272"/>
      <c r="LX67" s="272"/>
      <c r="LY67" s="272"/>
      <c r="LZ67" s="272"/>
      <c r="MA67" s="272"/>
      <c r="MB67" s="272"/>
      <c r="MC67" s="272"/>
      <c r="MD67" s="272"/>
      <c r="ME67" s="272"/>
      <c r="MF67" s="272"/>
      <c r="MG67" s="272"/>
      <c r="MH67" s="272"/>
      <c r="MI67" s="272"/>
      <c r="MJ67" s="272"/>
      <c r="MK67" s="272"/>
      <c r="ML67" s="272"/>
      <c r="MM67" s="272"/>
      <c r="MN67" s="272"/>
      <c r="MO67" s="272"/>
      <c r="MP67" s="272"/>
      <c r="MQ67" s="272"/>
      <c r="MR67" s="272"/>
      <c r="MS67" s="272"/>
      <c r="MT67" s="272"/>
      <c r="MU67" s="272"/>
      <c r="MV67" s="272"/>
      <c r="MW67" s="272"/>
      <c r="MX67" s="272"/>
      <c r="MY67" s="272"/>
      <c r="MZ67" s="272"/>
      <c r="NA67" s="272"/>
      <c r="NB67" s="272"/>
      <c r="NC67" s="272"/>
      <c r="ND67" s="272"/>
      <c r="NE67" s="272"/>
      <c r="NF67" s="272"/>
      <c r="NG67" s="272"/>
      <c r="NH67" s="272"/>
      <c r="NI67" s="272"/>
      <c r="NJ67" s="272"/>
      <c r="NK67" s="272"/>
      <c r="NL67" s="272"/>
      <c r="NM67" s="272"/>
      <c r="NN67" s="272"/>
      <c r="NO67" s="272"/>
      <c r="NP67" s="272"/>
      <c r="NQ67" s="272"/>
      <c r="NR67" s="272"/>
      <c r="NS67" s="272"/>
      <c r="NT67" s="272"/>
      <c r="NU67" s="272"/>
      <c r="NV67" s="272"/>
      <c r="NW67" s="272"/>
      <c r="NX67" s="272"/>
      <c r="NY67" s="272"/>
      <c r="NZ67" s="272"/>
      <c r="OA67" s="272"/>
      <c r="OB67" s="272"/>
      <c r="OC67" s="272"/>
      <c r="OD67" s="272"/>
      <c r="OE67" s="272"/>
      <c r="OF67" s="272"/>
      <c r="OG67" s="272"/>
      <c r="OH67" s="272"/>
      <c r="OI67" s="272"/>
      <c r="OJ67" s="272"/>
      <c r="OK67" s="272"/>
      <c r="OL67" s="272"/>
      <c r="OM67" s="272"/>
      <c r="ON67" s="272"/>
      <c r="OO67" s="272"/>
      <c r="OP67" s="272"/>
      <c r="OQ67" s="272"/>
      <c r="OR67" s="272"/>
      <c r="OS67" s="272"/>
      <c r="OT67" s="272"/>
      <c r="OU67" s="272"/>
      <c r="OV67" s="272"/>
      <c r="OW67" s="272"/>
      <c r="OX67" s="272"/>
      <c r="OY67" s="272"/>
      <c r="OZ67" s="272"/>
      <c r="PA67" s="272"/>
      <c r="PB67" s="272"/>
      <c r="PC67" s="272"/>
      <c r="PD67" s="272"/>
      <c r="PE67" s="272"/>
      <c r="PF67" s="272"/>
      <c r="PG67" s="272"/>
      <c r="PH67" s="272"/>
      <c r="PI67" s="272"/>
      <c r="PJ67" s="272"/>
      <c r="PK67" s="272"/>
      <c r="PL67" s="272"/>
      <c r="PM67" s="272"/>
      <c r="PN67" s="272"/>
      <c r="PO67" s="272"/>
      <c r="PP67" s="272"/>
      <c r="PQ67" s="272"/>
      <c r="PR67" s="272"/>
      <c r="PS67" s="272"/>
      <c r="PT67" s="272"/>
      <c r="PU67" s="272"/>
      <c r="PV67" s="272"/>
      <c r="PW67" s="272"/>
      <c r="PX67" s="272"/>
      <c r="PY67" s="272"/>
      <c r="PZ67" s="272"/>
      <c r="QA67" s="272"/>
      <c r="QB67" s="272"/>
      <c r="QC67" s="272"/>
      <c r="QD67" s="272"/>
      <c r="QE67" s="272"/>
      <c r="QF67" s="272"/>
      <c r="QG67" s="272"/>
      <c r="QH67" s="272"/>
      <c r="QI67" s="272"/>
      <c r="QJ67" s="272"/>
      <c r="QK67" s="272"/>
      <c r="QL67" s="272"/>
      <c r="QM67" s="272"/>
      <c r="QN67" s="272"/>
      <c r="QO67" s="272"/>
      <c r="QP67" s="272"/>
      <c r="QQ67" s="272"/>
      <c r="QR67" s="272"/>
      <c r="QS67" s="272"/>
      <c r="QT67" s="272"/>
      <c r="QU67" s="272"/>
      <c r="QV67" s="272"/>
      <c r="QW67" s="272"/>
      <c r="QX67" s="272"/>
      <c r="QY67" s="272"/>
      <c r="QZ67" s="272"/>
      <c r="RA67" s="272"/>
      <c r="RB67" s="272"/>
      <c r="RC67" s="272"/>
      <c r="RD67" s="272"/>
      <c r="RE67" s="272"/>
      <c r="RF67" s="272"/>
      <c r="RG67" s="272"/>
      <c r="RH67" s="272"/>
      <c r="RI67" s="272"/>
      <c r="RJ67" s="272"/>
      <c r="RK67" s="272"/>
      <c r="RL67" s="272"/>
      <c r="RM67" s="272"/>
      <c r="RN67" s="272"/>
      <c r="RO67" s="272"/>
      <c r="RP67" s="272"/>
      <c r="RQ67" s="272"/>
      <c r="RR67" s="272"/>
      <c r="RS67" s="272"/>
      <c r="RT67" s="272"/>
      <c r="RU67" s="272"/>
      <c r="RV67" s="272"/>
      <c r="RW67" s="272"/>
      <c r="RX67" s="272"/>
      <c r="RY67" s="272"/>
      <c r="RZ67" s="272"/>
      <c r="SA67" s="272"/>
      <c r="SB67" s="272"/>
      <c r="SC67" s="272"/>
      <c r="SD67" s="272"/>
      <c r="SE67" s="272"/>
      <c r="SF67" s="272"/>
      <c r="SG67" s="272"/>
      <c r="SH67" s="272"/>
      <c r="SI67" s="272"/>
      <c r="SJ67" s="272"/>
      <c r="SK67" s="272"/>
      <c r="SL67" s="272"/>
      <c r="SM67" s="272"/>
      <c r="SN67" s="272"/>
      <c r="SO67" s="272"/>
      <c r="SP67" s="272"/>
      <c r="SQ67" s="272"/>
      <c r="SR67" s="272"/>
      <c r="SS67" s="272"/>
      <c r="ST67" s="272"/>
      <c r="SU67" s="272"/>
      <c r="SV67" s="272"/>
      <c r="SW67" s="272"/>
      <c r="SX67" s="272"/>
      <c r="SY67" s="272"/>
      <c r="SZ67" s="272"/>
      <c r="TA67" s="272"/>
      <c r="TB67" s="272"/>
      <c r="TC67" s="272"/>
      <c r="TD67" s="272"/>
      <c r="TE67" s="272"/>
      <c r="TF67" s="272"/>
      <c r="TG67" s="272"/>
      <c r="TH67" s="272"/>
      <c r="TI67" s="272"/>
      <c r="TJ67" s="272"/>
      <c r="TK67" s="272"/>
      <c r="TL67" s="272"/>
      <c r="TM67" s="272"/>
      <c r="TN67" s="272"/>
      <c r="TO67" s="272"/>
      <c r="TP67" s="272"/>
      <c r="TQ67" s="272"/>
      <c r="TR67" s="272"/>
      <c r="TS67" s="272"/>
      <c r="TT67" s="272"/>
      <c r="TU67" s="272"/>
      <c r="TV67" s="272"/>
      <c r="TW67" s="272"/>
      <c r="TX67" s="272"/>
      <c r="TY67" s="272"/>
      <c r="TZ67" s="272"/>
      <c r="UA67" s="272"/>
      <c r="UB67" s="272"/>
      <c r="UC67" s="272"/>
      <c r="UD67" s="272"/>
      <c r="UE67" s="272"/>
      <c r="UF67" s="272"/>
      <c r="UG67" s="272"/>
      <c r="UH67" s="272"/>
      <c r="UI67" s="272"/>
      <c r="UJ67" s="272"/>
      <c r="UK67" s="272"/>
      <c r="UL67" s="272"/>
      <c r="UM67" s="272"/>
      <c r="UN67" s="272"/>
      <c r="UO67" s="272"/>
      <c r="UP67" s="272"/>
      <c r="UQ67" s="272"/>
      <c r="UR67" s="272"/>
      <c r="US67" s="272"/>
      <c r="UT67" s="272"/>
      <c r="UU67" s="272"/>
      <c r="UV67" s="272"/>
      <c r="UW67" s="272"/>
      <c r="UX67" s="272"/>
      <c r="UY67" s="272"/>
      <c r="UZ67" s="272"/>
      <c r="VA67" s="272"/>
      <c r="VB67" s="272"/>
      <c r="VC67" s="272"/>
      <c r="VD67" s="272"/>
      <c r="VE67" s="272"/>
      <c r="VF67" s="272"/>
      <c r="VG67" s="272"/>
      <c r="VH67" s="272"/>
      <c r="VI67" s="272"/>
      <c r="VJ67" s="272"/>
      <c r="VK67" s="272"/>
      <c r="VL67" s="272"/>
      <c r="VM67" s="272"/>
      <c r="VN67" s="272"/>
      <c r="VO67" s="272"/>
      <c r="VP67" s="272"/>
      <c r="VQ67" s="272"/>
      <c r="VR67" s="272"/>
      <c r="VS67" s="272"/>
      <c r="VT67" s="272"/>
      <c r="VU67" s="272"/>
      <c r="VV67" s="272"/>
      <c r="VW67" s="272"/>
      <c r="VX67" s="272"/>
      <c r="VY67" s="272"/>
      <c r="VZ67" s="272"/>
      <c r="WA67" s="272"/>
      <c r="WB67" s="272"/>
      <c r="WC67" s="272"/>
      <c r="WD67" s="272"/>
      <c r="WE67" s="272"/>
      <c r="WF67" s="272"/>
      <c r="WG67" s="272"/>
      <c r="WH67" s="272"/>
      <c r="WI67" s="272"/>
      <c r="WJ67" s="272"/>
      <c r="WK67" s="272"/>
      <c r="WL67" s="272"/>
      <c r="WM67" s="272"/>
      <c r="WN67" s="272"/>
      <c r="WO67" s="272"/>
      <c r="WP67" s="272"/>
      <c r="WQ67" s="272"/>
      <c r="WR67" s="272"/>
      <c r="WS67" s="272"/>
      <c r="WT67" s="272"/>
      <c r="WU67" s="272"/>
      <c r="WV67" s="272"/>
      <c r="WW67" s="272"/>
      <c r="WX67" s="272"/>
      <c r="WY67" s="272"/>
      <c r="WZ67" s="272"/>
      <c r="XA67" s="272"/>
      <c r="XB67" s="272"/>
      <c r="XC67" s="272"/>
      <c r="XD67" s="272"/>
      <c r="XE67" s="272"/>
      <c r="XF67" s="272"/>
      <c r="XG67" s="272"/>
      <c r="XH67" s="272"/>
      <c r="XI67" s="272"/>
      <c r="XJ67" s="272"/>
      <c r="XK67" s="272"/>
      <c r="XL67" s="272"/>
      <c r="XM67" s="272"/>
      <c r="XN67" s="272"/>
      <c r="XO67" s="272"/>
      <c r="XP67" s="272"/>
      <c r="XQ67" s="272"/>
      <c r="XR67" s="272"/>
      <c r="XS67" s="272"/>
      <c r="XT67" s="272"/>
      <c r="XU67" s="272"/>
      <c r="XV67" s="272"/>
      <c r="XW67" s="272"/>
      <c r="XX67" s="272"/>
      <c r="XY67" s="272"/>
      <c r="XZ67" s="272"/>
      <c r="YA67" s="272"/>
      <c r="YB67" s="272"/>
      <c r="YC67" s="272"/>
      <c r="YD67" s="272"/>
      <c r="YE67" s="272"/>
      <c r="YF67" s="272"/>
      <c r="YG67" s="272"/>
      <c r="YH67" s="272"/>
      <c r="YI67" s="272"/>
      <c r="YJ67" s="272"/>
      <c r="YK67" s="272"/>
      <c r="YL67" s="272"/>
      <c r="YM67" s="272"/>
      <c r="YN67" s="272"/>
      <c r="YO67" s="272"/>
      <c r="YP67" s="272"/>
      <c r="YQ67" s="272"/>
      <c r="YR67" s="272"/>
      <c r="YS67" s="272"/>
      <c r="YT67" s="272"/>
      <c r="YU67" s="272"/>
      <c r="YV67" s="272"/>
      <c r="YW67" s="272"/>
      <c r="YX67" s="272"/>
      <c r="YY67" s="272"/>
      <c r="YZ67" s="272"/>
      <c r="ZA67" s="272"/>
      <c r="ZB67" s="272"/>
      <c r="ZC67" s="272"/>
      <c r="ZD67" s="272"/>
      <c r="ZE67" s="272"/>
      <c r="ZF67" s="272"/>
      <c r="ZG67" s="272"/>
      <c r="ZH67" s="272"/>
      <c r="ZI67" s="272"/>
      <c r="ZJ67" s="272"/>
      <c r="ZK67" s="272"/>
      <c r="ZL67" s="272"/>
      <c r="ZM67" s="272"/>
      <c r="ZN67" s="272"/>
      <c r="ZO67" s="272"/>
      <c r="ZP67" s="272"/>
      <c r="ZQ67" s="272"/>
      <c r="ZR67" s="272"/>
      <c r="ZS67" s="272"/>
      <c r="ZT67" s="272"/>
      <c r="ZU67" s="272"/>
      <c r="ZV67" s="272"/>
      <c r="ZW67" s="272"/>
      <c r="ZX67" s="272"/>
      <c r="ZY67" s="272"/>
      <c r="ZZ67" s="272"/>
      <c r="AAA67" s="272"/>
      <c r="AAB67" s="272"/>
      <c r="AAC67" s="272"/>
      <c r="AAD67" s="272"/>
      <c r="AAE67" s="272"/>
      <c r="AAF67" s="272"/>
      <c r="AAG67" s="272"/>
      <c r="AAH67" s="272"/>
      <c r="AAI67" s="272"/>
      <c r="AAJ67" s="272"/>
      <c r="AAK67" s="272"/>
      <c r="AAL67" s="272"/>
      <c r="AAM67" s="272"/>
      <c r="AAN67" s="272"/>
      <c r="AAO67" s="272"/>
      <c r="AAP67" s="272"/>
      <c r="AAQ67" s="272"/>
      <c r="AAR67" s="272"/>
      <c r="AAS67" s="272"/>
      <c r="AAT67" s="272"/>
      <c r="AAU67" s="272"/>
      <c r="AAV67" s="272"/>
      <c r="AAW67" s="272"/>
      <c r="AAX67" s="272"/>
      <c r="AAY67" s="272"/>
      <c r="AAZ67" s="272"/>
      <c r="ABA67" s="272"/>
      <c r="ABB67" s="272"/>
      <c r="ABC67" s="272"/>
      <c r="ABD67" s="272"/>
      <c r="ABE67" s="272"/>
      <c r="ABF67" s="272"/>
      <c r="ABG67" s="272"/>
    </row>
    <row r="68" spans="1:735" s="61" customFormat="1" ht="38.25">
      <c r="A68" s="67" t="s">
        <v>69</v>
      </c>
      <c r="B68" s="68" t="s">
        <v>29</v>
      </c>
      <c r="C68" s="30" t="s">
        <v>52</v>
      </c>
      <c r="D68" s="501"/>
      <c r="E68" s="502"/>
      <c r="F68" s="503"/>
      <c r="G68" s="504"/>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c r="DJ68" s="272"/>
      <c r="DK68" s="272"/>
      <c r="DL68" s="272"/>
      <c r="DM68" s="272"/>
      <c r="DN68" s="272"/>
      <c r="DO68" s="272"/>
      <c r="DP68" s="272"/>
      <c r="DQ68" s="272"/>
      <c r="DR68" s="272"/>
      <c r="DS68" s="272"/>
      <c r="DT68" s="272"/>
      <c r="DU68" s="272"/>
      <c r="DV68" s="272"/>
      <c r="DW68" s="272"/>
      <c r="DX68" s="272"/>
      <c r="DY68" s="272"/>
      <c r="DZ68" s="272"/>
      <c r="EA68" s="272"/>
      <c r="EB68" s="272"/>
      <c r="EC68" s="272"/>
      <c r="ED68" s="272"/>
      <c r="EE68" s="272"/>
      <c r="EF68" s="272"/>
      <c r="EG68" s="272"/>
      <c r="EH68" s="272"/>
      <c r="EI68" s="272"/>
      <c r="EJ68" s="272"/>
      <c r="EK68" s="272"/>
      <c r="EL68" s="272"/>
      <c r="EM68" s="272"/>
      <c r="EN68" s="272"/>
      <c r="EO68" s="272"/>
      <c r="EP68" s="272"/>
      <c r="EQ68" s="272"/>
      <c r="ER68" s="272"/>
      <c r="ES68" s="272"/>
      <c r="ET68" s="272"/>
      <c r="EU68" s="272"/>
      <c r="EV68" s="272"/>
      <c r="EW68" s="272"/>
      <c r="EX68" s="272"/>
      <c r="EY68" s="272"/>
      <c r="EZ68" s="272"/>
      <c r="FA68" s="272"/>
      <c r="FB68" s="272"/>
      <c r="FC68" s="272"/>
      <c r="FD68" s="272"/>
      <c r="FE68" s="272"/>
      <c r="FF68" s="272"/>
      <c r="FG68" s="272"/>
      <c r="FH68" s="272"/>
      <c r="FI68" s="272"/>
      <c r="FJ68" s="272"/>
      <c r="FK68" s="272"/>
      <c r="FL68" s="272"/>
      <c r="FM68" s="272"/>
      <c r="FN68" s="272"/>
      <c r="FO68" s="272"/>
      <c r="FP68" s="272"/>
      <c r="FQ68" s="272"/>
      <c r="FR68" s="272"/>
      <c r="FS68" s="272"/>
      <c r="FT68" s="272"/>
      <c r="FU68" s="272"/>
      <c r="FV68" s="272"/>
      <c r="FW68" s="272"/>
      <c r="FX68" s="272"/>
      <c r="FY68" s="272"/>
      <c r="FZ68" s="272"/>
      <c r="GA68" s="272"/>
      <c r="GB68" s="272"/>
      <c r="GC68" s="272"/>
      <c r="GD68" s="272"/>
      <c r="GE68" s="272"/>
      <c r="GF68" s="272"/>
      <c r="GG68" s="272"/>
      <c r="GH68" s="272"/>
      <c r="GI68" s="272"/>
      <c r="GJ68" s="272"/>
      <c r="GK68" s="272"/>
      <c r="GL68" s="272"/>
      <c r="GM68" s="272"/>
      <c r="GN68" s="272"/>
      <c r="GO68" s="272"/>
      <c r="GP68" s="272"/>
      <c r="GQ68" s="272"/>
      <c r="GR68" s="272"/>
      <c r="GS68" s="272"/>
      <c r="GT68" s="272"/>
      <c r="GU68" s="272"/>
      <c r="GV68" s="272"/>
      <c r="GW68" s="272"/>
      <c r="GX68" s="272"/>
      <c r="GY68" s="272"/>
      <c r="GZ68" s="272"/>
      <c r="HA68" s="272"/>
      <c r="HB68" s="272"/>
      <c r="HC68" s="272"/>
      <c r="HD68" s="272"/>
      <c r="HE68" s="272"/>
      <c r="HF68" s="272"/>
      <c r="HG68" s="272"/>
      <c r="HH68" s="272"/>
      <c r="HI68" s="272"/>
      <c r="HJ68" s="272"/>
      <c r="HK68" s="272"/>
      <c r="HL68" s="272"/>
      <c r="HM68" s="272"/>
      <c r="HN68" s="272"/>
      <c r="HO68" s="272"/>
      <c r="HP68" s="272"/>
      <c r="HQ68" s="272"/>
      <c r="HR68" s="272"/>
      <c r="HS68" s="272"/>
      <c r="HT68" s="272"/>
      <c r="HU68" s="272"/>
      <c r="HV68" s="272"/>
      <c r="HW68" s="272"/>
      <c r="HX68" s="272"/>
      <c r="HY68" s="272"/>
      <c r="HZ68" s="272"/>
      <c r="IA68" s="272"/>
      <c r="IB68" s="272"/>
      <c r="IC68" s="272"/>
      <c r="ID68" s="272"/>
      <c r="IE68" s="272"/>
      <c r="IF68" s="272"/>
      <c r="IG68" s="272"/>
      <c r="IH68" s="272"/>
      <c r="II68" s="272"/>
      <c r="IJ68" s="272"/>
      <c r="IK68" s="272"/>
      <c r="IL68" s="272"/>
      <c r="IM68" s="272"/>
      <c r="IN68" s="272"/>
      <c r="IO68" s="272"/>
      <c r="IP68" s="272"/>
      <c r="IQ68" s="272"/>
      <c r="IR68" s="272"/>
      <c r="IS68" s="272"/>
      <c r="IT68" s="272"/>
      <c r="IU68" s="272"/>
      <c r="IV68" s="272"/>
      <c r="IW68" s="272"/>
      <c r="IX68" s="272"/>
      <c r="IY68" s="272"/>
      <c r="IZ68" s="272"/>
      <c r="JA68" s="272"/>
      <c r="JB68" s="272"/>
      <c r="JC68" s="272"/>
      <c r="JD68" s="272"/>
      <c r="JE68" s="272"/>
      <c r="JF68" s="272"/>
      <c r="JG68" s="272"/>
      <c r="JH68" s="272"/>
      <c r="JI68" s="272"/>
      <c r="JJ68" s="272"/>
      <c r="JK68" s="272"/>
      <c r="JL68" s="272"/>
      <c r="JM68" s="272"/>
      <c r="JN68" s="272"/>
      <c r="JO68" s="272"/>
      <c r="JP68" s="272"/>
      <c r="JQ68" s="272"/>
      <c r="JR68" s="272"/>
      <c r="JS68" s="272"/>
      <c r="JT68" s="272"/>
      <c r="JU68" s="272"/>
      <c r="JV68" s="272"/>
      <c r="JW68" s="272"/>
      <c r="JX68" s="272"/>
      <c r="JY68" s="272"/>
      <c r="JZ68" s="272"/>
      <c r="KA68" s="272"/>
      <c r="KB68" s="272"/>
      <c r="KC68" s="272"/>
      <c r="KD68" s="272"/>
      <c r="KE68" s="272"/>
      <c r="KF68" s="272"/>
      <c r="KG68" s="272"/>
      <c r="KH68" s="272"/>
      <c r="KI68" s="272"/>
      <c r="KJ68" s="272"/>
      <c r="KK68" s="272"/>
      <c r="KL68" s="272"/>
      <c r="KM68" s="272"/>
      <c r="KN68" s="272"/>
      <c r="KO68" s="272"/>
      <c r="KP68" s="272"/>
      <c r="KQ68" s="272"/>
      <c r="KR68" s="272"/>
      <c r="KS68" s="272"/>
      <c r="KT68" s="272"/>
      <c r="KU68" s="272"/>
      <c r="KV68" s="272"/>
      <c r="KW68" s="272"/>
      <c r="KX68" s="272"/>
      <c r="KY68" s="272"/>
      <c r="KZ68" s="272"/>
      <c r="LA68" s="272"/>
      <c r="LB68" s="272"/>
      <c r="LC68" s="272"/>
      <c r="LD68" s="272"/>
      <c r="LE68" s="272"/>
      <c r="LF68" s="272"/>
      <c r="LG68" s="272"/>
      <c r="LH68" s="272"/>
      <c r="LI68" s="272"/>
      <c r="LJ68" s="272"/>
      <c r="LK68" s="272"/>
      <c r="LL68" s="272"/>
      <c r="LM68" s="272"/>
      <c r="LN68" s="272"/>
      <c r="LO68" s="272"/>
      <c r="LP68" s="272"/>
      <c r="LQ68" s="272"/>
      <c r="LR68" s="272"/>
      <c r="LS68" s="272"/>
      <c r="LT68" s="272"/>
      <c r="LU68" s="272"/>
      <c r="LV68" s="272"/>
      <c r="LW68" s="272"/>
      <c r="LX68" s="272"/>
      <c r="LY68" s="272"/>
      <c r="LZ68" s="272"/>
      <c r="MA68" s="272"/>
      <c r="MB68" s="272"/>
      <c r="MC68" s="272"/>
      <c r="MD68" s="272"/>
      <c r="ME68" s="272"/>
      <c r="MF68" s="272"/>
      <c r="MG68" s="272"/>
      <c r="MH68" s="272"/>
      <c r="MI68" s="272"/>
      <c r="MJ68" s="272"/>
      <c r="MK68" s="272"/>
      <c r="ML68" s="272"/>
      <c r="MM68" s="272"/>
      <c r="MN68" s="272"/>
      <c r="MO68" s="272"/>
      <c r="MP68" s="272"/>
      <c r="MQ68" s="272"/>
      <c r="MR68" s="272"/>
      <c r="MS68" s="272"/>
      <c r="MT68" s="272"/>
      <c r="MU68" s="272"/>
      <c r="MV68" s="272"/>
      <c r="MW68" s="272"/>
      <c r="MX68" s="272"/>
      <c r="MY68" s="272"/>
      <c r="MZ68" s="272"/>
      <c r="NA68" s="272"/>
      <c r="NB68" s="272"/>
      <c r="NC68" s="272"/>
      <c r="ND68" s="272"/>
      <c r="NE68" s="272"/>
      <c r="NF68" s="272"/>
      <c r="NG68" s="272"/>
      <c r="NH68" s="272"/>
      <c r="NI68" s="272"/>
      <c r="NJ68" s="272"/>
      <c r="NK68" s="272"/>
      <c r="NL68" s="272"/>
      <c r="NM68" s="272"/>
      <c r="NN68" s="272"/>
      <c r="NO68" s="272"/>
      <c r="NP68" s="272"/>
      <c r="NQ68" s="272"/>
      <c r="NR68" s="272"/>
      <c r="NS68" s="272"/>
      <c r="NT68" s="272"/>
      <c r="NU68" s="272"/>
      <c r="NV68" s="272"/>
      <c r="NW68" s="272"/>
      <c r="NX68" s="272"/>
      <c r="NY68" s="272"/>
      <c r="NZ68" s="272"/>
      <c r="OA68" s="272"/>
      <c r="OB68" s="272"/>
      <c r="OC68" s="272"/>
      <c r="OD68" s="272"/>
      <c r="OE68" s="272"/>
      <c r="OF68" s="272"/>
      <c r="OG68" s="272"/>
      <c r="OH68" s="272"/>
      <c r="OI68" s="272"/>
      <c r="OJ68" s="272"/>
      <c r="OK68" s="272"/>
      <c r="OL68" s="272"/>
      <c r="OM68" s="272"/>
      <c r="ON68" s="272"/>
      <c r="OO68" s="272"/>
      <c r="OP68" s="272"/>
      <c r="OQ68" s="272"/>
      <c r="OR68" s="272"/>
      <c r="OS68" s="272"/>
      <c r="OT68" s="272"/>
      <c r="OU68" s="272"/>
      <c r="OV68" s="272"/>
      <c r="OW68" s="272"/>
      <c r="OX68" s="272"/>
      <c r="OY68" s="272"/>
      <c r="OZ68" s="272"/>
      <c r="PA68" s="272"/>
      <c r="PB68" s="272"/>
      <c r="PC68" s="272"/>
      <c r="PD68" s="272"/>
      <c r="PE68" s="272"/>
      <c r="PF68" s="272"/>
      <c r="PG68" s="272"/>
      <c r="PH68" s="272"/>
      <c r="PI68" s="272"/>
      <c r="PJ68" s="272"/>
      <c r="PK68" s="272"/>
      <c r="PL68" s="272"/>
      <c r="PM68" s="272"/>
      <c r="PN68" s="272"/>
      <c r="PO68" s="272"/>
      <c r="PP68" s="272"/>
      <c r="PQ68" s="272"/>
      <c r="PR68" s="272"/>
      <c r="PS68" s="272"/>
      <c r="PT68" s="272"/>
      <c r="PU68" s="272"/>
      <c r="PV68" s="272"/>
      <c r="PW68" s="272"/>
      <c r="PX68" s="272"/>
      <c r="PY68" s="272"/>
      <c r="PZ68" s="272"/>
      <c r="QA68" s="272"/>
      <c r="QB68" s="272"/>
      <c r="QC68" s="272"/>
      <c r="QD68" s="272"/>
      <c r="QE68" s="272"/>
      <c r="QF68" s="272"/>
      <c r="QG68" s="272"/>
      <c r="QH68" s="272"/>
      <c r="QI68" s="272"/>
      <c r="QJ68" s="272"/>
      <c r="QK68" s="272"/>
      <c r="QL68" s="272"/>
      <c r="QM68" s="272"/>
      <c r="QN68" s="272"/>
      <c r="QO68" s="272"/>
      <c r="QP68" s="272"/>
      <c r="QQ68" s="272"/>
      <c r="QR68" s="272"/>
      <c r="QS68" s="272"/>
      <c r="QT68" s="272"/>
      <c r="QU68" s="272"/>
      <c r="QV68" s="272"/>
      <c r="QW68" s="272"/>
      <c r="QX68" s="272"/>
      <c r="QY68" s="272"/>
      <c r="QZ68" s="272"/>
      <c r="RA68" s="272"/>
      <c r="RB68" s="272"/>
      <c r="RC68" s="272"/>
      <c r="RD68" s="272"/>
      <c r="RE68" s="272"/>
      <c r="RF68" s="272"/>
      <c r="RG68" s="272"/>
      <c r="RH68" s="272"/>
      <c r="RI68" s="272"/>
      <c r="RJ68" s="272"/>
      <c r="RK68" s="272"/>
      <c r="RL68" s="272"/>
      <c r="RM68" s="272"/>
      <c r="RN68" s="272"/>
      <c r="RO68" s="272"/>
      <c r="RP68" s="272"/>
      <c r="RQ68" s="272"/>
      <c r="RR68" s="272"/>
      <c r="RS68" s="272"/>
      <c r="RT68" s="272"/>
      <c r="RU68" s="272"/>
      <c r="RV68" s="272"/>
      <c r="RW68" s="272"/>
      <c r="RX68" s="272"/>
      <c r="RY68" s="272"/>
      <c r="RZ68" s="272"/>
      <c r="SA68" s="272"/>
      <c r="SB68" s="272"/>
      <c r="SC68" s="272"/>
      <c r="SD68" s="272"/>
      <c r="SE68" s="272"/>
      <c r="SF68" s="272"/>
      <c r="SG68" s="272"/>
      <c r="SH68" s="272"/>
      <c r="SI68" s="272"/>
      <c r="SJ68" s="272"/>
      <c r="SK68" s="272"/>
      <c r="SL68" s="272"/>
      <c r="SM68" s="272"/>
      <c r="SN68" s="272"/>
      <c r="SO68" s="272"/>
      <c r="SP68" s="272"/>
      <c r="SQ68" s="272"/>
      <c r="SR68" s="272"/>
      <c r="SS68" s="272"/>
      <c r="ST68" s="272"/>
      <c r="SU68" s="272"/>
      <c r="SV68" s="272"/>
      <c r="SW68" s="272"/>
      <c r="SX68" s="272"/>
      <c r="SY68" s="272"/>
      <c r="SZ68" s="272"/>
      <c r="TA68" s="272"/>
      <c r="TB68" s="272"/>
      <c r="TC68" s="272"/>
      <c r="TD68" s="272"/>
      <c r="TE68" s="272"/>
      <c r="TF68" s="272"/>
      <c r="TG68" s="272"/>
      <c r="TH68" s="272"/>
      <c r="TI68" s="272"/>
      <c r="TJ68" s="272"/>
      <c r="TK68" s="272"/>
      <c r="TL68" s="272"/>
      <c r="TM68" s="272"/>
      <c r="TN68" s="272"/>
      <c r="TO68" s="272"/>
      <c r="TP68" s="272"/>
      <c r="TQ68" s="272"/>
      <c r="TR68" s="272"/>
      <c r="TS68" s="272"/>
      <c r="TT68" s="272"/>
      <c r="TU68" s="272"/>
      <c r="TV68" s="272"/>
      <c r="TW68" s="272"/>
      <c r="TX68" s="272"/>
      <c r="TY68" s="272"/>
      <c r="TZ68" s="272"/>
      <c r="UA68" s="272"/>
      <c r="UB68" s="272"/>
      <c r="UC68" s="272"/>
      <c r="UD68" s="272"/>
      <c r="UE68" s="272"/>
      <c r="UF68" s="272"/>
      <c r="UG68" s="272"/>
      <c r="UH68" s="272"/>
      <c r="UI68" s="272"/>
      <c r="UJ68" s="272"/>
      <c r="UK68" s="272"/>
      <c r="UL68" s="272"/>
      <c r="UM68" s="272"/>
      <c r="UN68" s="272"/>
      <c r="UO68" s="272"/>
      <c r="UP68" s="272"/>
      <c r="UQ68" s="272"/>
      <c r="UR68" s="272"/>
      <c r="US68" s="272"/>
      <c r="UT68" s="272"/>
      <c r="UU68" s="272"/>
      <c r="UV68" s="272"/>
      <c r="UW68" s="272"/>
      <c r="UX68" s="272"/>
      <c r="UY68" s="272"/>
      <c r="UZ68" s="272"/>
      <c r="VA68" s="272"/>
      <c r="VB68" s="272"/>
      <c r="VC68" s="272"/>
      <c r="VD68" s="272"/>
      <c r="VE68" s="272"/>
      <c r="VF68" s="272"/>
      <c r="VG68" s="272"/>
      <c r="VH68" s="272"/>
      <c r="VI68" s="272"/>
      <c r="VJ68" s="272"/>
      <c r="VK68" s="272"/>
      <c r="VL68" s="272"/>
      <c r="VM68" s="272"/>
      <c r="VN68" s="272"/>
      <c r="VO68" s="272"/>
      <c r="VP68" s="272"/>
      <c r="VQ68" s="272"/>
      <c r="VR68" s="272"/>
      <c r="VS68" s="272"/>
      <c r="VT68" s="272"/>
      <c r="VU68" s="272"/>
      <c r="VV68" s="272"/>
      <c r="VW68" s="272"/>
      <c r="VX68" s="272"/>
      <c r="VY68" s="272"/>
      <c r="VZ68" s="272"/>
      <c r="WA68" s="272"/>
      <c r="WB68" s="272"/>
      <c r="WC68" s="272"/>
      <c r="WD68" s="272"/>
      <c r="WE68" s="272"/>
      <c r="WF68" s="272"/>
      <c r="WG68" s="272"/>
      <c r="WH68" s="272"/>
      <c r="WI68" s="272"/>
      <c r="WJ68" s="272"/>
      <c r="WK68" s="272"/>
      <c r="WL68" s="272"/>
      <c r="WM68" s="272"/>
      <c r="WN68" s="272"/>
      <c r="WO68" s="272"/>
      <c r="WP68" s="272"/>
      <c r="WQ68" s="272"/>
      <c r="WR68" s="272"/>
      <c r="WS68" s="272"/>
      <c r="WT68" s="272"/>
      <c r="WU68" s="272"/>
      <c r="WV68" s="272"/>
      <c r="WW68" s="272"/>
      <c r="WX68" s="272"/>
      <c r="WY68" s="272"/>
      <c r="WZ68" s="272"/>
      <c r="XA68" s="272"/>
      <c r="XB68" s="272"/>
      <c r="XC68" s="272"/>
      <c r="XD68" s="272"/>
      <c r="XE68" s="272"/>
      <c r="XF68" s="272"/>
      <c r="XG68" s="272"/>
      <c r="XH68" s="272"/>
      <c r="XI68" s="272"/>
      <c r="XJ68" s="272"/>
      <c r="XK68" s="272"/>
      <c r="XL68" s="272"/>
      <c r="XM68" s="272"/>
      <c r="XN68" s="272"/>
      <c r="XO68" s="272"/>
      <c r="XP68" s="272"/>
      <c r="XQ68" s="272"/>
      <c r="XR68" s="272"/>
      <c r="XS68" s="272"/>
      <c r="XT68" s="272"/>
      <c r="XU68" s="272"/>
      <c r="XV68" s="272"/>
      <c r="XW68" s="272"/>
      <c r="XX68" s="272"/>
      <c r="XY68" s="272"/>
      <c r="XZ68" s="272"/>
      <c r="YA68" s="272"/>
      <c r="YB68" s="272"/>
      <c r="YC68" s="272"/>
      <c r="YD68" s="272"/>
      <c r="YE68" s="272"/>
      <c r="YF68" s="272"/>
      <c r="YG68" s="272"/>
      <c r="YH68" s="272"/>
      <c r="YI68" s="272"/>
      <c r="YJ68" s="272"/>
      <c r="YK68" s="272"/>
      <c r="YL68" s="272"/>
      <c r="YM68" s="272"/>
      <c r="YN68" s="272"/>
      <c r="YO68" s="272"/>
      <c r="YP68" s="272"/>
      <c r="YQ68" s="272"/>
      <c r="YR68" s="272"/>
      <c r="YS68" s="272"/>
      <c r="YT68" s="272"/>
      <c r="YU68" s="272"/>
      <c r="YV68" s="272"/>
      <c r="YW68" s="272"/>
      <c r="YX68" s="272"/>
      <c r="YY68" s="272"/>
      <c r="YZ68" s="272"/>
      <c r="ZA68" s="272"/>
      <c r="ZB68" s="272"/>
      <c r="ZC68" s="272"/>
      <c r="ZD68" s="272"/>
      <c r="ZE68" s="272"/>
      <c r="ZF68" s="272"/>
      <c r="ZG68" s="272"/>
      <c r="ZH68" s="272"/>
      <c r="ZI68" s="272"/>
      <c r="ZJ68" s="272"/>
      <c r="ZK68" s="272"/>
      <c r="ZL68" s="272"/>
      <c r="ZM68" s="272"/>
      <c r="ZN68" s="272"/>
      <c r="ZO68" s="272"/>
      <c r="ZP68" s="272"/>
      <c r="ZQ68" s="272"/>
      <c r="ZR68" s="272"/>
      <c r="ZS68" s="272"/>
      <c r="ZT68" s="272"/>
      <c r="ZU68" s="272"/>
      <c r="ZV68" s="272"/>
      <c r="ZW68" s="272"/>
      <c r="ZX68" s="272"/>
      <c r="ZY68" s="272"/>
      <c r="ZZ68" s="272"/>
      <c r="AAA68" s="272"/>
      <c r="AAB68" s="272"/>
      <c r="AAC68" s="272"/>
      <c r="AAD68" s="272"/>
      <c r="AAE68" s="272"/>
      <c r="AAF68" s="272"/>
      <c r="AAG68" s="272"/>
      <c r="AAH68" s="272"/>
      <c r="AAI68" s="272"/>
      <c r="AAJ68" s="272"/>
      <c r="AAK68" s="272"/>
      <c r="AAL68" s="272"/>
      <c r="AAM68" s="272"/>
      <c r="AAN68" s="272"/>
      <c r="AAO68" s="272"/>
      <c r="AAP68" s="272"/>
      <c r="AAQ68" s="272"/>
      <c r="AAR68" s="272"/>
      <c r="AAS68" s="272"/>
      <c r="AAT68" s="272"/>
      <c r="AAU68" s="272"/>
      <c r="AAV68" s="272"/>
      <c r="AAW68" s="272"/>
      <c r="AAX68" s="272"/>
      <c r="AAY68" s="272"/>
      <c r="AAZ68" s="272"/>
      <c r="ABA68" s="272"/>
      <c r="ABB68" s="272"/>
      <c r="ABC68" s="272"/>
      <c r="ABD68" s="272"/>
      <c r="ABE68" s="272"/>
      <c r="ABF68" s="272"/>
      <c r="ABG68" s="272"/>
    </row>
    <row r="69" spans="1:735" s="19" customFormat="1" ht="15">
      <c r="A69" s="47"/>
      <c r="B69" s="74"/>
      <c r="C69" s="20" t="s">
        <v>53</v>
      </c>
      <c r="D69" s="508"/>
      <c r="E69" s="509"/>
      <c r="F69" s="506"/>
      <c r="G69" s="507"/>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c r="CR69" s="272"/>
      <c r="CS69" s="272"/>
      <c r="CT69" s="272"/>
      <c r="CU69" s="272"/>
      <c r="CV69" s="272"/>
      <c r="CW69" s="272"/>
      <c r="CX69" s="272"/>
      <c r="CY69" s="272"/>
      <c r="CZ69" s="272"/>
      <c r="DA69" s="272"/>
      <c r="DB69" s="272"/>
      <c r="DC69" s="272"/>
      <c r="DD69" s="272"/>
      <c r="DE69" s="272"/>
      <c r="DF69" s="272"/>
      <c r="DG69" s="272"/>
      <c r="DH69" s="272"/>
      <c r="DI69" s="272"/>
      <c r="DJ69" s="272"/>
      <c r="DK69" s="272"/>
      <c r="DL69" s="272"/>
      <c r="DM69" s="272"/>
      <c r="DN69" s="272"/>
      <c r="DO69" s="272"/>
      <c r="DP69" s="272"/>
      <c r="DQ69" s="272"/>
      <c r="DR69" s="272"/>
      <c r="DS69" s="272"/>
      <c r="DT69" s="272"/>
      <c r="DU69" s="272"/>
      <c r="DV69" s="272"/>
      <c r="DW69" s="272"/>
      <c r="DX69" s="272"/>
      <c r="DY69" s="272"/>
      <c r="DZ69" s="272"/>
      <c r="EA69" s="272"/>
      <c r="EB69" s="272"/>
      <c r="EC69" s="272"/>
      <c r="ED69" s="272"/>
      <c r="EE69" s="272"/>
      <c r="EF69" s="272"/>
      <c r="EG69" s="272"/>
      <c r="EH69" s="272"/>
      <c r="EI69" s="272"/>
      <c r="EJ69" s="272"/>
      <c r="EK69" s="272"/>
      <c r="EL69" s="272"/>
      <c r="EM69" s="272"/>
      <c r="EN69" s="272"/>
      <c r="EO69" s="272"/>
      <c r="EP69" s="272"/>
      <c r="EQ69" s="272"/>
      <c r="ER69" s="272"/>
      <c r="ES69" s="272"/>
      <c r="ET69" s="272"/>
      <c r="EU69" s="272"/>
      <c r="EV69" s="272"/>
      <c r="EW69" s="272"/>
      <c r="EX69" s="272"/>
      <c r="EY69" s="272"/>
      <c r="EZ69" s="272"/>
      <c r="FA69" s="272"/>
      <c r="FB69" s="272"/>
      <c r="FC69" s="272"/>
      <c r="FD69" s="272"/>
      <c r="FE69" s="272"/>
      <c r="FF69" s="272"/>
      <c r="FG69" s="272"/>
      <c r="FH69" s="272"/>
      <c r="FI69" s="272"/>
      <c r="FJ69" s="272"/>
      <c r="FK69" s="272"/>
      <c r="FL69" s="272"/>
      <c r="FM69" s="272"/>
      <c r="FN69" s="272"/>
      <c r="FO69" s="272"/>
      <c r="FP69" s="272"/>
      <c r="FQ69" s="272"/>
      <c r="FR69" s="272"/>
      <c r="FS69" s="272"/>
      <c r="FT69" s="272"/>
      <c r="FU69" s="272"/>
      <c r="FV69" s="272"/>
      <c r="FW69" s="272"/>
      <c r="FX69" s="272"/>
      <c r="FY69" s="272"/>
      <c r="FZ69" s="272"/>
      <c r="GA69" s="272"/>
      <c r="GB69" s="272"/>
      <c r="GC69" s="272"/>
      <c r="GD69" s="272"/>
      <c r="GE69" s="272"/>
      <c r="GF69" s="272"/>
      <c r="GG69" s="272"/>
      <c r="GH69" s="272"/>
      <c r="GI69" s="272"/>
      <c r="GJ69" s="272"/>
      <c r="GK69" s="272"/>
      <c r="GL69" s="272"/>
      <c r="GM69" s="272"/>
      <c r="GN69" s="272"/>
      <c r="GO69" s="272"/>
      <c r="GP69" s="272"/>
      <c r="GQ69" s="272"/>
      <c r="GR69" s="272"/>
      <c r="GS69" s="272"/>
      <c r="GT69" s="272"/>
      <c r="GU69" s="272"/>
      <c r="GV69" s="272"/>
      <c r="GW69" s="272"/>
      <c r="GX69" s="272"/>
      <c r="GY69" s="272"/>
      <c r="GZ69" s="272"/>
      <c r="HA69" s="272"/>
      <c r="HB69" s="272"/>
      <c r="HC69" s="272"/>
      <c r="HD69" s="272"/>
      <c r="HE69" s="272"/>
      <c r="HF69" s="272"/>
      <c r="HG69" s="272"/>
      <c r="HH69" s="272"/>
      <c r="HI69" s="272"/>
      <c r="HJ69" s="272"/>
      <c r="HK69" s="272"/>
      <c r="HL69" s="272"/>
      <c r="HM69" s="272"/>
      <c r="HN69" s="272"/>
      <c r="HO69" s="272"/>
      <c r="HP69" s="272"/>
      <c r="HQ69" s="272"/>
      <c r="HR69" s="272"/>
      <c r="HS69" s="272"/>
      <c r="HT69" s="272"/>
      <c r="HU69" s="272"/>
      <c r="HV69" s="272"/>
      <c r="HW69" s="272"/>
      <c r="HX69" s="272"/>
      <c r="HY69" s="272"/>
      <c r="HZ69" s="272"/>
      <c r="IA69" s="272"/>
      <c r="IB69" s="272"/>
      <c r="IC69" s="272"/>
      <c r="ID69" s="272"/>
      <c r="IE69" s="272"/>
      <c r="IF69" s="272"/>
      <c r="IG69" s="272"/>
      <c r="IH69" s="272"/>
      <c r="II69" s="272"/>
      <c r="IJ69" s="272"/>
      <c r="IK69" s="272"/>
      <c r="IL69" s="272"/>
      <c r="IM69" s="272"/>
      <c r="IN69" s="272"/>
      <c r="IO69" s="272"/>
      <c r="IP69" s="272"/>
      <c r="IQ69" s="272"/>
      <c r="IR69" s="272"/>
      <c r="IS69" s="272"/>
      <c r="IT69" s="272"/>
      <c r="IU69" s="272"/>
      <c r="IV69" s="272"/>
      <c r="IW69" s="272"/>
      <c r="IX69" s="272"/>
      <c r="IY69" s="272"/>
      <c r="IZ69" s="272"/>
      <c r="JA69" s="272"/>
      <c r="JB69" s="272"/>
      <c r="JC69" s="272"/>
      <c r="JD69" s="272"/>
      <c r="JE69" s="272"/>
      <c r="JF69" s="272"/>
      <c r="JG69" s="272"/>
      <c r="JH69" s="272"/>
      <c r="JI69" s="272"/>
      <c r="JJ69" s="272"/>
      <c r="JK69" s="272"/>
      <c r="JL69" s="272"/>
      <c r="JM69" s="272"/>
      <c r="JN69" s="272"/>
      <c r="JO69" s="272"/>
      <c r="JP69" s="272"/>
      <c r="JQ69" s="272"/>
      <c r="JR69" s="272"/>
      <c r="JS69" s="272"/>
      <c r="JT69" s="272"/>
      <c r="JU69" s="272"/>
      <c r="JV69" s="272"/>
      <c r="JW69" s="272"/>
      <c r="JX69" s="272"/>
      <c r="JY69" s="272"/>
      <c r="JZ69" s="272"/>
      <c r="KA69" s="272"/>
      <c r="KB69" s="272"/>
      <c r="KC69" s="272"/>
      <c r="KD69" s="272"/>
      <c r="KE69" s="272"/>
      <c r="KF69" s="272"/>
      <c r="KG69" s="272"/>
      <c r="KH69" s="272"/>
      <c r="KI69" s="272"/>
      <c r="KJ69" s="272"/>
      <c r="KK69" s="272"/>
      <c r="KL69" s="272"/>
      <c r="KM69" s="272"/>
      <c r="KN69" s="272"/>
      <c r="KO69" s="272"/>
      <c r="KP69" s="272"/>
      <c r="KQ69" s="272"/>
      <c r="KR69" s="272"/>
      <c r="KS69" s="272"/>
      <c r="KT69" s="272"/>
      <c r="KU69" s="272"/>
      <c r="KV69" s="272"/>
      <c r="KW69" s="272"/>
      <c r="KX69" s="272"/>
      <c r="KY69" s="272"/>
      <c r="KZ69" s="272"/>
      <c r="LA69" s="272"/>
      <c r="LB69" s="272"/>
      <c r="LC69" s="272"/>
      <c r="LD69" s="272"/>
      <c r="LE69" s="272"/>
      <c r="LF69" s="272"/>
      <c r="LG69" s="272"/>
      <c r="LH69" s="272"/>
      <c r="LI69" s="272"/>
      <c r="LJ69" s="272"/>
      <c r="LK69" s="272"/>
      <c r="LL69" s="272"/>
      <c r="LM69" s="272"/>
      <c r="LN69" s="272"/>
      <c r="LO69" s="272"/>
      <c r="LP69" s="272"/>
      <c r="LQ69" s="272"/>
      <c r="LR69" s="272"/>
      <c r="LS69" s="272"/>
      <c r="LT69" s="272"/>
      <c r="LU69" s="272"/>
      <c r="LV69" s="272"/>
      <c r="LW69" s="272"/>
      <c r="LX69" s="272"/>
      <c r="LY69" s="272"/>
      <c r="LZ69" s="272"/>
      <c r="MA69" s="272"/>
      <c r="MB69" s="272"/>
      <c r="MC69" s="272"/>
      <c r="MD69" s="272"/>
      <c r="ME69" s="272"/>
      <c r="MF69" s="272"/>
      <c r="MG69" s="272"/>
      <c r="MH69" s="272"/>
      <c r="MI69" s="272"/>
      <c r="MJ69" s="272"/>
      <c r="MK69" s="272"/>
      <c r="ML69" s="272"/>
      <c r="MM69" s="272"/>
      <c r="MN69" s="272"/>
      <c r="MO69" s="272"/>
      <c r="MP69" s="272"/>
      <c r="MQ69" s="272"/>
      <c r="MR69" s="272"/>
      <c r="MS69" s="272"/>
      <c r="MT69" s="272"/>
      <c r="MU69" s="272"/>
      <c r="MV69" s="272"/>
      <c r="MW69" s="272"/>
      <c r="MX69" s="272"/>
      <c r="MY69" s="272"/>
      <c r="MZ69" s="272"/>
      <c r="NA69" s="272"/>
      <c r="NB69" s="272"/>
      <c r="NC69" s="272"/>
      <c r="ND69" s="272"/>
      <c r="NE69" s="272"/>
      <c r="NF69" s="272"/>
      <c r="NG69" s="272"/>
      <c r="NH69" s="272"/>
      <c r="NI69" s="272"/>
      <c r="NJ69" s="272"/>
      <c r="NK69" s="272"/>
      <c r="NL69" s="272"/>
      <c r="NM69" s="272"/>
      <c r="NN69" s="272"/>
      <c r="NO69" s="272"/>
      <c r="NP69" s="272"/>
      <c r="NQ69" s="272"/>
      <c r="NR69" s="272"/>
      <c r="NS69" s="272"/>
      <c r="NT69" s="272"/>
      <c r="NU69" s="272"/>
      <c r="NV69" s="272"/>
      <c r="NW69" s="272"/>
      <c r="NX69" s="272"/>
      <c r="NY69" s="272"/>
      <c r="NZ69" s="272"/>
      <c r="OA69" s="272"/>
      <c r="OB69" s="272"/>
      <c r="OC69" s="272"/>
      <c r="OD69" s="272"/>
      <c r="OE69" s="272"/>
      <c r="OF69" s="272"/>
      <c r="OG69" s="272"/>
      <c r="OH69" s="272"/>
      <c r="OI69" s="272"/>
      <c r="OJ69" s="272"/>
      <c r="OK69" s="272"/>
      <c r="OL69" s="272"/>
      <c r="OM69" s="272"/>
      <c r="ON69" s="272"/>
      <c r="OO69" s="272"/>
      <c r="OP69" s="272"/>
      <c r="OQ69" s="272"/>
      <c r="OR69" s="272"/>
      <c r="OS69" s="272"/>
      <c r="OT69" s="272"/>
      <c r="OU69" s="272"/>
      <c r="OV69" s="272"/>
      <c r="OW69" s="272"/>
      <c r="OX69" s="272"/>
      <c r="OY69" s="272"/>
      <c r="OZ69" s="272"/>
      <c r="PA69" s="272"/>
      <c r="PB69" s="272"/>
      <c r="PC69" s="272"/>
      <c r="PD69" s="272"/>
      <c r="PE69" s="272"/>
      <c r="PF69" s="272"/>
      <c r="PG69" s="272"/>
      <c r="PH69" s="272"/>
      <c r="PI69" s="272"/>
      <c r="PJ69" s="272"/>
      <c r="PK69" s="272"/>
      <c r="PL69" s="272"/>
      <c r="PM69" s="272"/>
      <c r="PN69" s="272"/>
      <c r="PO69" s="272"/>
      <c r="PP69" s="272"/>
      <c r="PQ69" s="272"/>
      <c r="PR69" s="272"/>
      <c r="PS69" s="272"/>
      <c r="PT69" s="272"/>
      <c r="PU69" s="272"/>
      <c r="PV69" s="272"/>
      <c r="PW69" s="272"/>
      <c r="PX69" s="272"/>
      <c r="PY69" s="272"/>
      <c r="PZ69" s="272"/>
      <c r="QA69" s="272"/>
      <c r="QB69" s="272"/>
      <c r="QC69" s="272"/>
      <c r="QD69" s="272"/>
      <c r="QE69" s="272"/>
      <c r="QF69" s="272"/>
      <c r="QG69" s="272"/>
      <c r="QH69" s="272"/>
      <c r="QI69" s="272"/>
      <c r="QJ69" s="272"/>
      <c r="QK69" s="272"/>
      <c r="QL69" s="272"/>
      <c r="QM69" s="272"/>
      <c r="QN69" s="272"/>
      <c r="QO69" s="272"/>
      <c r="QP69" s="272"/>
      <c r="QQ69" s="272"/>
      <c r="QR69" s="272"/>
      <c r="QS69" s="272"/>
      <c r="QT69" s="272"/>
      <c r="QU69" s="272"/>
      <c r="QV69" s="272"/>
      <c r="QW69" s="272"/>
      <c r="QX69" s="272"/>
      <c r="QY69" s="272"/>
      <c r="QZ69" s="272"/>
      <c r="RA69" s="272"/>
      <c r="RB69" s="272"/>
      <c r="RC69" s="272"/>
      <c r="RD69" s="272"/>
      <c r="RE69" s="272"/>
      <c r="RF69" s="272"/>
      <c r="RG69" s="272"/>
      <c r="RH69" s="272"/>
      <c r="RI69" s="272"/>
      <c r="RJ69" s="272"/>
      <c r="RK69" s="272"/>
      <c r="RL69" s="272"/>
      <c r="RM69" s="272"/>
      <c r="RN69" s="272"/>
      <c r="RO69" s="272"/>
      <c r="RP69" s="272"/>
      <c r="RQ69" s="272"/>
      <c r="RR69" s="272"/>
      <c r="RS69" s="272"/>
      <c r="RT69" s="272"/>
      <c r="RU69" s="272"/>
      <c r="RV69" s="272"/>
      <c r="RW69" s="272"/>
      <c r="RX69" s="272"/>
      <c r="RY69" s="272"/>
      <c r="RZ69" s="272"/>
      <c r="SA69" s="272"/>
      <c r="SB69" s="272"/>
      <c r="SC69" s="272"/>
      <c r="SD69" s="272"/>
      <c r="SE69" s="272"/>
      <c r="SF69" s="272"/>
      <c r="SG69" s="272"/>
      <c r="SH69" s="272"/>
      <c r="SI69" s="272"/>
      <c r="SJ69" s="272"/>
      <c r="SK69" s="272"/>
      <c r="SL69" s="272"/>
      <c r="SM69" s="272"/>
      <c r="SN69" s="272"/>
      <c r="SO69" s="272"/>
      <c r="SP69" s="272"/>
      <c r="SQ69" s="272"/>
      <c r="SR69" s="272"/>
      <c r="SS69" s="272"/>
      <c r="ST69" s="272"/>
      <c r="SU69" s="272"/>
      <c r="SV69" s="272"/>
      <c r="SW69" s="272"/>
      <c r="SX69" s="272"/>
      <c r="SY69" s="272"/>
      <c r="SZ69" s="272"/>
      <c r="TA69" s="272"/>
      <c r="TB69" s="272"/>
      <c r="TC69" s="272"/>
      <c r="TD69" s="272"/>
      <c r="TE69" s="272"/>
      <c r="TF69" s="272"/>
      <c r="TG69" s="272"/>
      <c r="TH69" s="272"/>
      <c r="TI69" s="272"/>
      <c r="TJ69" s="272"/>
      <c r="TK69" s="272"/>
      <c r="TL69" s="272"/>
      <c r="TM69" s="272"/>
      <c r="TN69" s="272"/>
      <c r="TO69" s="272"/>
      <c r="TP69" s="272"/>
      <c r="TQ69" s="272"/>
      <c r="TR69" s="272"/>
      <c r="TS69" s="272"/>
      <c r="TT69" s="272"/>
      <c r="TU69" s="272"/>
      <c r="TV69" s="272"/>
      <c r="TW69" s="272"/>
      <c r="TX69" s="272"/>
      <c r="TY69" s="272"/>
      <c r="TZ69" s="272"/>
      <c r="UA69" s="272"/>
      <c r="UB69" s="272"/>
      <c r="UC69" s="272"/>
      <c r="UD69" s="272"/>
      <c r="UE69" s="272"/>
      <c r="UF69" s="272"/>
      <c r="UG69" s="272"/>
      <c r="UH69" s="272"/>
      <c r="UI69" s="272"/>
      <c r="UJ69" s="272"/>
      <c r="UK69" s="272"/>
      <c r="UL69" s="272"/>
      <c r="UM69" s="272"/>
      <c r="UN69" s="272"/>
      <c r="UO69" s="272"/>
      <c r="UP69" s="272"/>
      <c r="UQ69" s="272"/>
      <c r="UR69" s="272"/>
      <c r="US69" s="272"/>
      <c r="UT69" s="272"/>
      <c r="UU69" s="272"/>
      <c r="UV69" s="272"/>
      <c r="UW69" s="272"/>
      <c r="UX69" s="272"/>
      <c r="UY69" s="272"/>
      <c r="UZ69" s="272"/>
      <c r="VA69" s="272"/>
      <c r="VB69" s="272"/>
      <c r="VC69" s="272"/>
      <c r="VD69" s="272"/>
      <c r="VE69" s="272"/>
      <c r="VF69" s="272"/>
      <c r="VG69" s="272"/>
      <c r="VH69" s="272"/>
      <c r="VI69" s="272"/>
      <c r="VJ69" s="272"/>
      <c r="VK69" s="272"/>
      <c r="VL69" s="272"/>
      <c r="VM69" s="272"/>
      <c r="VN69" s="272"/>
      <c r="VO69" s="272"/>
      <c r="VP69" s="272"/>
      <c r="VQ69" s="272"/>
      <c r="VR69" s="272"/>
      <c r="VS69" s="272"/>
      <c r="VT69" s="272"/>
      <c r="VU69" s="272"/>
      <c r="VV69" s="272"/>
      <c r="VW69" s="272"/>
      <c r="VX69" s="272"/>
      <c r="VY69" s="272"/>
      <c r="VZ69" s="272"/>
      <c r="WA69" s="272"/>
      <c r="WB69" s="272"/>
      <c r="WC69" s="272"/>
      <c r="WD69" s="272"/>
      <c r="WE69" s="272"/>
      <c r="WF69" s="272"/>
      <c r="WG69" s="272"/>
      <c r="WH69" s="272"/>
      <c r="WI69" s="272"/>
      <c r="WJ69" s="272"/>
      <c r="WK69" s="272"/>
      <c r="WL69" s="272"/>
      <c r="WM69" s="272"/>
      <c r="WN69" s="272"/>
      <c r="WO69" s="272"/>
      <c r="WP69" s="272"/>
      <c r="WQ69" s="272"/>
      <c r="WR69" s="272"/>
      <c r="WS69" s="272"/>
      <c r="WT69" s="272"/>
      <c r="WU69" s="272"/>
      <c r="WV69" s="272"/>
      <c r="WW69" s="272"/>
      <c r="WX69" s="272"/>
      <c r="WY69" s="272"/>
      <c r="WZ69" s="272"/>
      <c r="XA69" s="272"/>
      <c r="XB69" s="272"/>
      <c r="XC69" s="272"/>
      <c r="XD69" s="272"/>
      <c r="XE69" s="272"/>
      <c r="XF69" s="272"/>
      <c r="XG69" s="272"/>
      <c r="XH69" s="272"/>
      <c r="XI69" s="272"/>
      <c r="XJ69" s="272"/>
      <c r="XK69" s="272"/>
      <c r="XL69" s="272"/>
      <c r="XM69" s="272"/>
      <c r="XN69" s="272"/>
      <c r="XO69" s="272"/>
      <c r="XP69" s="272"/>
      <c r="XQ69" s="272"/>
      <c r="XR69" s="272"/>
      <c r="XS69" s="272"/>
      <c r="XT69" s="272"/>
      <c r="XU69" s="272"/>
      <c r="XV69" s="272"/>
      <c r="XW69" s="272"/>
      <c r="XX69" s="272"/>
      <c r="XY69" s="272"/>
      <c r="XZ69" s="272"/>
      <c r="YA69" s="272"/>
      <c r="YB69" s="272"/>
      <c r="YC69" s="272"/>
      <c r="YD69" s="272"/>
      <c r="YE69" s="272"/>
      <c r="YF69" s="272"/>
      <c r="YG69" s="272"/>
      <c r="YH69" s="272"/>
      <c r="YI69" s="272"/>
      <c r="YJ69" s="272"/>
      <c r="YK69" s="272"/>
      <c r="YL69" s="272"/>
      <c r="YM69" s="272"/>
      <c r="YN69" s="272"/>
      <c r="YO69" s="272"/>
      <c r="YP69" s="272"/>
      <c r="YQ69" s="272"/>
      <c r="YR69" s="272"/>
      <c r="YS69" s="272"/>
      <c r="YT69" s="272"/>
      <c r="YU69" s="272"/>
      <c r="YV69" s="272"/>
      <c r="YW69" s="272"/>
      <c r="YX69" s="272"/>
      <c r="YY69" s="272"/>
      <c r="YZ69" s="272"/>
      <c r="ZA69" s="272"/>
      <c r="ZB69" s="272"/>
      <c r="ZC69" s="272"/>
      <c r="ZD69" s="272"/>
      <c r="ZE69" s="272"/>
      <c r="ZF69" s="272"/>
      <c r="ZG69" s="272"/>
      <c r="ZH69" s="272"/>
      <c r="ZI69" s="272"/>
      <c r="ZJ69" s="272"/>
      <c r="ZK69" s="272"/>
      <c r="ZL69" s="272"/>
      <c r="ZM69" s="272"/>
      <c r="ZN69" s="272"/>
      <c r="ZO69" s="272"/>
      <c r="ZP69" s="272"/>
      <c r="ZQ69" s="272"/>
      <c r="ZR69" s="272"/>
      <c r="ZS69" s="272"/>
      <c r="ZT69" s="272"/>
      <c r="ZU69" s="272"/>
      <c r="ZV69" s="272"/>
      <c r="ZW69" s="272"/>
      <c r="ZX69" s="272"/>
      <c r="ZY69" s="272"/>
      <c r="ZZ69" s="272"/>
      <c r="AAA69" s="272"/>
      <c r="AAB69" s="272"/>
      <c r="AAC69" s="272"/>
      <c r="AAD69" s="272"/>
      <c r="AAE69" s="272"/>
      <c r="AAF69" s="272"/>
      <c r="AAG69" s="272"/>
      <c r="AAH69" s="272"/>
      <c r="AAI69" s="272"/>
      <c r="AAJ69" s="272"/>
      <c r="AAK69" s="272"/>
      <c r="AAL69" s="272"/>
      <c r="AAM69" s="272"/>
      <c r="AAN69" s="272"/>
      <c r="AAO69" s="272"/>
      <c r="AAP69" s="272"/>
      <c r="AAQ69" s="272"/>
      <c r="AAR69" s="272"/>
      <c r="AAS69" s="272"/>
      <c r="AAT69" s="272"/>
      <c r="AAU69" s="272"/>
      <c r="AAV69" s="272"/>
      <c r="AAW69" s="272"/>
      <c r="AAX69" s="272"/>
      <c r="AAY69" s="272"/>
      <c r="AAZ69" s="272"/>
      <c r="ABA69" s="272"/>
      <c r="ABB69" s="272"/>
      <c r="ABC69" s="272"/>
      <c r="ABD69" s="272"/>
      <c r="ABE69" s="272"/>
      <c r="ABF69" s="272"/>
      <c r="ABG69" s="272"/>
    </row>
    <row r="70" spans="1:735" s="62" customFormat="1" ht="13.5" thickBot="1">
      <c r="A70" s="48"/>
      <c r="B70" s="75"/>
      <c r="C70" s="58" t="s">
        <v>54</v>
      </c>
      <c r="D70" s="58"/>
      <c r="E70" s="60"/>
      <c r="F70" s="264"/>
      <c r="G70" s="389"/>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2"/>
      <c r="DK70" s="272"/>
      <c r="DL70" s="272"/>
      <c r="DM70" s="272"/>
      <c r="DN70" s="272"/>
      <c r="DO70" s="272"/>
      <c r="DP70" s="272"/>
      <c r="DQ70" s="272"/>
      <c r="DR70" s="272"/>
      <c r="DS70" s="272"/>
      <c r="DT70" s="272"/>
      <c r="DU70" s="272"/>
      <c r="DV70" s="272"/>
      <c r="DW70" s="272"/>
      <c r="DX70" s="272"/>
      <c r="DY70" s="272"/>
      <c r="DZ70" s="272"/>
      <c r="EA70" s="272"/>
      <c r="EB70" s="272"/>
      <c r="EC70" s="272"/>
      <c r="ED70" s="272"/>
      <c r="EE70" s="272"/>
      <c r="EF70" s="272"/>
      <c r="EG70" s="272"/>
      <c r="EH70" s="272"/>
      <c r="EI70" s="272"/>
      <c r="EJ70" s="272"/>
      <c r="EK70" s="272"/>
      <c r="EL70" s="272"/>
      <c r="EM70" s="272"/>
      <c r="EN70" s="272"/>
      <c r="EO70" s="272"/>
      <c r="EP70" s="272"/>
      <c r="EQ70" s="272"/>
      <c r="ER70" s="272"/>
      <c r="ES70" s="272"/>
      <c r="ET70" s="272"/>
      <c r="EU70" s="272"/>
      <c r="EV70" s="272"/>
      <c r="EW70" s="272"/>
      <c r="EX70" s="272"/>
      <c r="EY70" s="272"/>
      <c r="EZ70" s="272"/>
      <c r="FA70" s="272"/>
      <c r="FB70" s="272"/>
      <c r="FC70" s="272"/>
      <c r="FD70" s="272"/>
      <c r="FE70" s="272"/>
      <c r="FF70" s="272"/>
      <c r="FG70" s="272"/>
      <c r="FH70" s="272"/>
      <c r="FI70" s="272"/>
      <c r="FJ70" s="272"/>
      <c r="FK70" s="272"/>
      <c r="FL70" s="272"/>
      <c r="FM70" s="272"/>
      <c r="FN70" s="272"/>
      <c r="FO70" s="272"/>
      <c r="FP70" s="272"/>
      <c r="FQ70" s="272"/>
      <c r="FR70" s="272"/>
      <c r="FS70" s="272"/>
      <c r="FT70" s="272"/>
      <c r="FU70" s="272"/>
      <c r="FV70" s="272"/>
      <c r="FW70" s="272"/>
      <c r="FX70" s="272"/>
      <c r="FY70" s="272"/>
      <c r="FZ70" s="272"/>
      <c r="GA70" s="272"/>
      <c r="GB70" s="272"/>
      <c r="GC70" s="272"/>
      <c r="GD70" s="272"/>
      <c r="GE70" s="272"/>
      <c r="GF70" s="272"/>
      <c r="GG70" s="272"/>
      <c r="GH70" s="272"/>
      <c r="GI70" s="272"/>
      <c r="GJ70" s="272"/>
      <c r="GK70" s="272"/>
      <c r="GL70" s="272"/>
      <c r="GM70" s="272"/>
      <c r="GN70" s="272"/>
      <c r="GO70" s="272"/>
      <c r="GP70" s="272"/>
      <c r="GQ70" s="272"/>
      <c r="GR70" s="272"/>
      <c r="GS70" s="272"/>
      <c r="GT70" s="272"/>
      <c r="GU70" s="272"/>
      <c r="GV70" s="272"/>
      <c r="GW70" s="272"/>
      <c r="GX70" s="272"/>
      <c r="GY70" s="272"/>
      <c r="GZ70" s="272"/>
      <c r="HA70" s="272"/>
      <c r="HB70" s="272"/>
      <c r="HC70" s="272"/>
      <c r="HD70" s="272"/>
      <c r="HE70" s="272"/>
      <c r="HF70" s="272"/>
      <c r="HG70" s="272"/>
      <c r="HH70" s="272"/>
      <c r="HI70" s="272"/>
      <c r="HJ70" s="272"/>
      <c r="HK70" s="272"/>
      <c r="HL70" s="272"/>
      <c r="HM70" s="272"/>
      <c r="HN70" s="272"/>
      <c r="HO70" s="272"/>
      <c r="HP70" s="272"/>
      <c r="HQ70" s="272"/>
      <c r="HR70" s="272"/>
      <c r="HS70" s="272"/>
      <c r="HT70" s="272"/>
      <c r="HU70" s="272"/>
      <c r="HV70" s="272"/>
      <c r="HW70" s="272"/>
      <c r="HX70" s="272"/>
      <c r="HY70" s="272"/>
      <c r="HZ70" s="272"/>
      <c r="IA70" s="272"/>
      <c r="IB70" s="272"/>
      <c r="IC70" s="272"/>
      <c r="ID70" s="272"/>
      <c r="IE70" s="272"/>
      <c r="IF70" s="272"/>
      <c r="IG70" s="272"/>
      <c r="IH70" s="272"/>
      <c r="II70" s="272"/>
      <c r="IJ70" s="272"/>
      <c r="IK70" s="272"/>
      <c r="IL70" s="272"/>
      <c r="IM70" s="272"/>
      <c r="IN70" s="272"/>
      <c r="IO70" s="272"/>
      <c r="IP70" s="272"/>
      <c r="IQ70" s="272"/>
      <c r="IR70" s="272"/>
      <c r="IS70" s="272"/>
      <c r="IT70" s="272"/>
      <c r="IU70" s="272"/>
      <c r="IV70" s="272"/>
      <c r="IW70" s="272"/>
      <c r="IX70" s="272"/>
      <c r="IY70" s="272"/>
      <c r="IZ70" s="272"/>
      <c r="JA70" s="272"/>
      <c r="JB70" s="272"/>
      <c r="JC70" s="272"/>
      <c r="JD70" s="272"/>
      <c r="JE70" s="272"/>
      <c r="JF70" s="272"/>
      <c r="JG70" s="272"/>
      <c r="JH70" s="272"/>
      <c r="JI70" s="272"/>
      <c r="JJ70" s="272"/>
      <c r="JK70" s="272"/>
      <c r="JL70" s="272"/>
      <c r="JM70" s="272"/>
      <c r="JN70" s="272"/>
      <c r="JO70" s="272"/>
      <c r="JP70" s="272"/>
      <c r="JQ70" s="272"/>
      <c r="JR70" s="272"/>
      <c r="JS70" s="272"/>
      <c r="JT70" s="272"/>
      <c r="JU70" s="272"/>
      <c r="JV70" s="272"/>
      <c r="JW70" s="272"/>
      <c r="JX70" s="272"/>
      <c r="JY70" s="272"/>
      <c r="JZ70" s="272"/>
      <c r="KA70" s="272"/>
      <c r="KB70" s="272"/>
      <c r="KC70" s="272"/>
      <c r="KD70" s="272"/>
      <c r="KE70" s="272"/>
      <c r="KF70" s="272"/>
      <c r="KG70" s="272"/>
      <c r="KH70" s="272"/>
      <c r="KI70" s="272"/>
      <c r="KJ70" s="272"/>
      <c r="KK70" s="272"/>
      <c r="KL70" s="272"/>
      <c r="KM70" s="272"/>
      <c r="KN70" s="272"/>
      <c r="KO70" s="272"/>
      <c r="KP70" s="272"/>
      <c r="KQ70" s="272"/>
      <c r="KR70" s="272"/>
      <c r="KS70" s="272"/>
      <c r="KT70" s="272"/>
      <c r="KU70" s="272"/>
      <c r="KV70" s="272"/>
      <c r="KW70" s="272"/>
      <c r="KX70" s="272"/>
      <c r="KY70" s="272"/>
      <c r="KZ70" s="272"/>
      <c r="LA70" s="272"/>
      <c r="LB70" s="272"/>
      <c r="LC70" s="272"/>
      <c r="LD70" s="272"/>
      <c r="LE70" s="272"/>
      <c r="LF70" s="272"/>
      <c r="LG70" s="272"/>
      <c r="LH70" s="272"/>
      <c r="LI70" s="272"/>
      <c r="LJ70" s="272"/>
      <c r="LK70" s="272"/>
      <c r="LL70" s="272"/>
      <c r="LM70" s="272"/>
      <c r="LN70" s="272"/>
      <c r="LO70" s="272"/>
      <c r="LP70" s="272"/>
      <c r="LQ70" s="272"/>
      <c r="LR70" s="272"/>
      <c r="LS70" s="272"/>
      <c r="LT70" s="272"/>
      <c r="LU70" s="272"/>
      <c r="LV70" s="272"/>
      <c r="LW70" s="272"/>
      <c r="LX70" s="272"/>
      <c r="LY70" s="272"/>
      <c r="LZ70" s="272"/>
      <c r="MA70" s="272"/>
      <c r="MB70" s="272"/>
      <c r="MC70" s="272"/>
      <c r="MD70" s="272"/>
      <c r="ME70" s="272"/>
      <c r="MF70" s="272"/>
      <c r="MG70" s="272"/>
      <c r="MH70" s="272"/>
      <c r="MI70" s="272"/>
      <c r="MJ70" s="272"/>
      <c r="MK70" s="272"/>
      <c r="ML70" s="272"/>
      <c r="MM70" s="272"/>
      <c r="MN70" s="272"/>
      <c r="MO70" s="272"/>
      <c r="MP70" s="272"/>
      <c r="MQ70" s="272"/>
      <c r="MR70" s="272"/>
      <c r="MS70" s="272"/>
      <c r="MT70" s="272"/>
      <c r="MU70" s="272"/>
      <c r="MV70" s="272"/>
      <c r="MW70" s="272"/>
      <c r="MX70" s="272"/>
      <c r="MY70" s="272"/>
      <c r="MZ70" s="272"/>
      <c r="NA70" s="272"/>
      <c r="NB70" s="272"/>
      <c r="NC70" s="272"/>
      <c r="ND70" s="272"/>
      <c r="NE70" s="272"/>
      <c r="NF70" s="272"/>
      <c r="NG70" s="272"/>
      <c r="NH70" s="272"/>
      <c r="NI70" s="272"/>
      <c r="NJ70" s="272"/>
      <c r="NK70" s="272"/>
      <c r="NL70" s="272"/>
      <c r="NM70" s="272"/>
      <c r="NN70" s="272"/>
      <c r="NO70" s="272"/>
      <c r="NP70" s="272"/>
      <c r="NQ70" s="272"/>
      <c r="NR70" s="272"/>
      <c r="NS70" s="272"/>
      <c r="NT70" s="272"/>
      <c r="NU70" s="272"/>
      <c r="NV70" s="272"/>
      <c r="NW70" s="272"/>
      <c r="NX70" s="272"/>
      <c r="NY70" s="272"/>
      <c r="NZ70" s="272"/>
      <c r="OA70" s="272"/>
      <c r="OB70" s="272"/>
      <c r="OC70" s="272"/>
      <c r="OD70" s="272"/>
      <c r="OE70" s="272"/>
      <c r="OF70" s="272"/>
      <c r="OG70" s="272"/>
      <c r="OH70" s="272"/>
      <c r="OI70" s="272"/>
      <c r="OJ70" s="272"/>
      <c r="OK70" s="272"/>
      <c r="OL70" s="272"/>
      <c r="OM70" s="272"/>
      <c r="ON70" s="272"/>
      <c r="OO70" s="272"/>
      <c r="OP70" s="272"/>
      <c r="OQ70" s="272"/>
      <c r="OR70" s="272"/>
      <c r="OS70" s="272"/>
      <c r="OT70" s="272"/>
      <c r="OU70" s="272"/>
      <c r="OV70" s="272"/>
      <c r="OW70" s="272"/>
      <c r="OX70" s="272"/>
      <c r="OY70" s="272"/>
      <c r="OZ70" s="272"/>
      <c r="PA70" s="272"/>
      <c r="PB70" s="272"/>
      <c r="PC70" s="272"/>
      <c r="PD70" s="272"/>
      <c r="PE70" s="272"/>
      <c r="PF70" s="272"/>
      <c r="PG70" s="272"/>
      <c r="PH70" s="272"/>
      <c r="PI70" s="272"/>
      <c r="PJ70" s="272"/>
      <c r="PK70" s="272"/>
      <c r="PL70" s="272"/>
      <c r="PM70" s="272"/>
      <c r="PN70" s="272"/>
      <c r="PO70" s="272"/>
      <c r="PP70" s="272"/>
      <c r="PQ70" s="272"/>
      <c r="PR70" s="272"/>
      <c r="PS70" s="272"/>
      <c r="PT70" s="272"/>
      <c r="PU70" s="272"/>
      <c r="PV70" s="272"/>
      <c r="PW70" s="272"/>
      <c r="PX70" s="272"/>
      <c r="PY70" s="272"/>
      <c r="PZ70" s="272"/>
      <c r="QA70" s="272"/>
      <c r="QB70" s="272"/>
      <c r="QC70" s="272"/>
      <c r="QD70" s="272"/>
      <c r="QE70" s="272"/>
      <c r="QF70" s="272"/>
      <c r="QG70" s="272"/>
      <c r="QH70" s="272"/>
      <c r="QI70" s="272"/>
      <c r="QJ70" s="272"/>
      <c r="QK70" s="272"/>
      <c r="QL70" s="272"/>
      <c r="QM70" s="272"/>
      <c r="QN70" s="272"/>
      <c r="QO70" s="272"/>
      <c r="QP70" s="272"/>
      <c r="QQ70" s="272"/>
      <c r="QR70" s="272"/>
      <c r="QS70" s="272"/>
      <c r="QT70" s="272"/>
      <c r="QU70" s="272"/>
      <c r="QV70" s="272"/>
      <c r="QW70" s="272"/>
      <c r="QX70" s="272"/>
      <c r="QY70" s="272"/>
      <c r="QZ70" s="272"/>
      <c r="RA70" s="272"/>
      <c r="RB70" s="272"/>
      <c r="RC70" s="272"/>
      <c r="RD70" s="272"/>
      <c r="RE70" s="272"/>
      <c r="RF70" s="272"/>
      <c r="RG70" s="272"/>
      <c r="RH70" s="272"/>
      <c r="RI70" s="272"/>
      <c r="RJ70" s="272"/>
      <c r="RK70" s="272"/>
      <c r="RL70" s="272"/>
      <c r="RM70" s="272"/>
      <c r="RN70" s="272"/>
      <c r="RO70" s="272"/>
      <c r="RP70" s="272"/>
      <c r="RQ70" s="272"/>
      <c r="RR70" s="272"/>
      <c r="RS70" s="272"/>
      <c r="RT70" s="272"/>
      <c r="RU70" s="272"/>
      <c r="RV70" s="272"/>
      <c r="RW70" s="272"/>
      <c r="RX70" s="272"/>
      <c r="RY70" s="272"/>
      <c r="RZ70" s="272"/>
      <c r="SA70" s="272"/>
      <c r="SB70" s="272"/>
      <c r="SC70" s="272"/>
      <c r="SD70" s="272"/>
      <c r="SE70" s="272"/>
      <c r="SF70" s="272"/>
      <c r="SG70" s="272"/>
      <c r="SH70" s="272"/>
      <c r="SI70" s="272"/>
      <c r="SJ70" s="272"/>
      <c r="SK70" s="272"/>
      <c r="SL70" s="272"/>
      <c r="SM70" s="272"/>
      <c r="SN70" s="272"/>
      <c r="SO70" s="272"/>
      <c r="SP70" s="272"/>
      <c r="SQ70" s="272"/>
      <c r="SR70" s="272"/>
      <c r="SS70" s="272"/>
      <c r="ST70" s="272"/>
      <c r="SU70" s="272"/>
      <c r="SV70" s="272"/>
      <c r="SW70" s="272"/>
      <c r="SX70" s="272"/>
      <c r="SY70" s="272"/>
      <c r="SZ70" s="272"/>
      <c r="TA70" s="272"/>
      <c r="TB70" s="272"/>
      <c r="TC70" s="272"/>
      <c r="TD70" s="272"/>
      <c r="TE70" s="272"/>
      <c r="TF70" s="272"/>
      <c r="TG70" s="272"/>
      <c r="TH70" s="272"/>
      <c r="TI70" s="272"/>
      <c r="TJ70" s="272"/>
      <c r="TK70" s="272"/>
      <c r="TL70" s="272"/>
      <c r="TM70" s="272"/>
      <c r="TN70" s="272"/>
      <c r="TO70" s="272"/>
      <c r="TP70" s="272"/>
      <c r="TQ70" s="272"/>
      <c r="TR70" s="272"/>
      <c r="TS70" s="272"/>
      <c r="TT70" s="272"/>
      <c r="TU70" s="272"/>
      <c r="TV70" s="272"/>
      <c r="TW70" s="272"/>
      <c r="TX70" s="272"/>
      <c r="TY70" s="272"/>
      <c r="TZ70" s="272"/>
      <c r="UA70" s="272"/>
      <c r="UB70" s="272"/>
      <c r="UC70" s="272"/>
      <c r="UD70" s="272"/>
      <c r="UE70" s="272"/>
      <c r="UF70" s="272"/>
      <c r="UG70" s="272"/>
      <c r="UH70" s="272"/>
      <c r="UI70" s="272"/>
      <c r="UJ70" s="272"/>
      <c r="UK70" s="272"/>
      <c r="UL70" s="272"/>
      <c r="UM70" s="272"/>
      <c r="UN70" s="272"/>
      <c r="UO70" s="272"/>
      <c r="UP70" s="272"/>
      <c r="UQ70" s="272"/>
      <c r="UR70" s="272"/>
      <c r="US70" s="272"/>
      <c r="UT70" s="272"/>
      <c r="UU70" s="272"/>
      <c r="UV70" s="272"/>
      <c r="UW70" s="272"/>
      <c r="UX70" s="272"/>
      <c r="UY70" s="272"/>
      <c r="UZ70" s="272"/>
      <c r="VA70" s="272"/>
      <c r="VB70" s="272"/>
      <c r="VC70" s="272"/>
      <c r="VD70" s="272"/>
      <c r="VE70" s="272"/>
      <c r="VF70" s="272"/>
      <c r="VG70" s="272"/>
      <c r="VH70" s="272"/>
      <c r="VI70" s="272"/>
      <c r="VJ70" s="272"/>
      <c r="VK70" s="272"/>
      <c r="VL70" s="272"/>
      <c r="VM70" s="272"/>
      <c r="VN70" s="272"/>
      <c r="VO70" s="272"/>
      <c r="VP70" s="272"/>
      <c r="VQ70" s="272"/>
      <c r="VR70" s="272"/>
      <c r="VS70" s="272"/>
      <c r="VT70" s="272"/>
      <c r="VU70" s="272"/>
      <c r="VV70" s="272"/>
      <c r="VW70" s="272"/>
      <c r="VX70" s="272"/>
      <c r="VY70" s="272"/>
      <c r="VZ70" s="272"/>
      <c r="WA70" s="272"/>
      <c r="WB70" s="272"/>
      <c r="WC70" s="272"/>
      <c r="WD70" s="272"/>
      <c r="WE70" s="272"/>
      <c r="WF70" s="272"/>
      <c r="WG70" s="272"/>
      <c r="WH70" s="272"/>
      <c r="WI70" s="272"/>
      <c r="WJ70" s="272"/>
      <c r="WK70" s="272"/>
      <c r="WL70" s="272"/>
      <c r="WM70" s="272"/>
      <c r="WN70" s="272"/>
      <c r="WO70" s="272"/>
      <c r="WP70" s="272"/>
      <c r="WQ70" s="272"/>
      <c r="WR70" s="272"/>
      <c r="WS70" s="272"/>
      <c r="WT70" s="272"/>
      <c r="WU70" s="272"/>
      <c r="WV70" s="272"/>
      <c r="WW70" s="272"/>
      <c r="WX70" s="272"/>
      <c r="WY70" s="272"/>
      <c r="WZ70" s="272"/>
      <c r="XA70" s="272"/>
      <c r="XB70" s="272"/>
      <c r="XC70" s="272"/>
      <c r="XD70" s="272"/>
      <c r="XE70" s="272"/>
      <c r="XF70" s="272"/>
      <c r="XG70" s="272"/>
      <c r="XH70" s="272"/>
      <c r="XI70" s="272"/>
      <c r="XJ70" s="272"/>
      <c r="XK70" s="272"/>
      <c r="XL70" s="272"/>
      <c r="XM70" s="272"/>
      <c r="XN70" s="272"/>
      <c r="XO70" s="272"/>
      <c r="XP70" s="272"/>
      <c r="XQ70" s="272"/>
      <c r="XR70" s="272"/>
      <c r="XS70" s="272"/>
      <c r="XT70" s="272"/>
      <c r="XU70" s="272"/>
      <c r="XV70" s="272"/>
      <c r="XW70" s="272"/>
      <c r="XX70" s="272"/>
      <c r="XY70" s="272"/>
      <c r="XZ70" s="272"/>
      <c r="YA70" s="272"/>
      <c r="YB70" s="272"/>
      <c r="YC70" s="272"/>
      <c r="YD70" s="272"/>
      <c r="YE70" s="272"/>
      <c r="YF70" s="272"/>
      <c r="YG70" s="272"/>
      <c r="YH70" s="272"/>
      <c r="YI70" s="272"/>
      <c r="YJ70" s="272"/>
      <c r="YK70" s="272"/>
      <c r="YL70" s="272"/>
      <c r="YM70" s="272"/>
      <c r="YN70" s="272"/>
      <c r="YO70" s="272"/>
      <c r="YP70" s="272"/>
      <c r="YQ70" s="272"/>
      <c r="YR70" s="272"/>
      <c r="YS70" s="272"/>
      <c r="YT70" s="272"/>
      <c r="YU70" s="272"/>
      <c r="YV70" s="272"/>
      <c r="YW70" s="272"/>
      <c r="YX70" s="272"/>
      <c r="YY70" s="272"/>
      <c r="YZ70" s="272"/>
      <c r="ZA70" s="272"/>
      <c r="ZB70" s="272"/>
      <c r="ZC70" s="272"/>
      <c r="ZD70" s="272"/>
      <c r="ZE70" s="272"/>
      <c r="ZF70" s="272"/>
      <c r="ZG70" s="272"/>
      <c r="ZH70" s="272"/>
      <c r="ZI70" s="272"/>
      <c r="ZJ70" s="272"/>
      <c r="ZK70" s="272"/>
      <c r="ZL70" s="272"/>
      <c r="ZM70" s="272"/>
      <c r="ZN70" s="272"/>
      <c r="ZO70" s="272"/>
      <c r="ZP70" s="272"/>
      <c r="ZQ70" s="272"/>
      <c r="ZR70" s="272"/>
      <c r="ZS70" s="272"/>
      <c r="ZT70" s="272"/>
      <c r="ZU70" s="272"/>
      <c r="ZV70" s="272"/>
      <c r="ZW70" s="272"/>
      <c r="ZX70" s="272"/>
      <c r="ZY70" s="272"/>
      <c r="ZZ70" s="272"/>
      <c r="AAA70" s="272"/>
      <c r="AAB70" s="272"/>
      <c r="AAC70" s="272"/>
      <c r="AAD70" s="272"/>
      <c r="AAE70" s="272"/>
      <c r="AAF70" s="272"/>
      <c r="AAG70" s="272"/>
      <c r="AAH70" s="272"/>
      <c r="AAI70" s="272"/>
      <c r="AAJ70" s="272"/>
      <c r="AAK70" s="272"/>
      <c r="AAL70" s="272"/>
      <c r="AAM70" s="272"/>
      <c r="AAN70" s="272"/>
      <c r="AAO70" s="272"/>
      <c r="AAP70" s="272"/>
      <c r="AAQ70" s="272"/>
      <c r="AAR70" s="272"/>
      <c r="AAS70" s="272"/>
      <c r="AAT70" s="272"/>
      <c r="AAU70" s="272"/>
      <c r="AAV70" s="272"/>
      <c r="AAW70" s="272"/>
      <c r="AAX70" s="272"/>
      <c r="AAY70" s="272"/>
      <c r="AAZ70" s="272"/>
      <c r="ABA70" s="272"/>
      <c r="ABB70" s="272"/>
      <c r="ABC70" s="272"/>
      <c r="ABD70" s="272"/>
      <c r="ABE70" s="272"/>
      <c r="ABF70" s="272"/>
      <c r="ABG70" s="272"/>
    </row>
    <row r="71" spans="1:7" ht="39" thickBot="1">
      <c r="A71" s="3" t="s">
        <v>8</v>
      </c>
      <c r="B71" s="4"/>
      <c r="C71" s="4"/>
      <c r="D71" s="4"/>
      <c r="E71" s="4"/>
      <c r="F71" s="4"/>
      <c r="G71" s="5"/>
    </row>
    <row r="72" spans="1:735" s="61" customFormat="1" ht="12.75" customHeight="1">
      <c r="A72" s="606" t="s">
        <v>9</v>
      </c>
      <c r="B72" s="608" t="s">
        <v>30</v>
      </c>
      <c r="C72" s="608" t="s">
        <v>52</v>
      </c>
      <c r="D72" s="605"/>
      <c r="E72" s="618"/>
      <c r="F72" s="618"/>
      <c r="G72" s="634"/>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E72" s="272"/>
      <c r="CF72" s="272"/>
      <c r="CG72" s="272"/>
      <c r="CH72" s="272"/>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2"/>
      <c r="DF72" s="272"/>
      <c r="DG72" s="272"/>
      <c r="DH72" s="272"/>
      <c r="DI72" s="272"/>
      <c r="DJ72" s="272"/>
      <c r="DK72" s="272"/>
      <c r="DL72" s="272"/>
      <c r="DM72" s="272"/>
      <c r="DN72" s="272"/>
      <c r="DO72" s="272"/>
      <c r="DP72" s="272"/>
      <c r="DQ72" s="272"/>
      <c r="DR72" s="272"/>
      <c r="DS72" s="272"/>
      <c r="DT72" s="272"/>
      <c r="DU72" s="272"/>
      <c r="DV72" s="272"/>
      <c r="DW72" s="272"/>
      <c r="DX72" s="272"/>
      <c r="DY72" s="272"/>
      <c r="DZ72" s="272"/>
      <c r="EA72" s="272"/>
      <c r="EB72" s="272"/>
      <c r="EC72" s="272"/>
      <c r="ED72" s="272"/>
      <c r="EE72" s="272"/>
      <c r="EF72" s="272"/>
      <c r="EG72" s="272"/>
      <c r="EH72" s="272"/>
      <c r="EI72" s="272"/>
      <c r="EJ72" s="272"/>
      <c r="EK72" s="272"/>
      <c r="EL72" s="272"/>
      <c r="EM72" s="272"/>
      <c r="EN72" s="272"/>
      <c r="EO72" s="272"/>
      <c r="EP72" s="272"/>
      <c r="EQ72" s="272"/>
      <c r="ER72" s="272"/>
      <c r="ES72" s="272"/>
      <c r="ET72" s="272"/>
      <c r="EU72" s="272"/>
      <c r="EV72" s="272"/>
      <c r="EW72" s="272"/>
      <c r="EX72" s="272"/>
      <c r="EY72" s="272"/>
      <c r="EZ72" s="272"/>
      <c r="FA72" s="272"/>
      <c r="FB72" s="272"/>
      <c r="FC72" s="272"/>
      <c r="FD72" s="272"/>
      <c r="FE72" s="272"/>
      <c r="FF72" s="272"/>
      <c r="FG72" s="272"/>
      <c r="FH72" s="272"/>
      <c r="FI72" s="272"/>
      <c r="FJ72" s="272"/>
      <c r="FK72" s="272"/>
      <c r="FL72" s="272"/>
      <c r="FM72" s="272"/>
      <c r="FN72" s="272"/>
      <c r="FO72" s="272"/>
      <c r="FP72" s="272"/>
      <c r="FQ72" s="272"/>
      <c r="FR72" s="272"/>
      <c r="FS72" s="272"/>
      <c r="FT72" s="272"/>
      <c r="FU72" s="272"/>
      <c r="FV72" s="272"/>
      <c r="FW72" s="272"/>
      <c r="FX72" s="272"/>
      <c r="FY72" s="272"/>
      <c r="FZ72" s="272"/>
      <c r="GA72" s="272"/>
      <c r="GB72" s="272"/>
      <c r="GC72" s="272"/>
      <c r="GD72" s="272"/>
      <c r="GE72" s="272"/>
      <c r="GF72" s="272"/>
      <c r="GG72" s="272"/>
      <c r="GH72" s="272"/>
      <c r="GI72" s="272"/>
      <c r="GJ72" s="272"/>
      <c r="GK72" s="272"/>
      <c r="GL72" s="272"/>
      <c r="GM72" s="272"/>
      <c r="GN72" s="272"/>
      <c r="GO72" s="272"/>
      <c r="GP72" s="272"/>
      <c r="GQ72" s="272"/>
      <c r="GR72" s="272"/>
      <c r="GS72" s="272"/>
      <c r="GT72" s="272"/>
      <c r="GU72" s="272"/>
      <c r="GV72" s="272"/>
      <c r="GW72" s="272"/>
      <c r="GX72" s="272"/>
      <c r="GY72" s="272"/>
      <c r="GZ72" s="272"/>
      <c r="HA72" s="272"/>
      <c r="HB72" s="272"/>
      <c r="HC72" s="272"/>
      <c r="HD72" s="272"/>
      <c r="HE72" s="272"/>
      <c r="HF72" s="272"/>
      <c r="HG72" s="272"/>
      <c r="HH72" s="272"/>
      <c r="HI72" s="272"/>
      <c r="HJ72" s="272"/>
      <c r="HK72" s="272"/>
      <c r="HL72" s="272"/>
      <c r="HM72" s="272"/>
      <c r="HN72" s="272"/>
      <c r="HO72" s="272"/>
      <c r="HP72" s="272"/>
      <c r="HQ72" s="272"/>
      <c r="HR72" s="272"/>
      <c r="HS72" s="272"/>
      <c r="HT72" s="272"/>
      <c r="HU72" s="272"/>
      <c r="HV72" s="272"/>
      <c r="HW72" s="272"/>
      <c r="HX72" s="272"/>
      <c r="HY72" s="272"/>
      <c r="HZ72" s="272"/>
      <c r="IA72" s="272"/>
      <c r="IB72" s="272"/>
      <c r="IC72" s="272"/>
      <c r="ID72" s="272"/>
      <c r="IE72" s="272"/>
      <c r="IF72" s="272"/>
      <c r="IG72" s="272"/>
      <c r="IH72" s="272"/>
      <c r="II72" s="272"/>
      <c r="IJ72" s="272"/>
      <c r="IK72" s="272"/>
      <c r="IL72" s="272"/>
      <c r="IM72" s="272"/>
      <c r="IN72" s="272"/>
      <c r="IO72" s="272"/>
      <c r="IP72" s="272"/>
      <c r="IQ72" s="272"/>
      <c r="IR72" s="272"/>
      <c r="IS72" s="272"/>
      <c r="IT72" s="272"/>
      <c r="IU72" s="272"/>
      <c r="IV72" s="272"/>
      <c r="IW72" s="272"/>
      <c r="IX72" s="272"/>
      <c r="IY72" s="272"/>
      <c r="IZ72" s="272"/>
      <c r="JA72" s="272"/>
      <c r="JB72" s="272"/>
      <c r="JC72" s="272"/>
      <c r="JD72" s="272"/>
      <c r="JE72" s="272"/>
      <c r="JF72" s="272"/>
      <c r="JG72" s="272"/>
      <c r="JH72" s="272"/>
      <c r="JI72" s="272"/>
      <c r="JJ72" s="272"/>
      <c r="JK72" s="272"/>
      <c r="JL72" s="272"/>
      <c r="JM72" s="272"/>
      <c r="JN72" s="272"/>
      <c r="JO72" s="272"/>
      <c r="JP72" s="272"/>
      <c r="JQ72" s="272"/>
      <c r="JR72" s="272"/>
      <c r="JS72" s="272"/>
      <c r="JT72" s="272"/>
      <c r="JU72" s="272"/>
      <c r="JV72" s="272"/>
      <c r="JW72" s="272"/>
      <c r="JX72" s="272"/>
      <c r="JY72" s="272"/>
      <c r="JZ72" s="272"/>
      <c r="KA72" s="272"/>
      <c r="KB72" s="272"/>
      <c r="KC72" s="272"/>
      <c r="KD72" s="272"/>
      <c r="KE72" s="272"/>
      <c r="KF72" s="272"/>
      <c r="KG72" s="272"/>
      <c r="KH72" s="272"/>
      <c r="KI72" s="272"/>
      <c r="KJ72" s="272"/>
      <c r="KK72" s="272"/>
      <c r="KL72" s="272"/>
      <c r="KM72" s="272"/>
      <c r="KN72" s="272"/>
      <c r="KO72" s="272"/>
      <c r="KP72" s="272"/>
      <c r="KQ72" s="272"/>
      <c r="KR72" s="272"/>
      <c r="KS72" s="272"/>
      <c r="KT72" s="272"/>
      <c r="KU72" s="272"/>
      <c r="KV72" s="272"/>
      <c r="KW72" s="272"/>
      <c r="KX72" s="272"/>
      <c r="KY72" s="272"/>
      <c r="KZ72" s="272"/>
      <c r="LA72" s="272"/>
      <c r="LB72" s="272"/>
      <c r="LC72" s="272"/>
      <c r="LD72" s="272"/>
      <c r="LE72" s="272"/>
      <c r="LF72" s="272"/>
      <c r="LG72" s="272"/>
      <c r="LH72" s="272"/>
      <c r="LI72" s="272"/>
      <c r="LJ72" s="272"/>
      <c r="LK72" s="272"/>
      <c r="LL72" s="272"/>
      <c r="LM72" s="272"/>
      <c r="LN72" s="272"/>
      <c r="LO72" s="272"/>
      <c r="LP72" s="272"/>
      <c r="LQ72" s="272"/>
      <c r="LR72" s="272"/>
      <c r="LS72" s="272"/>
      <c r="LT72" s="272"/>
      <c r="LU72" s="272"/>
      <c r="LV72" s="272"/>
      <c r="LW72" s="272"/>
      <c r="LX72" s="272"/>
      <c r="LY72" s="272"/>
      <c r="LZ72" s="272"/>
      <c r="MA72" s="272"/>
      <c r="MB72" s="272"/>
      <c r="MC72" s="272"/>
      <c r="MD72" s="272"/>
      <c r="ME72" s="272"/>
      <c r="MF72" s="272"/>
      <c r="MG72" s="272"/>
      <c r="MH72" s="272"/>
      <c r="MI72" s="272"/>
      <c r="MJ72" s="272"/>
      <c r="MK72" s="272"/>
      <c r="ML72" s="272"/>
      <c r="MM72" s="272"/>
      <c r="MN72" s="272"/>
      <c r="MO72" s="272"/>
      <c r="MP72" s="272"/>
      <c r="MQ72" s="272"/>
      <c r="MR72" s="272"/>
      <c r="MS72" s="272"/>
      <c r="MT72" s="272"/>
      <c r="MU72" s="272"/>
      <c r="MV72" s="272"/>
      <c r="MW72" s="272"/>
      <c r="MX72" s="272"/>
      <c r="MY72" s="272"/>
      <c r="MZ72" s="272"/>
      <c r="NA72" s="272"/>
      <c r="NB72" s="272"/>
      <c r="NC72" s="272"/>
      <c r="ND72" s="272"/>
      <c r="NE72" s="272"/>
      <c r="NF72" s="272"/>
      <c r="NG72" s="272"/>
      <c r="NH72" s="272"/>
      <c r="NI72" s="272"/>
      <c r="NJ72" s="272"/>
      <c r="NK72" s="272"/>
      <c r="NL72" s="272"/>
      <c r="NM72" s="272"/>
      <c r="NN72" s="272"/>
      <c r="NO72" s="272"/>
      <c r="NP72" s="272"/>
      <c r="NQ72" s="272"/>
      <c r="NR72" s="272"/>
      <c r="NS72" s="272"/>
      <c r="NT72" s="272"/>
      <c r="NU72" s="272"/>
      <c r="NV72" s="272"/>
      <c r="NW72" s="272"/>
      <c r="NX72" s="272"/>
      <c r="NY72" s="272"/>
      <c r="NZ72" s="272"/>
      <c r="OA72" s="272"/>
      <c r="OB72" s="272"/>
      <c r="OC72" s="272"/>
      <c r="OD72" s="272"/>
      <c r="OE72" s="272"/>
      <c r="OF72" s="272"/>
      <c r="OG72" s="272"/>
      <c r="OH72" s="272"/>
      <c r="OI72" s="272"/>
      <c r="OJ72" s="272"/>
      <c r="OK72" s="272"/>
      <c r="OL72" s="272"/>
      <c r="OM72" s="272"/>
      <c r="ON72" s="272"/>
      <c r="OO72" s="272"/>
      <c r="OP72" s="272"/>
      <c r="OQ72" s="272"/>
      <c r="OR72" s="272"/>
      <c r="OS72" s="272"/>
      <c r="OT72" s="272"/>
      <c r="OU72" s="272"/>
      <c r="OV72" s="272"/>
      <c r="OW72" s="272"/>
      <c r="OX72" s="272"/>
      <c r="OY72" s="272"/>
      <c r="OZ72" s="272"/>
      <c r="PA72" s="272"/>
      <c r="PB72" s="272"/>
      <c r="PC72" s="272"/>
      <c r="PD72" s="272"/>
      <c r="PE72" s="272"/>
      <c r="PF72" s="272"/>
      <c r="PG72" s="272"/>
      <c r="PH72" s="272"/>
      <c r="PI72" s="272"/>
      <c r="PJ72" s="272"/>
      <c r="PK72" s="272"/>
      <c r="PL72" s="272"/>
      <c r="PM72" s="272"/>
      <c r="PN72" s="272"/>
      <c r="PO72" s="272"/>
      <c r="PP72" s="272"/>
      <c r="PQ72" s="272"/>
      <c r="PR72" s="272"/>
      <c r="PS72" s="272"/>
      <c r="PT72" s="272"/>
      <c r="PU72" s="272"/>
      <c r="PV72" s="272"/>
      <c r="PW72" s="272"/>
      <c r="PX72" s="272"/>
      <c r="PY72" s="272"/>
      <c r="PZ72" s="272"/>
      <c r="QA72" s="272"/>
      <c r="QB72" s="272"/>
      <c r="QC72" s="272"/>
      <c r="QD72" s="272"/>
      <c r="QE72" s="272"/>
      <c r="QF72" s="272"/>
      <c r="QG72" s="272"/>
      <c r="QH72" s="272"/>
      <c r="QI72" s="272"/>
      <c r="QJ72" s="272"/>
      <c r="QK72" s="272"/>
      <c r="QL72" s="272"/>
      <c r="QM72" s="272"/>
      <c r="QN72" s="272"/>
      <c r="QO72" s="272"/>
      <c r="QP72" s="272"/>
      <c r="QQ72" s="272"/>
      <c r="QR72" s="272"/>
      <c r="QS72" s="272"/>
      <c r="QT72" s="272"/>
      <c r="QU72" s="272"/>
      <c r="QV72" s="272"/>
      <c r="QW72" s="272"/>
      <c r="QX72" s="272"/>
      <c r="QY72" s="272"/>
      <c r="QZ72" s="272"/>
      <c r="RA72" s="272"/>
      <c r="RB72" s="272"/>
      <c r="RC72" s="272"/>
      <c r="RD72" s="272"/>
      <c r="RE72" s="272"/>
      <c r="RF72" s="272"/>
      <c r="RG72" s="272"/>
      <c r="RH72" s="272"/>
      <c r="RI72" s="272"/>
      <c r="RJ72" s="272"/>
      <c r="RK72" s="272"/>
      <c r="RL72" s="272"/>
      <c r="RM72" s="272"/>
      <c r="RN72" s="272"/>
      <c r="RO72" s="272"/>
      <c r="RP72" s="272"/>
      <c r="RQ72" s="272"/>
      <c r="RR72" s="272"/>
      <c r="RS72" s="272"/>
      <c r="RT72" s="272"/>
      <c r="RU72" s="272"/>
      <c r="RV72" s="272"/>
      <c r="RW72" s="272"/>
      <c r="RX72" s="272"/>
      <c r="RY72" s="272"/>
      <c r="RZ72" s="272"/>
      <c r="SA72" s="272"/>
      <c r="SB72" s="272"/>
      <c r="SC72" s="272"/>
      <c r="SD72" s="272"/>
      <c r="SE72" s="272"/>
      <c r="SF72" s="272"/>
      <c r="SG72" s="272"/>
      <c r="SH72" s="272"/>
      <c r="SI72" s="272"/>
      <c r="SJ72" s="272"/>
      <c r="SK72" s="272"/>
      <c r="SL72" s="272"/>
      <c r="SM72" s="272"/>
      <c r="SN72" s="272"/>
      <c r="SO72" s="272"/>
      <c r="SP72" s="272"/>
      <c r="SQ72" s="272"/>
      <c r="SR72" s="272"/>
      <c r="SS72" s="272"/>
      <c r="ST72" s="272"/>
      <c r="SU72" s="272"/>
      <c r="SV72" s="272"/>
      <c r="SW72" s="272"/>
      <c r="SX72" s="272"/>
      <c r="SY72" s="272"/>
      <c r="SZ72" s="272"/>
      <c r="TA72" s="272"/>
      <c r="TB72" s="272"/>
      <c r="TC72" s="272"/>
      <c r="TD72" s="272"/>
      <c r="TE72" s="272"/>
      <c r="TF72" s="272"/>
      <c r="TG72" s="272"/>
      <c r="TH72" s="272"/>
      <c r="TI72" s="272"/>
      <c r="TJ72" s="272"/>
      <c r="TK72" s="272"/>
      <c r="TL72" s="272"/>
      <c r="TM72" s="272"/>
      <c r="TN72" s="272"/>
      <c r="TO72" s="272"/>
      <c r="TP72" s="272"/>
      <c r="TQ72" s="272"/>
      <c r="TR72" s="272"/>
      <c r="TS72" s="272"/>
      <c r="TT72" s="272"/>
      <c r="TU72" s="272"/>
      <c r="TV72" s="272"/>
      <c r="TW72" s="272"/>
      <c r="TX72" s="272"/>
      <c r="TY72" s="272"/>
      <c r="TZ72" s="272"/>
      <c r="UA72" s="272"/>
      <c r="UB72" s="272"/>
      <c r="UC72" s="272"/>
      <c r="UD72" s="272"/>
      <c r="UE72" s="272"/>
      <c r="UF72" s="272"/>
      <c r="UG72" s="272"/>
      <c r="UH72" s="272"/>
      <c r="UI72" s="272"/>
      <c r="UJ72" s="272"/>
      <c r="UK72" s="272"/>
      <c r="UL72" s="272"/>
      <c r="UM72" s="272"/>
      <c r="UN72" s="272"/>
      <c r="UO72" s="272"/>
      <c r="UP72" s="272"/>
      <c r="UQ72" s="272"/>
      <c r="UR72" s="272"/>
      <c r="US72" s="272"/>
      <c r="UT72" s="272"/>
      <c r="UU72" s="272"/>
      <c r="UV72" s="272"/>
      <c r="UW72" s="272"/>
      <c r="UX72" s="272"/>
      <c r="UY72" s="272"/>
      <c r="UZ72" s="272"/>
      <c r="VA72" s="272"/>
      <c r="VB72" s="272"/>
      <c r="VC72" s="272"/>
      <c r="VD72" s="272"/>
      <c r="VE72" s="272"/>
      <c r="VF72" s="272"/>
      <c r="VG72" s="272"/>
      <c r="VH72" s="272"/>
      <c r="VI72" s="272"/>
      <c r="VJ72" s="272"/>
      <c r="VK72" s="272"/>
      <c r="VL72" s="272"/>
      <c r="VM72" s="272"/>
      <c r="VN72" s="272"/>
      <c r="VO72" s="272"/>
      <c r="VP72" s="272"/>
      <c r="VQ72" s="272"/>
      <c r="VR72" s="272"/>
      <c r="VS72" s="272"/>
      <c r="VT72" s="272"/>
      <c r="VU72" s="272"/>
      <c r="VV72" s="272"/>
      <c r="VW72" s="272"/>
      <c r="VX72" s="272"/>
      <c r="VY72" s="272"/>
      <c r="VZ72" s="272"/>
      <c r="WA72" s="272"/>
      <c r="WB72" s="272"/>
      <c r="WC72" s="272"/>
      <c r="WD72" s="272"/>
      <c r="WE72" s="272"/>
      <c r="WF72" s="272"/>
      <c r="WG72" s="272"/>
      <c r="WH72" s="272"/>
      <c r="WI72" s="272"/>
      <c r="WJ72" s="272"/>
      <c r="WK72" s="272"/>
      <c r="WL72" s="272"/>
      <c r="WM72" s="272"/>
      <c r="WN72" s="272"/>
      <c r="WO72" s="272"/>
      <c r="WP72" s="272"/>
      <c r="WQ72" s="272"/>
      <c r="WR72" s="272"/>
      <c r="WS72" s="272"/>
      <c r="WT72" s="272"/>
      <c r="WU72" s="272"/>
      <c r="WV72" s="272"/>
      <c r="WW72" s="272"/>
      <c r="WX72" s="272"/>
      <c r="WY72" s="272"/>
      <c r="WZ72" s="272"/>
      <c r="XA72" s="272"/>
      <c r="XB72" s="272"/>
      <c r="XC72" s="272"/>
      <c r="XD72" s="272"/>
      <c r="XE72" s="272"/>
      <c r="XF72" s="272"/>
      <c r="XG72" s="272"/>
      <c r="XH72" s="272"/>
      <c r="XI72" s="272"/>
      <c r="XJ72" s="272"/>
      <c r="XK72" s="272"/>
      <c r="XL72" s="272"/>
      <c r="XM72" s="272"/>
      <c r="XN72" s="272"/>
      <c r="XO72" s="272"/>
      <c r="XP72" s="272"/>
      <c r="XQ72" s="272"/>
      <c r="XR72" s="272"/>
      <c r="XS72" s="272"/>
      <c r="XT72" s="272"/>
      <c r="XU72" s="272"/>
      <c r="XV72" s="272"/>
      <c r="XW72" s="272"/>
      <c r="XX72" s="272"/>
      <c r="XY72" s="272"/>
      <c r="XZ72" s="272"/>
      <c r="YA72" s="272"/>
      <c r="YB72" s="272"/>
      <c r="YC72" s="272"/>
      <c r="YD72" s="272"/>
      <c r="YE72" s="272"/>
      <c r="YF72" s="272"/>
      <c r="YG72" s="272"/>
      <c r="YH72" s="272"/>
      <c r="YI72" s="272"/>
      <c r="YJ72" s="272"/>
      <c r="YK72" s="272"/>
      <c r="YL72" s="272"/>
      <c r="YM72" s="272"/>
      <c r="YN72" s="272"/>
      <c r="YO72" s="272"/>
      <c r="YP72" s="272"/>
      <c r="YQ72" s="272"/>
      <c r="YR72" s="272"/>
      <c r="YS72" s="272"/>
      <c r="YT72" s="272"/>
      <c r="YU72" s="272"/>
      <c r="YV72" s="272"/>
      <c r="YW72" s="272"/>
      <c r="YX72" s="272"/>
      <c r="YY72" s="272"/>
      <c r="YZ72" s="272"/>
      <c r="ZA72" s="272"/>
      <c r="ZB72" s="272"/>
      <c r="ZC72" s="272"/>
      <c r="ZD72" s="272"/>
      <c r="ZE72" s="272"/>
      <c r="ZF72" s="272"/>
      <c r="ZG72" s="272"/>
      <c r="ZH72" s="272"/>
      <c r="ZI72" s="272"/>
      <c r="ZJ72" s="272"/>
      <c r="ZK72" s="272"/>
      <c r="ZL72" s="272"/>
      <c r="ZM72" s="272"/>
      <c r="ZN72" s="272"/>
      <c r="ZO72" s="272"/>
      <c r="ZP72" s="272"/>
      <c r="ZQ72" s="272"/>
      <c r="ZR72" s="272"/>
      <c r="ZS72" s="272"/>
      <c r="ZT72" s="272"/>
      <c r="ZU72" s="272"/>
      <c r="ZV72" s="272"/>
      <c r="ZW72" s="272"/>
      <c r="ZX72" s="272"/>
      <c r="ZY72" s="272"/>
      <c r="ZZ72" s="272"/>
      <c r="AAA72" s="272"/>
      <c r="AAB72" s="272"/>
      <c r="AAC72" s="272"/>
      <c r="AAD72" s="272"/>
      <c r="AAE72" s="272"/>
      <c r="AAF72" s="272"/>
      <c r="AAG72" s="272"/>
      <c r="AAH72" s="272"/>
      <c r="AAI72" s="272"/>
      <c r="AAJ72" s="272"/>
      <c r="AAK72" s="272"/>
      <c r="AAL72" s="272"/>
      <c r="AAM72" s="272"/>
      <c r="AAN72" s="272"/>
      <c r="AAO72" s="272"/>
      <c r="AAP72" s="272"/>
      <c r="AAQ72" s="272"/>
      <c r="AAR72" s="272"/>
      <c r="AAS72" s="272"/>
      <c r="AAT72" s="272"/>
      <c r="AAU72" s="272"/>
      <c r="AAV72" s="272"/>
      <c r="AAW72" s="272"/>
      <c r="AAX72" s="272"/>
      <c r="AAY72" s="272"/>
      <c r="AAZ72" s="272"/>
      <c r="ABA72" s="272"/>
      <c r="ABB72" s="272"/>
      <c r="ABC72" s="272"/>
      <c r="ABD72" s="272"/>
      <c r="ABE72" s="272"/>
      <c r="ABF72" s="272"/>
      <c r="ABG72" s="272"/>
    </row>
    <row r="73" spans="1:735" s="86" customFormat="1" ht="53.25" customHeight="1">
      <c r="A73" s="607"/>
      <c r="B73" s="597"/>
      <c r="C73" s="597"/>
      <c r="D73" s="600"/>
      <c r="E73" s="619"/>
      <c r="F73" s="619"/>
      <c r="G73" s="636"/>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272"/>
      <c r="EA73" s="272"/>
      <c r="EB73" s="272"/>
      <c r="EC73" s="272"/>
      <c r="ED73" s="272"/>
      <c r="EE73" s="272"/>
      <c r="EF73" s="272"/>
      <c r="EG73" s="272"/>
      <c r="EH73" s="272"/>
      <c r="EI73" s="272"/>
      <c r="EJ73" s="272"/>
      <c r="EK73" s="272"/>
      <c r="EL73" s="272"/>
      <c r="EM73" s="272"/>
      <c r="EN73" s="272"/>
      <c r="EO73" s="272"/>
      <c r="EP73" s="272"/>
      <c r="EQ73" s="272"/>
      <c r="ER73" s="272"/>
      <c r="ES73" s="272"/>
      <c r="ET73" s="272"/>
      <c r="EU73" s="272"/>
      <c r="EV73" s="272"/>
      <c r="EW73" s="272"/>
      <c r="EX73" s="272"/>
      <c r="EY73" s="272"/>
      <c r="EZ73" s="272"/>
      <c r="FA73" s="272"/>
      <c r="FB73" s="272"/>
      <c r="FC73" s="272"/>
      <c r="FD73" s="272"/>
      <c r="FE73" s="272"/>
      <c r="FF73" s="272"/>
      <c r="FG73" s="272"/>
      <c r="FH73" s="272"/>
      <c r="FI73" s="272"/>
      <c r="FJ73" s="272"/>
      <c r="FK73" s="272"/>
      <c r="FL73" s="272"/>
      <c r="FM73" s="272"/>
      <c r="FN73" s="272"/>
      <c r="FO73" s="272"/>
      <c r="FP73" s="272"/>
      <c r="FQ73" s="272"/>
      <c r="FR73" s="272"/>
      <c r="FS73" s="272"/>
      <c r="FT73" s="272"/>
      <c r="FU73" s="272"/>
      <c r="FV73" s="272"/>
      <c r="FW73" s="272"/>
      <c r="FX73" s="272"/>
      <c r="FY73" s="272"/>
      <c r="FZ73" s="272"/>
      <c r="GA73" s="272"/>
      <c r="GB73" s="272"/>
      <c r="GC73" s="272"/>
      <c r="GD73" s="272"/>
      <c r="GE73" s="272"/>
      <c r="GF73" s="272"/>
      <c r="GG73" s="272"/>
      <c r="GH73" s="272"/>
      <c r="GI73" s="272"/>
      <c r="GJ73" s="272"/>
      <c r="GK73" s="272"/>
      <c r="GL73" s="272"/>
      <c r="GM73" s="272"/>
      <c r="GN73" s="272"/>
      <c r="GO73" s="272"/>
      <c r="GP73" s="272"/>
      <c r="GQ73" s="272"/>
      <c r="GR73" s="272"/>
      <c r="GS73" s="272"/>
      <c r="GT73" s="272"/>
      <c r="GU73" s="272"/>
      <c r="GV73" s="272"/>
      <c r="GW73" s="272"/>
      <c r="GX73" s="272"/>
      <c r="GY73" s="272"/>
      <c r="GZ73" s="272"/>
      <c r="HA73" s="272"/>
      <c r="HB73" s="272"/>
      <c r="HC73" s="272"/>
      <c r="HD73" s="272"/>
      <c r="HE73" s="272"/>
      <c r="HF73" s="272"/>
      <c r="HG73" s="272"/>
      <c r="HH73" s="272"/>
      <c r="HI73" s="272"/>
      <c r="HJ73" s="272"/>
      <c r="HK73" s="272"/>
      <c r="HL73" s="272"/>
      <c r="HM73" s="272"/>
      <c r="HN73" s="272"/>
      <c r="HO73" s="272"/>
      <c r="HP73" s="272"/>
      <c r="HQ73" s="272"/>
      <c r="HR73" s="272"/>
      <c r="HS73" s="272"/>
      <c r="HT73" s="272"/>
      <c r="HU73" s="272"/>
      <c r="HV73" s="272"/>
      <c r="HW73" s="272"/>
      <c r="HX73" s="272"/>
      <c r="HY73" s="272"/>
      <c r="HZ73" s="272"/>
      <c r="IA73" s="272"/>
      <c r="IB73" s="272"/>
      <c r="IC73" s="272"/>
      <c r="ID73" s="272"/>
      <c r="IE73" s="272"/>
      <c r="IF73" s="272"/>
      <c r="IG73" s="272"/>
      <c r="IH73" s="272"/>
      <c r="II73" s="272"/>
      <c r="IJ73" s="272"/>
      <c r="IK73" s="272"/>
      <c r="IL73" s="272"/>
      <c r="IM73" s="272"/>
      <c r="IN73" s="272"/>
      <c r="IO73" s="272"/>
      <c r="IP73" s="272"/>
      <c r="IQ73" s="272"/>
      <c r="IR73" s="272"/>
      <c r="IS73" s="272"/>
      <c r="IT73" s="272"/>
      <c r="IU73" s="272"/>
      <c r="IV73" s="272"/>
      <c r="IW73" s="272"/>
      <c r="IX73" s="272"/>
      <c r="IY73" s="272"/>
      <c r="IZ73" s="272"/>
      <c r="JA73" s="272"/>
      <c r="JB73" s="272"/>
      <c r="JC73" s="272"/>
      <c r="JD73" s="272"/>
      <c r="JE73" s="272"/>
      <c r="JF73" s="272"/>
      <c r="JG73" s="272"/>
      <c r="JH73" s="272"/>
      <c r="JI73" s="272"/>
      <c r="JJ73" s="272"/>
      <c r="JK73" s="272"/>
      <c r="JL73" s="272"/>
      <c r="JM73" s="272"/>
      <c r="JN73" s="272"/>
      <c r="JO73" s="272"/>
      <c r="JP73" s="272"/>
      <c r="JQ73" s="272"/>
      <c r="JR73" s="272"/>
      <c r="JS73" s="272"/>
      <c r="JT73" s="272"/>
      <c r="JU73" s="272"/>
      <c r="JV73" s="272"/>
      <c r="JW73" s="272"/>
      <c r="JX73" s="272"/>
      <c r="JY73" s="272"/>
      <c r="JZ73" s="272"/>
      <c r="KA73" s="272"/>
      <c r="KB73" s="272"/>
      <c r="KC73" s="272"/>
      <c r="KD73" s="272"/>
      <c r="KE73" s="272"/>
      <c r="KF73" s="272"/>
      <c r="KG73" s="272"/>
      <c r="KH73" s="272"/>
      <c r="KI73" s="272"/>
      <c r="KJ73" s="272"/>
      <c r="KK73" s="272"/>
      <c r="KL73" s="272"/>
      <c r="KM73" s="272"/>
      <c r="KN73" s="272"/>
      <c r="KO73" s="272"/>
      <c r="KP73" s="272"/>
      <c r="KQ73" s="272"/>
      <c r="KR73" s="272"/>
      <c r="KS73" s="272"/>
      <c r="KT73" s="272"/>
      <c r="KU73" s="272"/>
      <c r="KV73" s="272"/>
      <c r="KW73" s="272"/>
      <c r="KX73" s="272"/>
      <c r="KY73" s="272"/>
      <c r="KZ73" s="272"/>
      <c r="LA73" s="272"/>
      <c r="LB73" s="272"/>
      <c r="LC73" s="272"/>
      <c r="LD73" s="272"/>
      <c r="LE73" s="272"/>
      <c r="LF73" s="272"/>
      <c r="LG73" s="272"/>
      <c r="LH73" s="272"/>
      <c r="LI73" s="272"/>
      <c r="LJ73" s="272"/>
      <c r="LK73" s="272"/>
      <c r="LL73" s="272"/>
      <c r="LM73" s="272"/>
      <c r="LN73" s="272"/>
      <c r="LO73" s="272"/>
      <c r="LP73" s="272"/>
      <c r="LQ73" s="272"/>
      <c r="LR73" s="272"/>
      <c r="LS73" s="272"/>
      <c r="LT73" s="272"/>
      <c r="LU73" s="272"/>
      <c r="LV73" s="272"/>
      <c r="LW73" s="272"/>
      <c r="LX73" s="272"/>
      <c r="LY73" s="272"/>
      <c r="LZ73" s="272"/>
      <c r="MA73" s="272"/>
      <c r="MB73" s="272"/>
      <c r="MC73" s="272"/>
      <c r="MD73" s="272"/>
      <c r="ME73" s="272"/>
      <c r="MF73" s="272"/>
      <c r="MG73" s="272"/>
      <c r="MH73" s="272"/>
      <c r="MI73" s="272"/>
      <c r="MJ73" s="272"/>
      <c r="MK73" s="272"/>
      <c r="ML73" s="272"/>
      <c r="MM73" s="272"/>
      <c r="MN73" s="272"/>
      <c r="MO73" s="272"/>
      <c r="MP73" s="272"/>
      <c r="MQ73" s="272"/>
      <c r="MR73" s="272"/>
      <c r="MS73" s="272"/>
      <c r="MT73" s="272"/>
      <c r="MU73" s="272"/>
      <c r="MV73" s="272"/>
      <c r="MW73" s="272"/>
      <c r="MX73" s="272"/>
      <c r="MY73" s="272"/>
      <c r="MZ73" s="272"/>
      <c r="NA73" s="272"/>
      <c r="NB73" s="272"/>
      <c r="NC73" s="272"/>
      <c r="ND73" s="272"/>
      <c r="NE73" s="272"/>
      <c r="NF73" s="272"/>
      <c r="NG73" s="272"/>
      <c r="NH73" s="272"/>
      <c r="NI73" s="272"/>
      <c r="NJ73" s="272"/>
      <c r="NK73" s="272"/>
      <c r="NL73" s="272"/>
      <c r="NM73" s="272"/>
      <c r="NN73" s="272"/>
      <c r="NO73" s="272"/>
      <c r="NP73" s="272"/>
      <c r="NQ73" s="272"/>
      <c r="NR73" s="272"/>
      <c r="NS73" s="272"/>
      <c r="NT73" s="272"/>
      <c r="NU73" s="272"/>
      <c r="NV73" s="272"/>
      <c r="NW73" s="272"/>
      <c r="NX73" s="272"/>
      <c r="NY73" s="272"/>
      <c r="NZ73" s="272"/>
      <c r="OA73" s="272"/>
      <c r="OB73" s="272"/>
      <c r="OC73" s="272"/>
      <c r="OD73" s="272"/>
      <c r="OE73" s="272"/>
      <c r="OF73" s="272"/>
      <c r="OG73" s="272"/>
      <c r="OH73" s="272"/>
      <c r="OI73" s="272"/>
      <c r="OJ73" s="272"/>
      <c r="OK73" s="272"/>
      <c r="OL73" s="272"/>
      <c r="OM73" s="272"/>
      <c r="ON73" s="272"/>
      <c r="OO73" s="272"/>
      <c r="OP73" s="272"/>
      <c r="OQ73" s="272"/>
      <c r="OR73" s="272"/>
      <c r="OS73" s="272"/>
      <c r="OT73" s="272"/>
      <c r="OU73" s="272"/>
      <c r="OV73" s="272"/>
      <c r="OW73" s="272"/>
      <c r="OX73" s="272"/>
      <c r="OY73" s="272"/>
      <c r="OZ73" s="272"/>
      <c r="PA73" s="272"/>
      <c r="PB73" s="272"/>
      <c r="PC73" s="272"/>
      <c r="PD73" s="272"/>
      <c r="PE73" s="272"/>
      <c r="PF73" s="272"/>
      <c r="PG73" s="272"/>
      <c r="PH73" s="272"/>
      <c r="PI73" s="272"/>
      <c r="PJ73" s="272"/>
      <c r="PK73" s="272"/>
      <c r="PL73" s="272"/>
      <c r="PM73" s="272"/>
      <c r="PN73" s="272"/>
      <c r="PO73" s="272"/>
      <c r="PP73" s="272"/>
      <c r="PQ73" s="272"/>
      <c r="PR73" s="272"/>
      <c r="PS73" s="272"/>
      <c r="PT73" s="272"/>
      <c r="PU73" s="272"/>
      <c r="PV73" s="272"/>
      <c r="PW73" s="272"/>
      <c r="PX73" s="272"/>
      <c r="PY73" s="272"/>
      <c r="PZ73" s="272"/>
      <c r="QA73" s="272"/>
      <c r="QB73" s="272"/>
      <c r="QC73" s="272"/>
      <c r="QD73" s="272"/>
      <c r="QE73" s="272"/>
      <c r="QF73" s="272"/>
      <c r="QG73" s="272"/>
      <c r="QH73" s="272"/>
      <c r="QI73" s="272"/>
      <c r="QJ73" s="272"/>
      <c r="QK73" s="272"/>
      <c r="QL73" s="272"/>
      <c r="QM73" s="272"/>
      <c r="QN73" s="272"/>
      <c r="QO73" s="272"/>
      <c r="QP73" s="272"/>
      <c r="QQ73" s="272"/>
      <c r="QR73" s="272"/>
      <c r="QS73" s="272"/>
      <c r="QT73" s="272"/>
      <c r="QU73" s="272"/>
      <c r="QV73" s="272"/>
      <c r="QW73" s="272"/>
      <c r="QX73" s="272"/>
      <c r="QY73" s="272"/>
      <c r="QZ73" s="272"/>
      <c r="RA73" s="272"/>
      <c r="RB73" s="272"/>
      <c r="RC73" s="272"/>
      <c r="RD73" s="272"/>
      <c r="RE73" s="272"/>
      <c r="RF73" s="272"/>
      <c r="RG73" s="272"/>
      <c r="RH73" s="272"/>
      <c r="RI73" s="272"/>
      <c r="RJ73" s="272"/>
      <c r="RK73" s="272"/>
      <c r="RL73" s="272"/>
      <c r="RM73" s="272"/>
      <c r="RN73" s="272"/>
      <c r="RO73" s="272"/>
      <c r="RP73" s="272"/>
      <c r="RQ73" s="272"/>
      <c r="RR73" s="272"/>
      <c r="RS73" s="272"/>
      <c r="RT73" s="272"/>
      <c r="RU73" s="272"/>
      <c r="RV73" s="272"/>
      <c r="RW73" s="272"/>
      <c r="RX73" s="272"/>
      <c r="RY73" s="272"/>
      <c r="RZ73" s="272"/>
      <c r="SA73" s="272"/>
      <c r="SB73" s="272"/>
      <c r="SC73" s="272"/>
      <c r="SD73" s="272"/>
      <c r="SE73" s="272"/>
      <c r="SF73" s="272"/>
      <c r="SG73" s="272"/>
      <c r="SH73" s="272"/>
      <c r="SI73" s="272"/>
      <c r="SJ73" s="272"/>
      <c r="SK73" s="272"/>
      <c r="SL73" s="272"/>
      <c r="SM73" s="272"/>
      <c r="SN73" s="272"/>
      <c r="SO73" s="272"/>
      <c r="SP73" s="272"/>
      <c r="SQ73" s="272"/>
      <c r="SR73" s="272"/>
      <c r="SS73" s="272"/>
      <c r="ST73" s="272"/>
      <c r="SU73" s="272"/>
      <c r="SV73" s="272"/>
      <c r="SW73" s="272"/>
      <c r="SX73" s="272"/>
      <c r="SY73" s="272"/>
      <c r="SZ73" s="272"/>
      <c r="TA73" s="272"/>
      <c r="TB73" s="272"/>
      <c r="TC73" s="272"/>
      <c r="TD73" s="272"/>
      <c r="TE73" s="272"/>
      <c r="TF73" s="272"/>
      <c r="TG73" s="272"/>
      <c r="TH73" s="272"/>
      <c r="TI73" s="272"/>
      <c r="TJ73" s="272"/>
      <c r="TK73" s="272"/>
      <c r="TL73" s="272"/>
      <c r="TM73" s="272"/>
      <c r="TN73" s="272"/>
      <c r="TO73" s="272"/>
      <c r="TP73" s="272"/>
      <c r="TQ73" s="272"/>
      <c r="TR73" s="272"/>
      <c r="TS73" s="272"/>
      <c r="TT73" s="272"/>
      <c r="TU73" s="272"/>
      <c r="TV73" s="272"/>
      <c r="TW73" s="272"/>
      <c r="TX73" s="272"/>
      <c r="TY73" s="272"/>
      <c r="TZ73" s="272"/>
      <c r="UA73" s="272"/>
      <c r="UB73" s="272"/>
      <c r="UC73" s="272"/>
      <c r="UD73" s="272"/>
      <c r="UE73" s="272"/>
      <c r="UF73" s="272"/>
      <c r="UG73" s="272"/>
      <c r="UH73" s="272"/>
      <c r="UI73" s="272"/>
      <c r="UJ73" s="272"/>
      <c r="UK73" s="272"/>
      <c r="UL73" s="272"/>
      <c r="UM73" s="272"/>
      <c r="UN73" s="272"/>
      <c r="UO73" s="272"/>
      <c r="UP73" s="272"/>
      <c r="UQ73" s="272"/>
      <c r="UR73" s="272"/>
      <c r="US73" s="272"/>
      <c r="UT73" s="272"/>
      <c r="UU73" s="272"/>
      <c r="UV73" s="272"/>
      <c r="UW73" s="272"/>
      <c r="UX73" s="272"/>
      <c r="UY73" s="272"/>
      <c r="UZ73" s="272"/>
      <c r="VA73" s="272"/>
      <c r="VB73" s="272"/>
      <c r="VC73" s="272"/>
      <c r="VD73" s="272"/>
      <c r="VE73" s="272"/>
      <c r="VF73" s="272"/>
      <c r="VG73" s="272"/>
      <c r="VH73" s="272"/>
      <c r="VI73" s="272"/>
      <c r="VJ73" s="272"/>
      <c r="VK73" s="272"/>
      <c r="VL73" s="272"/>
      <c r="VM73" s="272"/>
      <c r="VN73" s="272"/>
      <c r="VO73" s="272"/>
      <c r="VP73" s="272"/>
      <c r="VQ73" s="272"/>
      <c r="VR73" s="272"/>
      <c r="VS73" s="272"/>
      <c r="VT73" s="272"/>
      <c r="VU73" s="272"/>
      <c r="VV73" s="272"/>
      <c r="VW73" s="272"/>
      <c r="VX73" s="272"/>
      <c r="VY73" s="272"/>
      <c r="VZ73" s="272"/>
      <c r="WA73" s="272"/>
      <c r="WB73" s="272"/>
      <c r="WC73" s="272"/>
      <c r="WD73" s="272"/>
      <c r="WE73" s="272"/>
      <c r="WF73" s="272"/>
      <c r="WG73" s="272"/>
      <c r="WH73" s="272"/>
      <c r="WI73" s="272"/>
      <c r="WJ73" s="272"/>
      <c r="WK73" s="272"/>
      <c r="WL73" s="272"/>
      <c r="WM73" s="272"/>
      <c r="WN73" s="272"/>
      <c r="WO73" s="272"/>
      <c r="WP73" s="272"/>
      <c r="WQ73" s="272"/>
      <c r="WR73" s="272"/>
      <c r="WS73" s="272"/>
      <c r="WT73" s="272"/>
      <c r="WU73" s="272"/>
      <c r="WV73" s="272"/>
      <c r="WW73" s="272"/>
      <c r="WX73" s="272"/>
      <c r="WY73" s="272"/>
      <c r="WZ73" s="272"/>
      <c r="XA73" s="272"/>
      <c r="XB73" s="272"/>
      <c r="XC73" s="272"/>
      <c r="XD73" s="272"/>
      <c r="XE73" s="272"/>
      <c r="XF73" s="272"/>
      <c r="XG73" s="272"/>
      <c r="XH73" s="272"/>
      <c r="XI73" s="272"/>
      <c r="XJ73" s="272"/>
      <c r="XK73" s="272"/>
      <c r="XL73" s="272"/>
      <c r="XM73" s="272"/>
      <c r="XN73" s="272"/>
      <c r="XO73" s="272"/>
      <c r="XP73" s="272"/>
      <c r="XQ73" s="272"/>
      <c r="XR73" s="272"/>
      <c r="XS73" s="272"/>
      <c r="XT73" s="272"/>
      <c r="XU73" s="272"/>
      <c r="XV73" s="272"/>
      <c r="XW73" s="272"/>
      <c r="XX73" s="272"/>
      <c r="XY73" s="272"/>
      <c r="XZ73" s="272"/>
      <c r="YA73" s="272"/>
      <c r="YB73" s="272"/>
      <c r="YC73" s="272"/>
      <c r="YD73" s="272"/>
      <c r="YE73" s="272"/>
      <c r="YF73" s="272"/>
      <c r="YG73" s="272"/>
      <c r="YH73" s="272"/>
      <c r="YI73" s="272"/>
      <c r="YJ73" s="272"/>
      <c r="YK73" s="272"/>
      <c r="YL73" s="272"/>
      <c r="YM73" s="272"/>
      <c r="YN73" s="272"/>
      <c r="YO73" s="272"/>
      <c r="YP73" s="272"/>
      <c r="YQ73" s="272"/>
      <c r="YR73" s="272"/>
      <c r="YS73" s="272"/>
      <c r="YT73" s="272"/>
      <c r="YU73" s="272"/>
      <c r="YV73" s="272"/>
      <c r="YW73" s="272"/>
      <c r="YX73" s="272"/>
      <c r="YY73" s="272"/>
      <c r="YZ73" s="272"/>
      <c r="ZA73" s="272"/>
      <c r="ZB73" s="272"/>
      <c r="ZC73" s="272"/>
      <c r="ZD73" s="272"/>
      <c r="ZE73" s="272"/>
      <c r="ZF73" s="272"/>
      <c r="ZG73" s="272"/>
      <c r="ZH73" s="272"/>
      <c r="ZI73" s="272"/>
      <c r="ZJ73" s="272"/>
      <c r="ZK73" s="272"/>
      <c r="ZL73" s="272"/>
      <c r="ZM73" s="272"/>
      <c r="ZN73" s="272"/>
      <c r="ZO73" s="272"/>
      <c r="ZP73" s="272"/>
      <c r="ZQ73" s="272"/>
      <c r="ZR73" s="272"/>
      <c r="ZS73" s="272"/>
      <c r="ZT73" s="272"/>
      <c r="ZU73" s="272"/>
      <c r="ZV73" s="272"/>
      <c r="ZW73" s="272"/>
      <c r="ZX73" s="272"/>
      <c r="ZY73" s="272"/>
      <c r="ZZ73" s="272"/>
      <c r="AAA73" s="272"/>
      <c r="AAB73" s="272"/>
      <c r="AAC73" s="272"/>
      <c r="AAD73" s="272"/>
      <c r="AAE73" s="272"/>
      <c r="AAF73" s="272"/>
      <c r="AAG73" s="272"/>
      <c r="AAH73" s="272"/>
      <c r="AAI73" s="272"/>
      <c r="AAJ73" s="272"/>
      <c r="AAK73" s="272"/>
      <c r="AAL73" s="272"/>
      <c r="AAM73" s="272"/>
      <c r="AAN73" s="272"/>
      <c r="AAO73" s="272"/>
      <c r="AAP73" s="272"/>
      <c r="AAQ73" s="272"/>
      <c r="AAR73" s="272"/>
      <c r="AAS73" s="272"/>
      <c r="AAT73" s="272"/>
      <c r="AAU73" s="272"/>
      <c r="AAV73" s="272"/>
      <c r="AAW73" s="272"/>
      <c r="AAX73" s="272"/>
      <c r="AAY73" s="272"/>
      <c r="AAZ73" s="272"/>
      <c r="ABA73" s="272"/>
      <c r="ABB73" s="272"/>
      <c r="ABC73" s="272"/>
      <c r="ABD73" s="272"/>
      <c r="ABE73" s="272"/>
      <c r="ABF73" s="272"/>
      <c r="ABG73" s="272"/>
    </row>
    <row r="74" spans="1:735" s="86" customFormat="1" ht="14.25" customHeight="1">
      <c r="A74" s="607"/>
      <c r="B74" s="597"/>
      <c r="C74" s="598"/>
      <c r="D74" s="601"/>
      <c r="E74" s="620"/>
      <c r="F74" s="620"/>
      <c r="G74" s="635"/>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c r="EC74" s="272"/>
      <c r="ED74" s="272"/>
      <c r="EE74" s="272"/>
      <c r="EF74" s="272"/>
      <c r="EG74" s="272"/>
      <c r="EH74" s="272"/>
      <c r="EI74" s="272"/>
      <c r="EJ74" s="272"/>
      <c r="EK74" s="272"/>
      <c r="EL74" s="272"/>
      <c r="EM74" s="272"/>
      <c r="EN74" s="272"/>
      <c r="EO74" s="272"/>
      <c r="EP74" s="272"/>
      <c r="EQ74" s="272"/>
      <c r="ER74" s="272"/>
      <c r="ES74" s="272"/>
      <c r="ET74" s="272"/>
      <c r="EU74" s="272"/>
      <c r="EV74" s="272"/>
      <c r="EW74" s="272"/>
      <c r="EX74" s="272"/>
      <c r="EY74" s="272"/>
      <c r="EZ74" s="272"/>
      <c r="FA74" s="272"/>
      <c r="FB74" s="272"/>
      <c r="FC74" s="272"/>
      <c r="FD74" s="272"/>
      <c r="FE74" s="272"/>
      <c r="FF74" s="272"/>
      <c r="FG74" s="272"/>
      <c r="FH74" s="272"/>
      <c r="FI74" s="272"/>
      <c r="FJ74" s="272"/>
      <c r="FK74" s="272"/>
      <c r="FL74" s="272"/>
      <c r="FM74" s="272"/>
      <c r="FN74" s="272"/>
      <c r="FO74" s="272"/>
      <c r="FP74" s="272"/>
      <c r="FQ74" s="272"/>
      <c r="FR74" s="272"/>
      <c r="FS74" s="272"/>
      <c r="FT74" s="272"/>
      <c r="FU74" s="272"/>
      <c r="FV74" s="272"/>
      <c r="FW74" s="272"/>
      <c r="FX74" s="272"/>
      <c r="FY74" s="272"/>
      <c r="FZ74" s="272"/>
      <c r="GA74" s="272"/>
      <c r="GB74" s="272"/>
      <c r="GC74" s="272"/>
      <c r="GD74" s="272"/>
      <c r="GE74" s="272"/>
      <c r="GF74" s="272"/>
      <c r="GG74" s="272"/>
      <c r="GH74" s="272"/>
      <c r="GI74" s="272"/>
      <c r="GJ74" s="272"/>
      <c r="GK74" s="272"/>
      <c r="GL74" s="272"/>
      <c r="GM74" s="272"/>
      <c r="GN74" s="272"/>
      <c r="GO74" s="272"/>
      <c r="GP74" s="272"/>
      <c r="GQ74" s="272"/>
      <c r="GR74" s="272"/>
      <c r="GS74" s="272"/>
      <c r="GT74" s="272"/>
      <c r="GU74" s="272"/>
      <c r="GV74" s="272"/>
      <c r="GW74" s="272"/>
      <c r="GX74" s="272"/>
      <c r="GY74" s="272"/>
      <c r="GZ74" s="272"/>
      <c r="HA74" s="272"/>
      <c r="HB74" s="272"/>
      <c r="HC74" s="272"/>
      <c r="HD74" s="272"/>
      <c r="HE74" s="272"/>
      <c r="HF74" s="272"/>
      <c r="HG74" s="272"/>
      <c r="HH74" s="272"/>
      <c r="HI74" s="272"/>
      <c r="HJ74" s="272"/>
      <c r="HK74" s="272"/>
      <c r="HL74" s="272"/>
      <c r="HM74" s="272"/>
      <c r="HN74" s="272"/>
      <c r="HO74" s="272"/>
      <c r="HP74" s="272"/>
      <c r="HQ74" s="272"/>
      <c r="HR74" s="272"/>
      <c r="HS74" s="272"/>
      <c r="HT74" s="272"/>
      <c r="HU74" s="272"/>
      <c r="HV74" s="272"/>
      <c r="HW74" s="272"/>
      <c r="HX74" s="272"/>
      <c r="HY74" s="272"/>
      <c r="HZ74" s="272"/>
      <c r="IA74" s="272"/>
      <c r="IB74" s="272"/>
      <c r="IC74" s="272"/>
      <c r="ID74" s="272"/>
      <c r="IE74" s="272"/>
      <c r="IF74" s="272"/>
      <c r="IG74" s="272"/>
      <c r="IH74" s="272"/>
      <c r="II74" s="272"/>
      <c r="IJ74" s="272"/>
      <c r="IK74" s="272"/>
      <c r="IL74" s="272"/>
      <c r="IM74" s="272"/>
      <c r="IN74" s="272"/>
      <c r="IO74" s="272"/>
      <c r="IP74" s="272"/>
      <c r="IQ74" s="272"/>
      <c r="IR74" s="272"/>
      <c r="IS74" s="272"/>
      <c r="IT74" s="272"/>
      <c r="IU74" s="272"/>
      <c r="IV74" s="272"/>
      <c r="IW74" s="272"/>
      <c r="IX74" s="272"/>
      <c r="IY74" s="272"/>
      <c r="IZ74" s="272"/>
      <c r="JA74" s="272"/>
      <c r="JB74" s="272"/>
      <c r="JC74" s="272"/>
      <c r="JD74" s="272"/>
      <c r="JE74" s="272"/>
      <c r="JF74" s="272"/>
      <c r="JG74" s="272"/>
      <c r="JH74" s="272"/>
      <c r="JI74" s="272"/>
      <c r="JJ74" s="272"/>
      <c r="JK74" s="272"/>
      <c r="JL74" s="272"/>
      <c r="JM74" s="272"/>
      <c r="JN74" s="272"/>
      <c r="JO74" s="272"/>
      <c r="JP74" s="272"/>
      <c r="JQ74" s="272"/>
      <c r="JR74" s="272"/>
      <c r="JS74" s="272"/>
      <c r="JT74" s="272"/>
      <c r="JU74" s="272"/>
      <c r="JV74" s="272"/>
      <c r="JW74" s="272"/>
      <c r="JX74" s="272"/>
      <c r="JY74" s="272"/>
      <c r="JZ74" s="272"/>
      <c r="KA74" s="272"/>
      <c r="KB74" s="272"/>
      <c r="KC74" s="272"/>
      <c r="KD74" s="272"/>
      <c r="KE74" s="272"/>
      <c r="KF74" s="272"/>
      <c r="KG74" s="272"/>
      <c r="KH74" s="272"/>
      <c r="KI74" s="272"/>
      <c r="KJ74" s="272"/>
      <c r="KK74" s="272"/>
      <c r="KL74" s="272"/>
      <c r="KM74" s="272"/>
      <c r="KN74" s="272"/>
      <c r="KO74" s="272"/>
      <c r="KP74" s="272"/>
      <c r="KQ74" s="272"/>
      <c r="KR74" s="272"/>
      <c r="KS74" s="272"/>
      <c r="KT74" s="272"/>
      <c r="KU74" s="272"/>
      <c r="KV74" s="272"/>
      <c r="KW74" s="272"/>
      <c r="KX74" s="272"/>
      <c r="KY74" s="272"/>
      <c r="KZ74" s="272"/>
      <c r="LA74" s="272"/>
      <c r="LB74" s="272"/>
      <c r="LC74" s="272"/>
      <c r="LD74" s="272"/>
      <c r="LE74" s="272"/>
      <c r="LF74" s="272"/>
      <c r="LG74" s="272"/>
      <c r="LH74" s="272"/>
      <c r="LI74" s="272"/>
      <c r="LJ74" s="272"/>
      <c r="LK74" s="272"/>
      <c r="LL74" s="272"/>
      <c r="LM74" s="272"/>
      <c r="LN74" s="272"/>
      <c r="LO74" s="272"/>
      <c r="LP74" s="272"/>
      <c r="LQ74" s="272"/>
      <c r="LR74" s="272"/>
      <c r="LS74" s="272"/>
      <c r="LT74" s="272"/>
      <c r="LU74" s="272"/>
      <c r="LV74" s="272"/>
      <c r="LW74" s="272"/>
      <c r="LX74" s="272"/>
      <c r="LY74" s="272"/>
      <c r="LZ74" s="272"/>
      <c r="MA74" s="272"/>
      <c r="MB74" s="272"/>
      <c r="MC74" s="272"/>
      <c r="MD74" s="272"/>
      <c r="ME74" s="272"/>
      <c r="MF74" s="272"/>
      <c r="MG74" s="272"/>
      <c r="MH74" s="272"/>
      <c r="MI74" s="272"/>
      <c r="MJ74" s="272"/>
      <c r="MK74" s="272"/>
      <c r="ML74" s="272"/>
      <c r="MM74" s="272"/>
      <c r="MN74" s="272"/>
      <c r="MO74" s="272"/>
      <c r="MP74" s="272"/>
      <c r="MQ74" s="272"/>
      <c r="MR74" s="272"/>
      <c r="MS74" s="272"/>
      <c r="MT74" s="272"/>
      <c r="MU74" s="272"/>
      <c r="MV74" s="272"/>
      <c r="MW74" s="272"/>
      <c r="MX74" s="272"/>
      <c r="MY74" s="272"/>
      <c r="MZ74" s="272"/>
      <c r="NA74" s="272"/>
      <c r="NB74" s="272"/>
      <c r="NC74" s="272"/>
      <c r="ND74" s="272"/>
      <c r="NE74" s="272"/>
      <c r="NF74" s="272"/>
      <c r="NG74" s="272"/>
      <c r="NH74" s="272"/>
      <c r="NI74" s="272"/>
      <c r="NJ74" s="272"/>
      <c r="NK74" s="272"/>
      <c r="NL74" s="272"/>
      <c r="NM74" s="272"/>
      <c r="NN74" s="272"/>
      <c r="NO74" s="272"/>
      <c r="NP74" s="272"/>
      <c r="NQ74" s="272"/>
      <c r="NR74" s="272"/>
      <c r="NS74" s="272"/>
      <c r="NT74" s="272"/>
      <c r="NU74" s="272"/>
      <c r="NV74" s="272"/>
      <c r="NW74" s="272"/>
      <c r="NX74" s="272"/>
      <c r="NY74" s="272"/>
      <c r="NZ74" s="272"/>
      <c r="OA74" s="272"/>
      <c r="OB74" s="272"/>
      <c r="OC74" s="272"/>
      <c r="OD74" s="272"/>
      <c r="OE74" s="272"/>
      <c r="OF74" s="272"/>
      <c r="OG74" s="272"/>
      <c r="OH74" s="272"/>
      <c r="OI74" s="272"/>
      <c r="OJ74" s="272"/>
      <c r="OK74" s="272"/>
      <c r="OL74" s="272"/>
      <c r="OM74" s="272"/>
      <c r="ON74" s="272"/>
      <c r="OO74" s="272"/>
      <c r="OP74" s="272"/>
      <c r="OQ74" s="272"/>
      <c r="OR74" s="272"/>
      <c r="OS74" s="272"/>
      <c r="OT74" s="272"/>
      <c r="OU74" s="272"/>
      <c r="OV74" s="272"/>
      <c r="OW74" s="272"/>
      <c r="OX74" s="272"/>
      <c r="OY74" s="272"/>
      <c r="OZ74" s="272"/>
      <c r="PA74" s="272"/>
      <c r="PB74" s="272"/>
      <c r="PC74" s="272"/>
      <c r="PD74" s="272"/>
      <c r="PE74" s="272"/>
      <c r="PF74" s="272"/>
      <c r="PG74" s="272"/>
      <c r="PH74" s="272"/>
      <c r="PI74" s="272"/>
      <c r="PJ74" s="272"/>
      <c r="PK74" s="272"/>
      <c r="PL74" s="272"/>
      <c r="PM74" s="272"/>
      <c r="PN74" s="272"/>
      <c r="PO74" s="272"/>
      <c r="PP74" s="272"/>
      <c r="PQ74" s="272"/>
      <c r="PR74" s="272"/>
      <c r="PS74" s="272"/>
      <c r="PT74" s="272"/>
      <c r="PU74" s="272"/>
      <c r="PV74" s="272"/>
      <c r="PW74" s="272"/>
      <c r="PX74" s="272"/>
      <c r="PY74" s="272"/>
      <c r="PZ74" s="272"/>
      <c r="QA74" s="272"/>
      <c r="QB74" s="272"/>
      <c r="QC74" s="272"/>
      <c r="QD74" s="272"/>
      <c r="QE74" s="272"/>
      <c r="QF74" s="272"/>
      <c r="QG74" s="272"/>
      <c r="QH74" s="272"/>
      <c r="QI74" s="272"/>
      <c r="QJ74" s="272"/>
      <c r="QK74" s="272"/>
      <c r="QL74" s="272"/>
      <c r="QM74" s="272"/>
      <c r="QN74" s="272"/>
      <c r="QO74" s="272"/>
      <c r="QP74" s="272"/>
      <c r="QQ74" s="272"/>
      <c r="QR74" s="272"/>
      <c r="QS74" s="272"/>
      <c r="QT74" s="272"/>
      <c r="QU74" s="272"/>
      <c r="QV74" s="272"/>
      <c r="QW74" s="272"/>
      <c r="QX74" s="272"/>
      <c r="QY74" s="272"/>
      <c r="QZ74" s="272"/>
      <c r="RA74" s="272"/>
      <c r="RB74" s="272"/>
      <c r="RC74" s="272"/>
      <c r="RD74" s="272"/>
      <c r="RE74" s="272"/>
      <c r="RF74" s="272"/>
      <c r="RG74" s="272"/>
      <c r="RH74" s="272"/>
      <c r="RI74" s="272"/>
      <c r="RJ74" s="272"/>
      <c r="RK74" s="272"/>
      <c r="RL74" s="272"/>
      <c r="RM74" s="272"/>
      <c r="RN74" s="272"/>
      <c r="RO74" s="272"/>
      <c r="RP74" s="272"/>
      <c r="RQ74" s="272"/>
      <c r="RR74" s="272"/>
      <c r="RS74" s="272"/>
      <c r="RT74" s="272"/>
      <c r="RU74" s="272"/>
      <c r="RV74" s="272"/>
      <c r="RW74" s="272"/>
      <c r="RX74" s="272"/>
      <c r="RY74" s="272"/>
      <c r="RZ74" s="272"/>
      <c r="SA74" s="272"/>
      <c r="SB74" s="272"/>
      <c r="SC74" s="272"/>
      <c r="SD74" s="272"/>
      <c r="SE74" s="272"/>
      <c r="SF74" s="272"/>
      <c r="SG74" s="272"/>
      <c r="SH74" s="272"/>
      <c r="SI74" s="272"/>
      <c r="SJ74" s="272"/>
      <c r="SK74" s="272"/>
      <c r="SL74" s="272"/>
      <c r="SM74" s="272"/>
      <c r="SN74" s="272"/>
      <c r="SO74" s="272"/>
      <c r="SP74" s="272"/>
      <c r="SQ74" s="272"/>
      <c r="SR74" s="272"/>
      <c r="SS74" s="272"/>
      <c r="ST74" s="272"/>
      <c r="SU74" s="272"/>
      <c r="SV74" s="272"/>
      <c r="SW74" s="272"/>
      <c r="SX74" s="272"/>
      <c r="SY74" s="272"/>
      <c r="SZ74" s="272"/>
      <c r="TA74" s="272"/>
      <c r="TB74" s="272"/>
      <c r="TC74" s="272"/>
      <c r="TD74" s="272"/>
      <c r="TE74" s="272"/>
      <c r="TF74" s="272"/>
      <c r="TG74" s="272"/>
      <c r="TH74" s="272"/>
      <c r="TI74" s="272"/>
      <c r="TJ74" s="272"/>
      <c r="TK74" s="272"/>
      <c r="TL74" s="272"/>
      <c r="TM74" s="272"/>
      <c r="TN74" s="272"/>
      <c r="TO74" s="272"/>
      <c r="TP74" s="272"/>
      <c r="TQ74" s="272"/>
      <c r="TR74" s="272"/>
      <c r="TS74" s="272"/>
      <c r="TT74" s="272"/>
      <c r="TU74" s="272"/>
      <c r="TV74" s="272"/>
      <c r="TW74" s="272"/>
      <c r="TX74" s="272"/>
      <c r="TY74" s="272"/>
      <c r="TZ74" s="272"/>
      <c r="UA74" s="272"/>
      <c r="UB74" s="272"/>
      <c r="UC74" s="272"/>
      <c r="UD74" s="272"/>
      <c r="UE74" s="272"/>
      <c r="UF74" s="272"/>
      <c r="UG74" s="272"/>
      <c r="UH74" s="272"/>
      <c r="UI74" s="272"/>
      <c r="UJ74" s="272"/>
      <c r="UK74" s="272"/>
      <c r="UL74" s="272"/>
      <c r="UM74" s="272"/>
      <c r="UN74" s="272"/>
      <c r="UO74" s="272"/>
      <c r="UP74" s="272"/>
      <c r="UQ74" s="272"/>
      <c r="UR74" s="272"/>
      <c r="US74" s="272"/>
      <c r="UT74" s="272"/>
      <c r="UU74" s="272"/>
      <c r="UV74" s="272"/>
      <c r="UW74" s="272"/>
      <c r="UX74" s="272"/>
      <c r="UY74" s="272"/>
      <c r="UZ74" s="272"/>
      <c r="VA74" s="272"/>
      <c r="VB74" s="272"/>
      <c r="VC74" s="272"/>
      <c r="VD74" s="272"/>
      <c r="VE74" s="272"/>
      <c r="VF74" s="272"/>
      <c r="VG74" s="272"/>
      <c r="VH74" s="272"/>
      <c r="VI74" s="272"/>
      <c r="VJ74" s="272"/>
      <c r="VK74" s="272"/>
      <c r="VL74" s="272"/>
      <c r="VM74" s="272"/>
      <c r="VN74" s="272"/>
      <c r="VO74" s="272"/>
      <c r="VP74" s="272"/>
      <c r="VQ74" s="272"/>
      <c r="VR74" s="272"/>
      <c r="VS74" s="272"/>
      <c r="VT74" s="272"/>
      <c r="VU74" s="272"/>
      <c r="VV74" s="272"/>
      <c r="VW74" s="272"/>
      <c r="VX74" s="272"/>
      <c r="VY74" s="272"/>
      <c r="VZ74" s="272"/>
      <c r="WA74" s="272"/>
      <c r="WB74" s="272"/>
      <c r="WC74" s="272"/>
      <c r="WD74" s="272"/>
      <c r="WE74" s="272"/>
      <c r="WF74" s="272"/>
      <c r="WG74" s="272"/>
      <c r="WH74" s="272"/>
      <c r="WI74" s="272"/>
      <c r="WJ74" s="272"/>
      <c r="WK74" s="272"/>
      <c r="WL74" s="272"/>
      <c r="WM74" s="272"/>
      <c r="WN74" s="272"/>
      <c r="WO74" s="272"/>
      <c r="WP74" s="272"/>
      <c r="WQ74" s="272"/>
      <c r="WR74" s="272"/>
      <c r="WS74" s="272"/>
      <c r="WT74" s="272"/>
      <c r="WU74" s="272"/>
      <c r="WV74" s="272"/>
      <c r="WW74" s="272"/>
      <c r="WX74" s="272"/>
      <c r="WY74" s="272"/>
      <c r="WZ74" s="272"/>
      <c r="XA74" s="272"/>
      <c r="XB74" s="272"/>
      <c r="XC74" s="272"/>
      <c r="XD74" s="272"/>
      <c r="XE74" s="272"/>
      <c r="XF74" s="272"/>
      <c r="XG74" s="272"/>
      <c r="XH74" s="272"/>
      <c r="XI74" s="272"/>
      <c r="XJ74" s="272"/>
      <c r="XK74" s="272"/>
      <c r="XL74" s="272"/>
      <c r="XM74" s="272"/>
      <c r="XN74" s="272"/>
      <c r="XO74" s="272"/>
      <c r="XP74" s="272"/>
      <c r="XQ74" s="272"/>
      <c r="XR74" s="272"/>
      <c r="XS74" s="272"/>
      <c r="XT74" s="272"/>
      <c r="XU74" s="272"/>
      <c r="XV74" s="272"/>
      <c r="XW74" s="272"/>
      <c r="XX74" s="272"/>
      <c r="XY74" s="272"/>
      <c r="XZ74" s="272"/>
      <c r="YA74" s="272"/>
      <c r="YB74" s="272"/>
      <c r="YC74" s="272"/>
      <c r="YD74" s="272"/>
      <c r="YE74" s="272"/>
      <c r="YF74" s="272"/>
      <c r="YG74" s="272"/>
      <c r="YH74" s="272"/>
      <c r="YI74" s="272"/>
      <c r="YJ74" s="272"/>
      <c r="YK74" s="272"/>
      <c r="YL74" s="272"/>
      <c r="YM74" s="272"/>
      <c r="YN74" s="272"/>
      <c r="YO74" s="272"/>
      <c r="YP74" s="272"/>
      <c r="YQ74" s="272"/>
      <c r="YR74" s="272"/>
      <c r="YS74" s="272"/>
      <c r="YT74" s="272"/>
      <c r="YU74" s="272"/>
      <c r="YV74" s="272"/>
      <c r="YW74" s="272"/>
      <c r="YX74" s="272"/>
      <c r="YY74" s="272"/>
      <c r="YZ74" s="272"/>
      <c r="ZA74" s="272"/>
      <c r="ZB74" s="272"/>
      <c r="ZC74" s="272"/>
      <c r="ZD74" s="272"/>
      <c r="ZE74" s="272"/>
      <c r="ZF74" s="272"/>
      <c r="ZG74" s="272"/>
      <c r="ZH74" s="272"/>
      <c r="ZI74" s="272"/>
      <c r="ZJ74" s="272"/>
      <c r="ZK74" s="272"/>
      <c r="ZL74" s="272"/>
      <c r="ZM74" s="272"/>
      <c r="ZN74" s="272"/>
      <c r="ZO74" s="272"/>
      <c r="ZP74" s="272"/>
      <c r="ZQ74" s="272"/>
      <c r="ZR74" s="272"/>
      <c r="ZS74" s="272"/>
      <c r="ZT74" s="272"/>
      <c r="ZU74" s="272"/>
      <c r="ZV74" s="272"/>
      <c r="ZW74" s="272"/>
      <c r="ZX74" s="272"/>
      <c r="ZY74" s="272"/>
      <c r="ZZ74" s="272"/>
      <c r="AAA74" s="272"/>
      <c r="AAB74" s="272"/>
      <c r="AAC74" s="272"/>
      <c r="AAD74" s="272"/>
      <c r="AAE74" s="272"/>
      <c r="AAF74" s="272"/>
      <c r="AAG74" s="272"/>
      <c r="AAH74" s="272"/>
      <c r="AAI74" s="272"/>
      <c r="AAJ74" s="272"/>
      <c r="AAK74" s="272"/>
      <c r="AAL74" s="272"/>
      <c r="AAM74" s="272"/>
      <c r="AAN74" s="272"/>
      <c r="AAO74" s="272"/>
      <c r="AAP74" s="272"/>
      <c r="AAQ74" s="272"/>
      <c r="AAR74" s="272"/>
      <c r="AAS74" s="272"/>
      <c r="AAT74" s="272"/>
      <c r="AAU74" s="272"/>
      <c r="AAV74" s="272"/>
      <c r="AAW74" s="272"/>
      <c r="AAX74" s="272"/>
      <c r="AAY74" s="272"/>
      <c r="AAZ74" s="272"/>
      <c r="ABA74" s="272"/>
      <c r="ABB74" s="272"/>
      <c r="ABC74" s="272"/>
      <c r="ABD74" s="272"/>
      <c r="ABE74" s="272"/>
      <c r="ABF74" s="272"/>
      <c r="ABG74" s="272"/>
    </row>
    <row r="75" spans="1:735" s="19" customFormat="1" ht="15">
      <c r="A75" s="607"/>
      <c r="B75" s="597"/>
      <c r="C75" s="55" t="s">
        <v>53</v>
      </c>
      <c r="D75" s="55"/>
      <c r="E75" s="57"/>
      <c r="F75" s="263"/>
      <c r="G75" s="388"/>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c r="CE75" s="272"/>
      <c r="CF75" s="272"/>
      <c r="CG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272"/>
      <c r="FO75" s="272"/>
      <c r="FP75" s="272"/>
      <c r="FQ75" s="272"/>
      <c r="FR75" s="272"/>
      <c r="FS75" s="272"/>
      <c r="FT75" s="272"/>
      <c r="FU75" s="272"/>
      <c r="FV75" s="272"/>
      <c r="FW75" s="272"/>
      <c r="FX75" s="272"/>
      <c r="FY75" s="272"/>
      <c r="FZ75" s="272"/>
      <c r="GA75" s="272"/>
      <c r="GB75" s="272"/>
      <c r="GC75" s="272"/>
      <c r="GD75" s="272"/>
      <c r="GE75" s="272"/>
      <c r="GF75" s="272"/>
      <c r="GG75" s="272"/>
      <c r="GH75" s="272"/>
      <c r="GI75" s="272"/>
      <c r="GJ75" s="272"/>
      <c r="GK75" s="272"/>
      <c r="GL75" s="272"/>
      <c r="GM75" s="272"/>
      <c r="GN75" s="272"/>
      <c r="GO75" s="272"/>
      <c r="GP75" s="272"/>
      <c r="GQ75" s="272"/>
      <c r="GR75" s="272"/>
      <c r="GS75" s="272"/>
      <c r="GT75" s="272"/>
      <c r="GU75" s="272"/>
      <c r="GV75" s="272"/>
      <c r="GW75" s="272"/>
      <c r="GX75" s="272"/>
      <c r="GY75" s="272"/>
      <c r="GZ75" s="272"/>
      <c r="HA75" s="272"/>
      <c r="HB75" s="272"/>
      <c r="HC75" s="272"/>
      <c r="HD75" s="272"/>
      <c r="HE75" s="272"/>
      <c r="HF75" s="272"/>
      <c r="HG75" s="272"/>
      <c r="HH75" s="272"/>
      <c r="HI75" s="272"/>
      <c r="HJ75" s="272"/>
      <c r="HK75" s="272"/>
      <c r="HL75" s="272"/>
      <c r="HM75" s="272"/>
      <c r="HN75" s="272"/>
      <c r="HO75" s="272"/>
      <c r="HP75" s="272"/>
      <c r="HQ75" s="272"/>
      <c r="HR75" s="272"/>
      <c r="HS75" s="272"/>
      <c r="HT75" s="272"/>
      <c r="HU75" s="272"/>
      <c r="HV75" s="272"/>
      <c r="HW75" s="272"/>
      <c r="HX75" s="272"/>
      <c r="HY75" s="272"/>
      <c r="HZ75" s="272"/>
      <c r="IA75" s="272"/>
      <c r="IB75" s="272"/>
      <c r="IC75" s="272"/>
      <c r="ID75" s="272"/>
      <c r="IE75" s="272"/>
      <c r="IF75" s="272"/>
      <c r="IG75" s="272"/>
      <c r="IH75" s="272"/>
      <c r="II75" s="272"/>
      <c r="IJ75" s="272"/>
      <c r="IK75" s="272"/>
      <c r="IL75" s="272"/>
      <c r="IM75" s="272"/>
      <c r="IN75" s="272"/>
      <c r="IO75" s="272"/>
      <c r="IP75" s="272"/>
      <c r="IQ75" s="272"/>
      <c r="IR75" s="272"/>
      <c r="IS75" s="272"/>
      <c r="IT75" s="272"/>
      <c r="IU75" s="272"/>
      <c r="IV75" s="272"/>
      <c r="IW75" s="272"/>
      <c r="IX75" s="272"/>
      <c r="IY75" s="272"/>
      <c r="IZ75" s="272"/>
      <c r="JA75" s="272"/>
      <c r="JB75" s="272"/>
      <c r="JC75" s="272"/>
      <c r="JD75" s="272"/>
      <c r="JE75" s="272"/>
      <c r="JF75" s="272"/>
      <c r="JG75" s="272"/>
      <c r="JH75" s="272"/>
      <c r="JI75" s="272"/>
      <c r="JJ75" s="272"/>
      <c r="JK75" s="272"/>
      <c r="JL75" s="272"/>
      <c r="JM75" s="272"/>
      <c r="JN75" s="272"/>
      <c r="JO75" s="272"/>
      <c r="JP75" s="272"/>
      <c r="JQ75" s="272"/>
      <c r="JR75" s="272"/>
      <c r="JS75" s="272"/>
      <c r="JT75" s="272"/>
      <c r="JU75" s="272"/>
      <c r="JV75" s="272"/>
      <c r="JW75" s="272"/>
      <c r="JX75" s="272"/>
      <c r="JY75" s="272"/>
      <c r="JZ75" s="272"/>
      <c r="KA75" s="272"/>
      <c r="KB75" s="272"/>
      <c r="KC75" s="272"/>
      <c r="KD75" s="272"/>
      <c r="KE75" s="272"/>
      <c r="KF75" s="272"/>
      <c r="KG75" s="272"/>
      <c r="KH75" s="272"/>
      <c r="KI75" s="272"/>
      <c r="KJ75" s="272"/>
      <c r="KK75" s="272"/>
      <c r="KL75" s="272"/>
      <c r="KM75" s="272"/>
      <c r="KN75" s="272"/>
      <c r="KO75" s="272"/>
      <c r="KP75" s="272"/>
      <c r="KQ75" s="272"/>
      <c r="KR75" s="272"/>
      <c r="KS75" s="272"/>
      <c r="KT75" s="272"/>
      <c r="KU75" s="272"/>
      <c r="KV75" s="272"/>
      <c r="KW75" s="272"/>
      <c r="KX75" s="272"/>
      <c r="KY75" s="272"/>
      <c r="KZ75" s="272"/>
      <c r="LA75" s="272"/>
      <c r="LB75" s="272"/>
      <c r="LC75" s="272"/>
      <c r="LD75" s="272"/>
      <c r="LE75" s="272"/>
      <c r="LF75" s="272"/>
      <c r="LG75" s="272"/>
      <c r="LH75" s="272"/>
      <c r="LI75" s="272"/>
      <c r="LJ75" s="272"/>
      <c r="LK75" s="272"/>
      <c r="LL75" s="272"/>
      <c r="LM75" s="272"/>
      <c r="LN75" s="272"/>
      <c r="LO75" s="272"/>
      <c r="LP75" s="272"/>
      <c r="LQ75" s="272"/>
      <c r="LR75" s="272"/>
      <c r="LS75" s="272"/>
      <c r="LT75" s="272"/>
      <c r="LU75" s="272"/>
      <c r="LV75" s="272"/>
      <c r="LW75" s="272"/>
      <c r="LX75" s="272"/>
      <c r="LY75" s="272"/>
      <c r="LZ75" s="272"/>
      <c r="MA75" s="272"/>
      <c r="MB75" s="272"/>
      <c r="MC75" s="272"/>
      <c r="MD75" s="272"/>
      <c r="ME75" s="272"/>
      <c r="MF75" s="272"/>
      <c r="MG75" s="272"/>
      <c r="MH75" s="272"/>
      <c r="MI75" s="272"/>
      <c r="MJ75" s="272"/>
      <c r="MK75" s="272"/>
      <c r="ML75" s="272"/>
      <c r="MM75" s="272"/>
      <c r="MN75" s="272"/>
      <c r="MO75" s="272"/>
      <c r="MP75" s="272"/>
      <c r="MQ75" s="272"/>
      <c r="MR75" s="272"/>
      <c r="MS75" s="272"/>
      <c r="MT75" s="272"/>
      <c r="MU75" s="272"/>
      <c r="MV75" s="272"/>
      <c r="MW75" s="272"/>
      <c r="MX75" s="272"/>
      <c r="MY75" s="272"/>
      <c r="MZ75" s="272"/>
      <c r="NA75" s="272"/>
      <c r="NB75" s="272"/>
      <c r="NC75" s="272"/>
      <c r="ND75" s="272"/>
      <c r="NE75" s="272"/>
      <c r="NF75" s="272"/>
      <c r="NG75" s="272"/>
      <c r="NH75" s="272"/>
      <c r="NI75" s="272"/>
      <c r="NJ75" s="272"/>
      <c r="NK75" s="272"/>
      <c r="NL75" s="272"/>
      <c r="NM75" s="272"/>
      <c r="NN75" s="272"/>
      <c r="NO75" s="272"/>
      <c r="NP75" s="272"/>
      <c r="NQ75" s="272"/>
      <c r="NR75" s="272"/>
      <c r="NS75" s="272"/>
      <c r="NT75" s="272"/>
      <c r="NU75" s="272"/>
      <c r="NV75" s="272"/>
      <c r="NW75" s="272"/>
      <c r="NX75" s="272"/>
      <c r="NY75" s="272"/>
      <c r="NZ75" s="272"/>
      <c r="OA75" s="272"/>
      <c r="OB75" s="272"/>
      <c r="OC75" s="272"/>
      <c r="OD75" s="272"/>
      <c r="OE75" s="272"/>
      <c r="OF75" s="272"/>
      <c r="OG75" s="272"/>
      <c r="OH75" s="272"/>
      <c r="OI75" s="272"/>
      <c r="OJ75" s="272"/>
      <c r="OK75" s="272"/>
      <c r="OL75" s="272"/>
      <c r="OM75" s="272"/>
      <c r="ON75" s="272"/>
      <c r="OO75" s="272"/>
      <c r="OP75" s="272"/>
      <c r="OQ75" s="272"/>
      <c r="OR75" s="272"/>
      <c r="OS75" s="272"/>
      <c r="OT75" s="272"/>
      <c r="OU75" s="272"/>
      <c r="OV75" s="272"/>
      <c r="OW75" s="272"/>
      <c r="OX75" s="272"/>
      <c r="OY75" s="272"/>
      <c r="OZ75" s="272"/>
      <c r="PA75" s="272"/>
      <c r="PB75" s="272"/>
      <c r="PC75" s="272"/>
      <c r="PD75" s="272"/>
      <c r="PE75" s="272"/>
      <c r="PF75" s="272"/>
      <c r="PG75" s="272"/>
      <c r="PH75" s="272"/>
      <c r="PI75" s="272"/>
      <c r="PJ75" s="272"/>
      <c r="PK75" s="272"/>
      <c r="PL75" s="272"/>
      <c r="PM75" s="272"/>
      <c r="PN75" s="272"/>
      <c r="PO75" s="272"/>
      <c r="PP75" s="272"/>
      <c r="PQ75" s="272"/>
      <c r="PR75" s="272"/>
      <c r="PS75" s="272"/>
      <c r="PT75" s="272"/>
      <c r="PU75" s="272"/>
      <c r="PV75" s="272"/>
      <c r="PW75" s="272"/>
      <c r="PX75" s="272"/>
      <c r="PY75" s="272"/>
      <c r="PZ75" s="272"/>
      <c r="QA75" s="272"/>
      <c r="QB75" s="272"/>
      <c r="QC75" s="272"/>
      <c r="QD75" s="272"/>
      <c r="QE75" s="272"/>
      <c r="QF75" s="272"/>
      <c r="QG75" s="272"/>
      <c r="QH75" s="272"/>
      <c r="QI75" s="272"/>
      <c r="QJ75" s="272"/>
      <c r="QK75" s="272"/>
      <c r="QL75" s="272"/>
      <c r="QM75" s="272"/>
      <c r="QN75" s="272"/>
      <c r="QO75" s="272"/>
      <c r="QP75" s="272"/>
      <c r="QQ75" s="272"/>
      <c r="QR75" s="272"/>
      <c r="QS75" s="272"/>
      <c r="QT75" s="272"/>
      <c r="QU75" s="272"/>
      <c r="QV75" s="272"/>
      <c r="QW75" s="272"/>
      <c r="QX75" s="272"/>
      <c r="QY75" s="272"/>
      <c r="QZ75" s="272"/>
      <c r="RA75" s="272"/>
      <c r="RB75" s="272"/>
      <c r="RC75" s="272"/>
      <c r="RD75" s="272"/>
      <c r="RE75" s="272"/>
      <c r="RF75" s="272"/>
      <c r="RG75" s="272"/>
      <c r="RH75" s="272"/>
      <c r="RI75" s="272"/>
      <c r="RJ75" s="272"/>
      <c r="RK75" s="272"/>
      <c r="RL75" s="272"/>
      <c r="RM75" s="272"/>
      <c r="RN75" s="272"/>
      <c r="RO75" s="272"/>
      <c r="RP75" s="272"/>
      <c r="RQ75" s="272"/>
      <c r="RR75" s="272"/>
      <c r="RS75" s="272"/>
      <c r="RT75" s="272"/>
      <c r="RU75" s="272"/>
      <c r="RV75" s="272"/>
      <c r="RW75" s="272"/>
      <c r="RX75" s="272"/>
      <c r="RY75" s="272"/>
      <c r="RZ75" s="272"/>
      <c r="SA75" s="272"/>
      <c r="SB75" s="272"/>
      <c r="SC75" s="272"/>
      <c r="SD75" s="272"/>
      <c r="SE75" s="272"/>
      <c r="SF75" s="272"/>
      <c r="SG75" s="272"/>
      <c r="SH75" s="272"/>
      <c r="SI75" s="272"/>
      <c r="SJ75" s="272"/>
      <c r="SK75" s="272"/>
      <c r="SL75" s="272"/>
      <c r="SM75" s="272"/>
      <c r="SN75" s="272"/>
      <c r="SO75" s="272"/>
      <c r="SP75" s="272"/>
      <c r="SQ75" s="272"/>
      <c r="SR75" s="272"/>
      <c r="SS75" s="272"/>
      <c r="ST75" s="272"/>
      <c r="SU75" s="272"/>
      <c r="SV75" s="272"/>
      <c r="SW75" s="272"/>
      <c r="SX75" s="272"/>
      <c r="SY75" s="272"/>
      <c r="SZ75" s="272"/>
      <c r="TA75" s="272"/>
      <c r="TB75" s="272"/>
      <c r="TC75" s="272"/>
      <c r="TD75" s="272"/>
      <c r="TE75" s="272"/>
      <c r="TF75" s="272"/>
      <c r="TG75" s="272"/>
      <c r="TH75" s="272"/>
      <c r="TI75" s="272"/>
      <c r="TJ75" s="272"/>
      <c r="TK75" s="272"/>
      <c r="TL75" s="272"/>
      <c r="TM75" s="272"/>
      <c r="TN75" s="272"/>
      <c r="TO75" s="272"/>
      <c r="TP75" s="272"/>
      <c r="TQ75" s="272"/>
      <c r="TR75" s="272"/>
      <c r="TS75" s="272"/>
      <c r="TT75" s="272"/>
      <c r="TU75" s="272"/>
      <c r="TV75" s="272"/>
      <c r="TW75" s="272"/>
      <c r="TX75" s="272"/>
      <c r="TY75" s="272"/>
      <c r="TZ75" s="272"/>
      <c r="UA75" s="272"/>
      <c r="UB75" s="272"/>
      <c r="UC75" s="272"/>
      <c r="UD75" s="272"/>
      <c r="UE75" s="272"/>
      <c r="UF75" s="272"/>
      <c r="UG75" s="272"/>
      <c r="UH75" s="272"/>
      <c r="UI75" s="272"/>
      <c r="UJ75" s="272"/>
      <c r="UK75" s="272"/>
      <c r="UL75" s="272"/>
      <c r="UM75" s="272"/>
      <c r="UN75" s="272"/>
      <c r="UO75" s="272"/>
      <c r="UP75" s="272"/>
      <c r="UQ75" s="272"/>
      <c r="UR75" s="272"/>
      <c r="US75" s="272"/>
      <c r="UT75" s="272"/>
      <c r="UU75" s="272"/>
      <c r="UV75" s="272"/>
      <c r="UW75" s="272"/>
      <c r="UX75" s="272"/>
      <c r="UY75" s="272"/>
      <c r="UZ75" s="272"/>
      <c r="VA75" s="272"/>
      <c r="VB75" s="272"/>
      <c r="VC75" s="272"/>
      <c r="VD75" s="272"/>
      <c r="VE75" s="272"/>
      <c r="VF75" s="272"/>
      <c r="VG75" s="272"/>
      <c r="VH75" s="272"/>
      <c r="VI75" s="272"/>
      <c r="VJ75" s="272"/>
      <c r="VK75" s="272"/>
      <c r="VL75" s="272"/>
      <c r="VM75" s="272"/>
      <c r="VN75" s="272"/>
      <c r="VO75" s="272"/>
      <c r="VP75" s="272"/>
      <c r="VQ75" s="272"/>
      <c r="VR75" s="272"/>
      <c r="VS75" s="272"/>
      <c r="VT75" s="272"/>
      <c r="VU75" s="272"/>
      <c r="VV75" s="272"/>
      <c r="VW75" s="272"/>
      <c r="VX75" s="272"/>
      <c r="VY75" s="272"/>
      <c r="VZ75" s="272"/>
      <c r="WA75" s="272"/>
      <c r="WB75" s="272"/>
      <c r="WC75" s="272"/>
      <c r="WD75" s="272"/>
      <c r="WE75" s="272"/>
      <c r="WF75" s="272"/>
      <c r="WG75" s="272"/>
      <c r="WH75" s="272"/>
      <c r="WI75" s="272"/>
      <c r="WJ75" s="272"/>
      <c r="WK75" s="272"/>
      <c r="WL75" s="272"/>
      <c r="WM75" s="272"/>
      <c r="WN75" s="272"/>
      <c r="WO75" s="272"/>
      <c r="WP75" s="272"/>
      <c r="WQ75" s="272"/>
      <c r="WR75" s="272"/>
      <c r="WS75" s="272"/>
      <c r="WT75" s="272"/>
      <c r="WU75" s="272"/>
      <c r="WV75" s="272"/>
      <c r="WW75" s="272"/>
      <c r="WX75" s="272"/>
      <c r="WY75" s="272"/>
      <c r="WZ75" s="272"/>
      <c r="XA75" s="272"/>
      <c r="XB75" s="272"/>
      <c r="XC75" s="272"/>
      <c r="XD75" s="272"/>
      <c r="XE75" s="272"/>
      <c r="XF75" s="272"/>
      <c r="XG75" s="272"/>
      <c r="XH75" s="272"/>
      <c r="XI75" s="272"/>
      <c r="XJ75" s="272"/>
      <c r="XK75" s="272"/>
      <c r="XL75" s="272"/>
      <c r="XM75" s="272"/>
      <c r="XN75" s="272"/>
      <c r="XO75" s="272"/>
      <c r="XP75" s="272"/>
      <c r="XQ75" s="272"/>
      <c r="XR75" s="272"/>
      <c r="XS75" s="272"/>
      <c r="XT75" s="272"/>
      <c r="XU75" s="272"/>
      <c r="XV75" s="272"/>
      <c r="XW75" s="272"/>
      <c r="XX75" s="272"/>
      <c r="XY75" s="272"/>
      <c r="XZ75" s="272"/>
      <c r="YA75" s="272"/>
      <c r="YB75" s="272"/>
      <c r="YC75" s="272"/>
      <c r="YD75" s="272"/>
      <c r="YE75" s="272"/>
      <c r="YF75" s="272"/>
      <c r="YG75" s="272"/>
      <c r="YH75" s="272"/>
      <c r="YI75" s="272"/>
      <c r="YJ75" s="272"/>
      <c r="YK75" s="272"/>
      <c r="YL75" s="272"/>
      <c r="YM75" s="272"/>
      <c r="YN75" s="272"/>
      <c r="YO75" s="272"/>
      <c r="YP75" s="272"/>
      <c r="YQ75" s="272"/>
      <c r="YR75" s="272"/>
      <c r="YS75" s="272"/>
      <c r="YT75" s="272"/>
      <c r="YU75" s="272"/>
      <c r="YV75" s="272"/>
      <c r="YW75" s="272"/>
      <c r="YX75" s="272"/>
      <c r="YY75" s="272"/>
      <c r="YZ75" s="272"/>
      <c r="ZA75" s="272"/>
      <c r="ZB75" s="272"/>
      <c r="ZC75" s="272"/>
      <c r="ZD75" s="272"/>
      <c r="ZE75" s="272"/>
      <c r="ZF75" s="272"/>
      <c r="ZG75" s="272"/>
      <c r="ZH75" s="272"/>
      <c r="ZI75" s="272"/>
      <c r="ZJ75" s="272"/>
      <c r="ZK75" s="272"/>
      <c r="ZL75" s="272"/>
      <c r="ZM75" s="272"/>
      <c r="ZN75" s="272"/>
      <c r="ZO75" s="272"/>
      <c r="ZP75" s="272"/>
      <c r="ZQ75" s="272"/>
      <c r="ZR75" s="272"/>
      <c r="ZS75" s="272"/>
      <c r="ZT75" s="272"/>
      <c r="ZU75" s="272"/>
      <c r="ZV75" s="272"/>
      <c r="ZW75" s="272"/>
      <c r="ZX75" s="272"/>
      <c r="ZY75" s="272"/>
      <c r="ZZ75" s="272"/>
      <c r="AAA75" s="272"/>
      <c r="AAB75" s="272"/>
      <c r="AAC75" s="272"/>
      <c r="AAD75" s="272"/>
      <c r="AAE75" s="272"/>
      <c r="AAF75" s="272"/>
      <c r="AAG75" s="272"/>
      <c r="AAH75" s="272"/>
      <c r="AAI75" s="272"/>
      <c r="AAJ75" s="272"/>
      <c r="AAK75" s="272"/>
      <c r="AAL75" s="272"/>
      <c r="AAM75" s="272"/>
      <c r="AAN75" s="272"/>
      <c r="AAO75" s="272"/>
      <c r="AAP75" s="272"/>
      <c r="AAQ75" s="272"/>
      <c r="AAR75" s="272"/>
      <c r="AAS75" s="272"/>
      <c r="AAT75" s="272"/>
      <c r="AAU75" s="272"/>
      <c r="AAV75" s="272"/>
      <c r="AAW75" s="272"/>
      <c r="AAX75" s="272"/>
      <c r="AAY75" s="272"/>
      <c r="AAZ75" s="272"/>
      <c r="ABA75" s="272"/>
      <c r="ABB75" s="272"/>
      <c r="ABC75" s="272"/>
      <c r="ABD75" s="272"/>
      <c r="ABE75" s="272"/>
      <c r="ABF75" s="272"/>
      <c r="ABG75" s="272"/>
    </row>
    <row r="76" spans="1:735" s="62" customFormat="1" ht="13.5" thickBot="1">
      <c r="A76" s="617"/>
      <c r="B76" s="609"/>
      <c r="C76" s="28" t="s">
        <v>54</v>
      </c>
      <c r="D76" s="513"/>
      <c r="E76" s="514"/>
      <c r="F76" s="515"/>
      <c r="G76" s="516"/>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2"/>
      <c r="CD76" s="272"/>
      <c r="CE76" s="272"/>
      <c r="CF76" s="272"/>
      <c r="CG76" s="272"/>
      <c r="CH76" s="272"/>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2"/>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c r="ET76" s="272"/>
      <c r="EU76" s="272"/>
      <c r="EV76" s="272"/>
      <c r="EW76" s="272"/>
      <c r="EX76" s="272"/>
      <c r="EY76" s="272"/>
      <c r="EZ76" s="272"/>
      <c r="FA76" s="272"/>
      <c r="FB76" s="272"/>
      <c r="FC76" s="272"/>
      <c r="FD76" s="272"/>
      <c r="FE76" s="272"/>
      <c r="FF76" s="272"/>
      <c r="FG76" s="272"/>
      <c r="FH76" s="272"/>
      <c r="FI76" s="272"/>
      <c r="FJ76" s="272"/>
      <c r="FK76" s="272"/>
      <c r="FL76" s="272"/>
      <c r="FM76" s="272"/>
      <c r="FN76" s="272"/>
      <c r="FO76" s="272"/>
      <c r="FP76" s="272"/>
      <c r="FQ76" s="272"/>
      <c r="FR76" s="272"/>
      <c r="FS76" s="272"/>
      <c r="FT76" s="272"/>
      <c r="FU76" s="272"/>
      <c r="FV76" s="272"/>
      <c r="FW76" s="272"/>
      <c r="FX76" s="272"/>
      <c r="FY76" s="272"/>
      <c r="FZ76" s="272"/>
      <c r="GA76" s="272"/>
      <c r="GB76" s="272"/>
      <c r="GC76" s="272"/>
      <c r="GD76" s="272"/>
      <c r="GE76" s="272"/>
      <c r="GF76" s="272"/>
      <c r="GG76" s="272"/>
      <c r="GH76" s="272"/>
      <c r="GI76" s="272"/>
      <c r="GJ76" s="272"/>
      <c r="GK76" s="272"/>
      <c r="GL76" s="272"/>
      <c r="GM76" s="272"/>
      <c r="GN76" s="272"/>
      <c r="GO76" s="272"/>
      <c r="GP76" s="272"/>
      <c r="GQ76" s="272"/>
      <c r="GR76" s="272"/>
      <c r="GS76" s="272"/>
      <c r="GT76" s="272"/>
      <c r="GU76" s="272"/>
      <c r="GV76" s="272"/>
      <c r="GW76" s="272"/>
      <c r="GX76" s="272"/>
      <c r="GY76" s="272"/>
      <c r="GZ76" s="272"/>
      <c r="HA76" s="272"/>
      <c r="HB76" s="272"/>
      <c r="HC76" s="272"/>
      <c r="HD76" s="272"/>
      <c r="HE76" s="272"/>
      <c r="HF76" s="272"/>
      <c r="HG76" s="272"/>
      <c r="HH76" s="272"/>
      <c r="HI76" s="272"/>
      <c r="HJ76" s="272"/>
      <c r="HK76" s="272"/>
      <c r="HL76" s="272"/>
      <c r="HM76" s="272"/>
      <c r="HN76" s="272"/>
      <c r="HO76" s="272"/>
      <c r="HP76" s="272"/>
      <c r="HQ76" s="272"/>
      <c r="HR76" s="272"/>
      <c r="HS76" s="272"/>
      <c r="HT76" s="272"/>
      <c r="HU76" s="272"/>
      <c r="HV76" s="272"/>
      <c r="HW76" s="272"/>
      <c r="HX76" s="272"/>
      <c r="HY76" s="272"/>
      <c r="HZ76" s="272"/>
      <c r="IA76" s="272"/>
      <c r="IB76" s="272"/>
      <c r="IC76" s="272"/>
      <c r="ID76" s="272"/>
      <c r="IE76" s="272"/>
      <c r="IF76" s="272"/>
      <c r="IG76" s="272"/>
      <c r="IH76" s="272"/>
      <c r="II76" s="272"/>
      <c r="IJ76" s="272"/>
      <c r="IK76" s="272"/>
      <c r="IL76" s="272"/>
      <c r="IM76" s="272"/>
      <c r="IN76" s="272"/>
      <c r="IO76" s="272"/>
      <c r="IP76" s="272"/>
      <c r="IQ76" s="272"/>
      <c r="IR76" s="272"/>
      <c r="IS76" s="272"/>
      <c r="IT76" s="272"/>
      <c r="IU76" s="272"/>
      <c r="IV76" s="272"/>
      <c r="IW76" s="272"/>
      <c r="IX76" s="272"/>
      <c r="IY76" s="272"/>
      <c r="IZ76" s="272"/>
      <c r="JA76" s="272"/>
      <c r="JB76" s="272"/>
      <c r="JC76" s="272"/>
      <c r="JD76" s="272"/>
      <c r="JE76" s="272"/>
      <c r="JF76" s="272"/>
      <c r="JG76" s="272"/>
      <c r="JH76" s="272"/>
      <c r="JI76" s="272"/>
      <c r="JJ76" s="272"/>
      <c r="JK76" s="272"/>
      <c r="JL76" s="272"/>
      <c r="JM76" s="272"/>
      <c r="JN76" s="272"/>
      <c r="JO76" s="272"/>
      <c r="JP76" s="272"/>
      <c r="JQ76" s="272"/>
      <c r="JR76" s="272"/>
      <c r="JS76" s="272"/>
      <c r="JT76" s="272"/>
      <c r="JU76" s="272"/>
      <c r="JV76" s="272"/>
      <c r="JW76" s="272"/>
      <c r="JX76" s="272"/>
      <c r="JY76" s="272"/>
      <c r="JZ76" s="272"/>
      <c r="KA76" s="272"/>
      <c r="KB76" s="272"/>
      <c r="KC76" s="272"/>
      <c r="KD76" s="272"/>
      <c r="KE76" s="272"/>
      <c r="KF76" s="272"/>
      <c r="KG76" s="272"/>
      <c r="KH76" s="272"/>
      <c r="KI76" s="272"/>
      <c r="KJ76" s="272"/>
      <c r="KK76" s="272"/>
      <c r="KL76" s="272"/>
      <c r="KM76" s="272"/>
      <c r="KN76" s="272"/>
      <c r="KO76" s="272"/>
      <c r="KP76" s="272"/>
      <c r="KQ76" s="272"/>
      <c r="KR76" s="272"/>
      <c r="KS76" s="272"/>
      <c r="KT76" s="272"/>
      <c r="KU76" s="272"/>
      <c r="KV76" s="272"/>
      <c r="KW76" s="272"/>
      <c r="KX76" s="272"/>
      <c r="KY76" s="272"/>
      <c r="KZ76" s="272"/>
      <c r="LA76" s="272"/>
      <c r="LB76" s="272"/>
      <c r="LC76" s="272"/>
      <c r="LD76" s="272"/>
      <c r="LE76" s="272"/>
      <c r="LF76" s="272"/>
      <c r="LG76" s="272"/>
      <c r="LH76" s="272"/>
      <c r="LI76" s="272"/>
      <c r="LJ76" s="272"/>
      <c r="LK76" s="272"/>
      <c r="LL76" s="272"/>
      <c r="LM76" s="272"/>
      <c r="LN76" s="272"/>
      <c r="LO76" s="272"/>
      <c r="LP76" s="272"/>
      <c r="LQ76" s="272"/>
      <c r="LR76" s="272"/>
      <c r="LS76" s="272"/>
      <c r="LT76" s="272"/>
      <c r="LU76" s="272"/>
      <c r="LV76" s="272"/>
      <c r="LW76" s="272"/>
      <c r="LX76" s="272"/>
      <c r="LY76" s="272"/>
      <c r="LZ76" s="272"/>
      <c r="MA76" s="272"/>
      <c r="MB76" s="272"/>
      <c r="MC76" s="272"/>
      <c r="MD76" s="272"/>
      <c r="ME76" s="272"/>
      <c r="MF76" s="272"/>
      <c r="MG76" s="272"/>
      <c r="MH76" s="272"/>
      <c r="MI76" s="272"/>
      <c r="MJ76" s="272"/>
      <c r="MK76" s="272"/>
      <c r="ML76" s="272"/>
      <c r="MM76" s="272"/>
      <c r="MN76" s="272"/>
      <c r="MO76" s="272"/>
      <c r="MP76" s="272"/>
      <c r="MQ76" s="272"/>
      <c r="MR76" s="272"/>
      <c r="MS76" s="272"/>
      <c r="MT76" s="272"/>
      <c r="MU76" s="272"/>
      <c r="MV76" s="272"/>
      <c r="MW76" s="272"/>
      <c r="MX76" s="272"/>
      <c r="MY76" s="272"/>
      <c r="MZ76" s="272"/>
      <c r="NA76" s="272"/>
      <c r="NB76" s="272"/>
      <c r="NC76" s="272"/>
      <c r="ND76" s="272"/>
      <c r="NE76" s="272"/>
      <c r="NF76" s="272"/>
      <c r="NG76" s="272"/>
      <c r="NH76" s="272"/>
      <c r="NI76" s="272"/>
      <c r="NJ76" s="272"/>
      <c r="NK76" s="272"/>
      <c r="NL76" s="272"/>
      <c r="NM76" s="272"/>
      <c r="NN76" s="272"/>
      <c r="NO76" s="272"/>
      <c r="NP76" s="272"/>
      <c r="NQ76" s="272"/>
      <c r="NR76" s="272"/>
      <c r="NS76" s="272"/>
      <c r="NT76" s="272"/>
      <c r="NU76" s="272"/>
      <c r="NV76" s="272"/>
      <c r="NW76" s="272"/>
      <c r="NX76" s="272"/>
      <c r="NY76" s="272"/>
      <c r="NZ76" s="272"/>
      <c r="OA76" s="272"/>
      <c r="OB76" s="272"/>
      <c r="OC76" s="272"/>
      <c r="OD76" s="272"/>
      <c r="OE76" s="272"/>
      <c r="OF76" s="272"/>
      <c r="OG76" s="272"/>
      <c r="OH76" s="272"/>
      <c r="OI76" s="272"/>
      <c r="OJ76" s="272"/>
      <c r="OK76" s="272"/>
      <c r="OL76" s="272"/>
      <c r="OM76" s="272"/>
      <c r="ON76" s="272"/>
      <c r="OO76" s="272"/>
      <c r="OP76" s="272"/>
      <c r="OQ76" s="272"/>
      <c r="OR76" s="272"/>
      <c r="OS76" s="272"/>
      <c r="OT76" s="272"/>
      <c r="OU76" s="272"/>
      <c r="OV76" s="272"/>
      <c r="OW76" s="272"/>
      <c r="OX76" s="272"/>
      <c r="OY76" s="272"/>
      <c r="OZ76" s="272"/>
      <c r="PA76" s="272"/>
      <c r="PB76" s="272"/>
      <c r="PC76" s="272"/>
      <c r="PD76" s="272"/>
      <c r="PE76" s="272"/>
      <c r="PF76" s="272"/>
      <c r="PG76" s="272"/>
      <c r="PH76" s="272"/>
      <c r="PI76" s="272"/>
      <c r="PJ76" s="272"/>
      <c r="PK76" s="272"/>
      <c r="PL76" s="272"/>
      <c r="PM76" s="272"/>
      <c r="PN76" s="272"/>
      <c r="PO76" s="272"/>
      <c r="PP76" s="272"/>
      <c r="PQ76" s="272"/>
      <c r="PR76" s="272"/>
      <c r="PS76" s="272"/>
      <c r="PT76" s="272"/>
      <c r="PU76" s="272"/>
      <c r="PV76" s="272"/>
      <c r="PW76" s="272"/>
      <c r="PX76" s="272"/>
      <c r="PY76" s="272"/>
      <c r="PZ76" s="272"/>
      <c r="QA76" s="272"/>
      <c r="QB76" s="272"/>
      <c r="QC76" s="272"/>
      <c r="QD76" s="272"/>
      <c r="QE76" s="272"/>
      <c r="QF76" s="272"/>
      <c r="QG76" s="272"/>
      <c r="QH76" s="272"/>
      <c r="QI76" s="272"/>
      <c r="QJ76" s="272"/>
      <c r="QK76" s="272"/>
      <c r="QL76" s="272"/>
      <c r="QM76" s="272"/>
      <c r="QN76" s="272"/>
      <c r="QO76" s="272"/>
      <c r="QP76" s="272"/>
      <c r="QQ76" s="272"/>
      <c r="QR76" s="272"/>
      <c r="QS76" s="272"/>
      <c r="QT76" s="272"/>
      <c r="QU76" s="272"/>
      <c r="QV76" s="272"/>
      <c r="QW76" s="272"/>
      <c r="QX76" s="272"/>
      <c r="QY76" s="272"/>
      <c r="QZ76" s="272"/>
      <c r="RA76" s="272"/>
      <c r="RB76" s="272"/>
      <c r="RC76" s="272"/>
      <c r="RD76" s="272"/>
      <c r="RE76" s="272"/>
      <c r="RF76" s="272"/>
      <c r="RG76" s="272"/>
      <c r="RH76" s="272"/>
      <c r="RI76" s="272"/>
      <c r="RJ76" s="272"/>
      <c r="RK76" s="272"/>
      <c r="RL76" s="272"/>
      <c r="RM76" s="272"/>
      <c r="RN76" s="272"/>
      <c r="RO76" s="272"/>
      <c r="RP76" s="272"/>
      <c r="RQ76" s="272"/>
      <c r="RR76" s="272"/>
      <c r="RS76" s="272"/>
      <c r="RT76" s="272"/>
      <c r="RU76" s="272"/>
      <c r="RV76" s="272"/>
      <c r="RW76" s="272"/>
      <c r="RX76" s="272"/>
      <c r="RY76" s="272"/>
      <c r="RZ76" s="272"/>
      <c r="SA76" s="272"/>
      <c r="SB76" s="272"/>
      <c r="SC76" s="272"/>
      <c r="SD76" s="272"/>
      <c r="SE76" s="272"/>
      <c r="SF76" s="272"/>
      <c r="SG76" s="272"/>
      <c r="SH76" s="272"/>
      <c r="SI76" s="272"/>
      <c r="SJ76" s="272"/>
      <c r="SK76" s="272"/>
      <c r="SL76" s="272"/>
      <c r="SM76" s="272"/>
      <c r="SN76" s="272"/>
      <c r="SO76" s="272"/>
      <c r="SP76" s="272"/>
      <c r="SQ76" s="272"/>
      <c r="SR76" s="272"/>
      <c r="SS76" s="272"/>
      <c r="ST76" s="272"/>
      <c r="SU76" s="272"/>
      <c r="SV76" s="272"/>
      <c r="SW76" s="272"/>
      <c r="SX76" s="272"/>
      <c r="SY76" s="272"/>
      <c r="SZ76" s="272"/>
      <c r="TA76" s="272"/>
      <c r="TB76" s="272"/>
      <c r="TC76" s="272"/>
      <c r="TD76" s="272"/>
      <c r="TE76" s="272"/>
      <c r="TF76" s="272"/>
      <c r="TG76" s="272"/>
      <c r="TH76" s="272"/>
      <c r="TI76" s="272"/>
      <c r="TJ76" s="272"/>
      <c r="TK76" s="272"/>
      <c r="TL76" s="272"/>
      <c r="TM76" s="272"/>
      <c r="TN76" s="272"/>
      <c r="TO76" s="272"/>
      <c r="TP76" s="272"/>
      <c r="TQ76" s="272"/>
      <c r="TR76" s="272"/>
      <c r="TS76" s="272"/>
      <c r="TT76" s="272"/>
      <c r="TU76" s="272"/>
      <c r="TV76" s="272"/>
      <c r="TW76" s="272"/>
      <c r="TX76" s="272"/>
      <c r="TY76" s="272"/>
      <c r="TZ76" s="272"/>
      <c r="UA76" s="272"/>
      <c r="UB76" s="272"/>
      <c r="UC76" s="272"/>
      <c r="UD76" s="272"/>
      <c r="UE76" s="272"/>
      <c r="UF76" s="272"/>
      <c r="UG76" s="272"/>
      <c r="UH76" s="272"/>
      <c r="UI76" s="272"/>
      <c r="UJ76" s="272"/>
      <c r="UK76" s="272"/>
      <c r="UL76" s="272"/>
      <c r="UM76" s="272"/>
      <c r="UN76" s="272"/>
      <c r="UO76" s="272"/>
      <c r="UP76" s="272"/>
      <c r="UQ76" s="272"/>
      <c r="UR76" s="272"/>
      <c r="US76" s="272"/>
      <c r="UT76" s="272"/>
      <c r="UU76" s="272"/>
      <c r="UV76" s="272"/>
      <c r="UW76" s="272"/>
      <c r="UX76" s="272"/>
      <c r="UY76" s="272"/>
      <c r="UZ76" s="272"/>
      <c r="VA76" s="272"/>
      <c r="VB76" s="272"/>
      <c r="VC76" s="272"/>
      <c r="VD76" s="272"/>
      <c r="VE76" s="272"/>
      <c r="VF76" s="272"/>
      <c r="VG76" s="272"/>
      <c r="VH76" s="272"/>
      <c r="VI76" s="272"/>
      <c r="VJ76" s="272"/>
      <c r="VK76" s="272"/>
      <c r="VL76" s="272"/>
      <c r="VM76" s="272"/>
      <c r="VN76" s="272"/>
      <c r="VO76" s="272"/>
      <c r="VP76" s="272"/>
      <c r="VQ76" s="272"/>
      <c r="VR76" s="272"/>
      <c r="VS76" s="272"/>
      <c r="VT76" s="272"/>
      <c r="VU76" s="272"/>
      <c r="VV76" s="272"/>
      <c r="VW76" s="272"/>
      <c r="VX76" s="272"/>
      <c r="VY76" s="272"/>
      <c r="VZ76" s="272"/>
      <c r="WA76" s="272"/>
      <c r="WB76" s="272"/>
      <c r="WC76" s="272"/>
      <c r="WD76" s="272"/>
      <c r="WE76" s="272"/>
      <c r="WF76" s="272"/>
      <c r="WG76" s="272"/>
      <c r="WH76" s="272"/>
      <c r="WI76" s="272"/>
      <c r="WJ76" s="272"/>
      <c r="WK76" s="272"/>
      <c r="WL76" s="272"/>
      <c r="WM76" s="272"/>
      <c r="WN76" s="272"/>
      <c r="WO76" s="272"/>
      <c r="WP76" s="272"/>
      <c r="WQ76" s="272"/>
      <c r="WR76" s="272"/>
      <c r="WS76" s="272"/>
      <c r="WT76" s="272"/>
      <c r="WU76" s="272"/>
      <c r="WV76" s="272"/>
      <c r="WW76" s="272"/>
      <c r="WX76" s="272"/>
      <c r="WY76" s="272"/>
      <c r="WZ76" s="272"/>
      <c r="XA76" s="272"/>
      <c r="XB76" s="272"/>
      <c r="XC76" s="272"/>
      <c r="XD76" s="272"/>
      <c r="XE76" s="272"/>
      <c r="XF76" s="272"/>
      <c r="XG76" s="272"/>
      <c r="XH76" s="272"/>
      <c r="XI76" s="272"/>
      <c r="XJ76" s="272"/>
      <c r="XK76" s="272"/>
      <c r="XL76" s="272"/>
      <c r="XM76" s="272"/>
      <c r="XN76" s="272"/>
      <c r="XO76" s="272"/>
      <c r="XP76" s="272"/>
      <c r="XQ76" s="272"/>
      <c r="XR76" s="272"/>
      <c r="XS76" s="272"/>
      <c r="XT76" s="272"/>
      <c r="XU76" s="272"/>
      <c r="XV76" s="272"/>
      <c r="XW76" s="272"/>
      <c r="XX76" s="272"/>
      <c r="XY76" s="272"/>
      <c r="XZ76" s="272"/>
      <c r="YA76" s="272"/>
      <c r="YB76" s="272"/>
      <c r="YC76" s="272"/>
      <c r="YD76" s="272"/>
      <c r="YE76" s="272"/>
      <c r="YF76" s="272"/>
      <c r="YG76" s="272"/>
      <c r="YH76" s="272"/>
      <c r="YI76" s="272"/>
      <c r="YJ76" s="272"/>
      <c r="YK76" s="272"/>
      <c r="YL76" s="272"/>
      <c r="YM76" s="272"/>
      <c r="YN76" s="272"/>
      <c r="YO76" s="272"/>
      <c r="YP76" s="272"/>
      <c r="YQ76" s="272"/>
      <c r="YR76" s="272"/>
      <c r="YS76" s="272"/>
      <c r="YT76" s="272"/>
      <c r="YU76" s="272"/>
      <c r="YV76" s="272"/>
      <c r="YW76" s="272"/>
      <c r="YX76" s="272"/>
      <c r="YY76" s="272"/>
      <c r="YZ76" s="272"/>
      <c r="ZA76" s="272"/>
      <c r="ZB76" s="272"/>
      <c r="ZC76" s="272"/>
      <c r="ZD76" s="272"/>
      <c r="ZE76" s="272"/>
      <c r="ZF76" s="272"/>
      <c r="ZG76" s="272"/>
      <c r="ZH76" s="272"/>
      <c r="ZI76" s="272"/>
      <c r="ZJ76" s="272"/>
      <c r="ZK76" s="272"/>
      <c r="ZL76" s="272"/>
      <c r="ZM76" s="272"/>
      <c r="ZN76" s="272"/>
      <c r="ZO76" s="272"/>
      <c r="ZP76" s="272"/>
      <c r="ZQ76" s="272"/>
      <c r="ZR76" s="272"/>
      <c r="ZS76" s="272"/>
      <c r="ZT76" s="272"/>
      <c r="ZU76" s="272"/>
      <c r="ZV76" s="272"/>
      <c r="ZW76" s="272"/>
      <c r="ZX76" s="272"/>
      <c r="ZY76" s="272"/>
      <c r="ZZ76" s="272"/>
      <c r="AAA76" s="272"/>
      <c r="AAB76" s="272"/>
      <c r="AAC76" s="272"/>
      <c r="AAD76" s="272"/>
      <c r="AAE76" s="272"/>
      <c r="AAF76" s="272"/>
      <c r="AAG76" s="272"/>
      <c r="AAH76" s="272"/>
      <c r="AAI76" s="272"/>
      <c r="AAJ76" s="272"/>
      <c r="AAK76" s="272"/>
      <c r="AAL76" s="272"/>
      <c r="AAM76" s="272"/>
      <c r="AAN76" s="272"/>
      <c r="AAO76" s="272"/>
      <c r="AAP76" s="272"/>
      <c r="AAQ76" s="272"/>
      <c r="AAR76" s="272"/>
      <c r="AAS76" s="272"/>
      <c r="AAT76" s="272"/>
      <c r="AAU76" s="272"/>
      <c r="AAV76" s="272"/>
      <c r="AAW76" s="272"/>
      <c r="AAX76" s="272"/>
      <c r="AAY76" s="272"/>
      <c r="AAZ76" s="272"/>
      <c r="ABA76" s="272"/>
      <c r="ABB76" s="272"/>
      <c r="ABC76" s="272"/>
      <c r="ABD76" s="272"/>
      <c r="ABE76" s="272"/>
      <c r="ABF76" s="272"/>
      <c r="ABG76" s="272"/>
    </row>
    <row r="77" spans="1:735" s="61" customFormat="1" ht="114.75">
      <c r="A77" s="37" t="s">
        <v>10</v>
      </c>
      <c r="B77" s="38" t="s">
        <v>66</v>
      </c>
      <c r="C77" s="26" t="s">
        <v>52</v>
      </c>
      <c r="D77" s="501"/>
      <c r="E77" s="518"/>
      <c r="F77" s="519"/>
      <c r="G77" s="520"/>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2"/>
      <c r="BU77" s="272"/>
      <c r="BV77" s="272"/>
      <c r="BW77" s="272"/>
      <c r="BX77" s="272"/>
      <c r="BY77" s="272"/>
      <c r="BZ77" s="272"/>
      <c r="CA77" s="272"/>
      <c r="CB77" s="272"/>
      <c r="CC77" s="272"/>
      <c r="CD77" s="272"/>
      <c r="CE77" s="272"/>
      <c r="CF77" s="272"/>
      <c r="CG77" s="272"/>
      <c r="CH77" s="272"/>
      <c r="CI77" s="272"/>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2"/>
      <c r="DF77" s="272"/>
      <c r="DG77" s="272"/>
      <c r="DH77" s="272"/>
      <c r="DI77" s="272"/>
      <c r="DJ77" s="272"/>
      <c r="DK77" s="272"/>
      <c r="DL77" s="272"/>
      <c r="DM77" s="272"/>
      <c r="DN77" s="272"/>
      <c r="DO77" s="272"/>
      <c r="DP77" s="272"/>
      <c r="DQ77" s="272"/>
      <c r="DR77" s="272"/>
      <c r="DS77" s="272"/>
      <c r="DT77" s="272"/>
      <c r="DU77" s="272"/>
      <c r="DV77" s="272"/>
      <c r="DW77" s="272"/>
      <c r="DX77" s="272"/>
      <c r="DY77" s="272"/>
      <c r="DZ77" s="272"/>
      <c r="EA77" s="272"/>
      <c r="EB77" s="272"/>
      <c r="EC77" s="272"/>
      <c r="ED77" s="272"/>
      <c r="EE77" s="272"/>
      <c r="EF77" s="272"/>
      <c r="EG77" s="272"/>
      <c r="EH77" s="272"/>
      <c r="EI77" s="272"/>
      <c r="EJ77" s="272"/>
      <c r="EK77" s="272"/>
      <c r="EL77" s="272"/>
      <c r="EM77" s="272"/>
      <c r="EN77" s="272"/>
      <c r="EO77" s="272"/>
      <c r="EP77" s="272"/>
      <c r="EQ77" s="272"/>
      <c r="ER77" s="272"/>
      <c r="ES77" s="272"/>
      <c r="ET77" s="272"/>
      <c r="EU77" s="272"/>
      <c r="EV77" s="272"/>
      <c r="EW77" s="272"/>
      <c r="EX77" s="272"/>
      <c r="EY77" s="272"/>
      <c r="EZ77" s="272"/>
      <c r="FA77" s="272"/>
      <c r="FB77" s="272"/>
      <c r="FC77" s="272"/>
      <c r="FD77" s="272"/>
      <c r="FE77" s="272"/>
      <c r="FF77" s="272"/>
      <c r="FG77" s="272"/>
      <c r="FH77" s="272"/>
      <c r="FI77" s="272"/>
      <c r="FJ77" s="272"/>
      <c r="FK77" s="272"/>
      <c r="FL77" s="272"/>
      <c r="FM77" s="272"/>
      <c r="FN77" s="272"/>
      <c r="FO77" s="272"/>
      <c r="FP77" s="272"/>
      <c r="FQ77" s="272"/>
      <c r="FR77" s="272"/>
      <c r="FS77" s="272"/>
      <c r="FT77" s="272"/>
      <c r="FU77" s="272"/>
      <c r="FV77" s="272"/>
      <c r="FW77" s="272"/>
      <c r="FX77" s="272"/>
      <c r="FY77" s="272"/>
      <c r="FZ77" s="272"/>
      <c r="GA77" s="272"/>
      <c r="GB77" s="272"/>
      <c r="GC77" s="272"/>
      <c r="GD77" s="272"/>
      <c r="GE77" s="272"/>
      <c r="GF77" s="272"/>
      <c r="GG77" s="272"/>
      <c r="GH77" s="272"/>
      <c r="GI77" s="272"/>
      <c r="GJ77" s="272"/>
      <c r="GK77" s="272"/>
      <c r="GL77" s="272"/>
      <c r="GM77" s="272"/>
      <c r="GN77" s="272"/>
      <c r="GO77" s="272"/>
      <c r="GP77" s="272"/>
      <c r="GQ77" s="272"/>
      <c r="GR77" s="272"/>
      <c r="GS77" s="272"/>
      <c r="GT77" s="272"/>
      <c r="GU77" s="272"/>
      <c r="GV77" s="272"/>
      <c r="GW77" s="272"/>
      <c r="GX77" s="272"/>
      <c r="GY77" s="272"/>
      <c r="GZ77" s="272"/>
      <c r="HA77" s="272"/>
      <c r="HB77" s="272"/>
      <c r="HC77" s="272"/>
      <c r="HD77" s="272"/>
      <c r="HE77" s="272"/>
      <c r="HF77" s="272"/>
      <c r="HG77" s="272"/>
      <c r="HH77" s="272"/>
      <c r="HI77" s="272"/>
      <c r="HJ77" s="272"/>
      <c r="HK77" s="272"/>
      <c r="HL77" s="272"/>
      <c r="HM77" s="272"/>
      <c r="HN77" s="272"/>
      <c r="HO77" s="272"/>
      <c r="HP77" s="272"/>
      <c r="HQ77" s="272"/>
      <c r="HR77" s="272"/>
      <c r="HS77" s="272"/>
      <c r="HT77" s="272"/>
      <c r="HU77" s="272"/>
      <c r="HV77" s="272"/>
      <c r="HW77" s="272"/>
      <c r="HX77" s="272"/>
      <c r="HY77" s="272"/>
      <c r="HZ77" s="272"/>
      <c r="IA77" s="272"/>
      <c r="IB77" s="272"/>
      <c r="IC77" s="272"/>
      <c r="ID77" s="272"/>
      <c r="IE77" s="272"/>
      <c r="IF77" s="272"/>
      <c r="IG77" s="272"/>
      <c r="IH77" s="272"/>
      <c r="II77" s="272"/>
      <c r="IJ77" s="272"/>
      <c r="IK77" s="272"/>
      <c r="IL77" s="272"/>
      <c r="IM77" s="272"/>
      <c r="IN77" s="272"/>
      <c r="IO77" s="272"/>
      <c r="IP77" s="272"/>
      <c r="IQ77" s="272"/>
      <c r="IR77" s="272"/>
      <c r="IS77" s="272"/>
      <c r="IT77" s="272"/>
      <c r="IU77" s="272"/>
      <c r="IV77" s="272"/>
      <c r="IW77" s="272"/>
      <c r="IX77" s="272"/>
      <c r="IY77" s="272"/>
      <c r="IZ77" s="272"/>
      <c r="JA77" s="272"/>
      <c r="JB77" s="272"/>
      <c r="JC77" s="272"/>
      <c r="JD77" s="272"/>
      <c r="JE77" s="272"/>
      <c r="JF77" s="272"/>
      <c r="JG77" s="272"/>
      <c r="JH77" s="272"/>
      <c r="JI77" s="272"/>
      <c r="JJ77" s="272"/>
      <c r="JK77" s="272"/>
      <c r="JL77" s="272"/>
      <c r="JM77" s="272"/>
      <c r="JN77" s="272"/>
      <c r="JO77" s="272"/>
      <c r="JP77" s="272"/>
      <c r="JQ77" s="272"/>
      <c r="JR77" s="272"/>
      <c r="JS77" s="272"/>
      <c r="JT77" s="272"/>
      <c r="JU77" s="272"/>
      <c r="JV77" s="272"/>
      <c r="JW77" s="272"/>
      <c r="JX77" s="272"/>
      <c r="JY77" s="272"/>
      <c r="JZ77" s="272"/>
      <c r="KA77" s="272"/>
      <c r="KB77" s="272"/>
      <c r="KC77" s="272"/>
      <c r="KD77" s="272"/>
      <c r="KE77" s="272"/>
      <c r="KF77" s="272"/>
      <c r="KG77" s="272"/>
      <c r="KH77" s="272"/>
      <c r="KI77" s="272"/>
      <c r="KJ77" s="272"/>
      <c r="KK77" s="272"/>
      <c r="KL77" s="272"/>
      <c r="KM77" s="272"/>
      <c r="KN77" s="272"/>
      <c r="KO77" s="272"/>
      <c r="KP77" s="272"/>
      <c r="KQ77" s="272"/>
      <c r="KR77" s="272"/>
      <c r="KS77" s="272"/>
      <c r="KT77" s="272"/>
      <c r="KU77" s="272"/>
      <c r="KV77" s="272"/>
      <c r="KW77" s="272"/>
      <c r="KX77" s="272"/>
      <c r="KY77" s="272"/>
      <c r="KZ77" s="272"/>
      <c r="LA77" s="272"/>
      <c r="LB77" s="272"/>
      <c r="LC77" s="272"/>
      <c r="LD77" s="272"/>
      <c r="LE77" s="272"/>
      <c r="LF77" s="272"/>
      <c r="LG77" s="272"/>
      <c r="LH77" s="272"/>
      <c r="LI77" s="272"/>
      <c r="LJ77" s="272"/>
      <c r="LK77" s="272"/>
      <c r="LL77" s="272"/>
      <c r="LM77" s="272"/>
      <c r="LN77" s="272"/>
      <c r="LO77" s="272"/>
      <c r="LP77" s="272"/>
      <c r="LQ77" s="272"/>
      <c r="LR77" s="272"/>
      <c r="LS77" s="272"/>
      <c r="LT77" s="272"/>
      <c r="LU77" s="272"/>
      <c r="LV77" s="272"/>
      <c r="LW77" s="272"/>
      <c r="LX77" s="272"/>
      <c r="LY77" s="272"/>
      <c r="LZ77" s="272"/>
      <c r="MA77" s="272"/>
      <c r="MB77" s="272"/>
      <c r="MC77" s="272"/>
      <c r="MD77" s="272"/>
      <c r="ME77" s="272"/>
      <c r="MF77" s="272"/>
      <c r="MG77" s="272"/>
      <c r="MH77" s="272"/>
      <c r="MI77" s="272"/>
      <c r="MJ77" s="272"/>
      <c r="MK77" s="272"/>
      <c r="ML77" s="272"/>
      <c r="MM77" s="272"/>
      <c r="MN77" s="272"/>
      <c r="MO77" s="272"/>
      <c r="MP77" s="272"/>
      <c r="MQ77" s="272"/>
      <c r="MR77" s="272"/>
      <c r="MS77" s="272"/>
      <c r="MT77" s="272"/>
      <c r="MU77" s="272"/>
      <c r="MV77" s="272"/>
      <c r="MW77" s="272"/>
      <c r="MX77" s="272"/>
      <c r="MY77" s="272"/>
      <c r="MZ77" s="272"/>
      <c r="NA77" s="272"/>
      <c r="NB77" s="272"/>
      <c r="NC77" s="272"/>
      <c r="ND77" s="272"/>
      <c r="NE77" s="272"/>
      <c r="NF77" s="272"/>
      <c r="NG77" s="272"/>
      <c r="NH77" s="272"/>
      <c r="NI77" s="272"/>
      <c r="NJ77" s="272"/>
      <c r="NK77" s="272"/>
      <c r="NL77" s="272"/>
      <c r="NM77" s="272"/>
      <c r="NN77" s="272"/>
      <c r="NO77" s="272"/>
      <c r="NP77" s="272"/>
      <c r="NQ77" s="272"/>
      <c r="NR77" s="272"/>
      <c r="NS77" s="272"/>
      <c r="NT77" s="272"/>
      <c r="NU77" s="272"/>
      <c r="NV77" s="272"/>
      <c r="NW77" s="272"/>
      <c r="NX77" s="272"/>
      <c r="NY77" s="272"/>
      <c r="NZ77" s="272"/>
      <c r="OA77" s="272"/>
      <c r="OB77" s="272"/>
      <c r="OC77" s="272"/>
      <c r="OD77" s="272"/>
      <c r="OE77" s="272"/>
      <c r="OF77" s="272"/>
      <c r="OG77" s="272"/>
      <c r="OH77" s="272"/>
      <c r="OI77" s="272"/>
      <c r="OJ77" s="272"/>
      <c r="OK77" s="272"/>
      <c r="OL77" s="272"/>
      <c r="OM77" s="272"/>
      <c r="ON77" s="272"/>
      <c r="OO77" s="272"/>
      <c r="OP77" s="272"/>
      <c r="OQ77" s="272"/>
      <c r="OR77" s="272"/>
      <c r="OS77" s="272"/>
      <c r="OT77" s="272"/>
      <c r="OU77" s="272"/>
      <c r="OV77" s="272"/>
      <c r="OW77" s="272"/>
      <c r="OX77" s="272"/>
      <c r="OY77" s="272"/>
      <c r="OZ77" s="272"/>
      <c r="PA77" s="272"/>
      <c r="PB77" s="272"/>
      <c r="PC77" s="272"/>
      <c r="PD77" s="272"/>
      <c r="PE77" s="272"/>
      <c r="PF77" s="272"/>
      <c r="PG77" s="272"/>
      <c r="PH77" s="272"/>
      <c r="PI77" s="272"/>
      <c r="PJ77" s="272"/>
      <c r="PK77" s="272"/>
      <c r="PL77" s="272"/>
      <c r="PM77" s="272"/>
      <c r="PN77" s="272"/>
      <c r="PO77" s="272"/>
      <c r="PP77" s="272"/>
      <c r="PQ77" s="272"/>
      <c r="PR77" s="272"/>
      <c r="PS77" s="272"/>
      <c r="PT77" s="272"/>
      <c r="PU77" s="272"/>
      <c r="PV77" s="272"/>
      <c r="PW77" s="272"/>
      <c r="PX77" s="272"/>
      <c r="PY77" s="272"/>
      <c r="PZ77" s="272"/>
      <c r="QA77" s="272"/>
      <c r="QB77" s="272"/>
      <c r="QC77" s="272"/>
      <c r="QD77" s="272"/>
      <c r="QE77" s="272"/>
      <c r="QF77" s="272"/>
      <c r="QG77" s="272"/>
      <c r="QH77" s="272"/>
      <c r="QI77" s="272"/>
      <c r="QJ77" s="272"/>
      <c r="QK77" s="272"/>
      <c r="QL77" s="272"/>
      <c r="QM77" s="272"/>
      <c r="QN77" s="272"/>
      <c r="QO77" s="272"/>
      <c r="QP77" s="272"/>
      <c r="QQ77" s="272"/>
      <c r="QR77" s="272"/>
      <c r="QS77" s="272"/>
      <c r="QT77" s="272"/>
      <c r="QU77" s="272"/>
      <c r="QV77" s="272"/>
      <c r="QW77" s="272"/>
      <c r="QX77" s="272"/>
      <c r="QY77" s="272"/>
      <c r="QZ77" s="272"/>
      <c r="RA77" s="272"/>
      <c r="RB77" s="272"/>
      <c r="RC77" s="272"/>
      <c r="RD77" s="272"/>
      <c r="RE77" s="272"/>
      <c r="RF77" s="272"/>
      <c r="RG77" s="272"/>
      <c r="RH77" s="272"/>
      <c r="RI77" s="272"/>
      <c r="RJ77" s="272"/>
      <c r="RK77" s="272"/>
      <c r="RL77" s="272"/>
      <c r="RM77" s="272"/>
      <c r="RN77" s="272"/>
      <c r="RO77" s="272"/>
      <c r="RP77" s="272"/>
      <c r="RQ77" s="272"/>
      <c r="RR77" s="272"/>
      <c r="RS77" s="272"/>
      <c r="RT77" s="272"/>
      <c r="RU77" s="272"/>
      <c r="RV77" s="272"/>
      <c r="RW77" s="272"/>
      <c r="RX77" s="272"/>
      <c r="RY77" s="272"/>
      <c r="RZ77" s="272"/>
      <c r="SA77" s="272"/>
      <c r="SB77" s="272"/>
      <c r="SC77" s="272"/>
      <c r="SD77" s="272"/>
      <c r="SE77" s="272"/>
      <c r="SF77" s="272"/>
      <c r="SG77" s="272"/>
      <c r="SH77" s="272"/>
      <c r="SI77" s="272"/>
      <c r="SJ77" s="272"/>
      <c r="SK77" s="272"/>
      <c r="SL77" s="272"/>
      <c r="SM77" s="272"/>
      <c r="SN77" s="272"/>
      <c r="SO77" s="272"/>
      <c r="SP77" s="272"/>
      <c r="SQ77" s="272"/>
      <c r="SR77" s="272"/>
      <c r="SS77" s="272"/>
      <c r="ST77" s="272"/>
      <c r="SU77" s="272"/>
      <c r="SV77" s="272"/>
      <c r="SW77" s="272"/>
      <c r="SX77" s="272"/>
      <c r="SY77" s="272"/>
      <c r="SZ77" s="272"/>
      <c r="TA77" s="272"/>
      <c r="TB77" s="272"/>
      <c r="TC77" s="272"/>
      <c r="TD77" s="272"/>
      <c r="TE77" s="272"/>
      <c r="TF77" s="272"/>
      <c r="TG77" s="272"/>
      <c r="TH77" s="272"/>
      <c r="TI77" s="272"/>
      <c r="TJ77" s="272"/>
      <c r="TK77" s="272"/>
      <c r="TL77" s="272"/>
      <c r="TM77" s="272"/>
      <c r="TN77" s="272"/>
      <c r="TO77" s="272"/>
      <c r="TP77" s="272"/>
      <c r="TQ77" s="272"/>
      <c r="TR77" s="272"/>
      <c r="TS77" s="272"/>
      <c r="TT77" s="272"/>
      <c r="TU77" s="272"/>
      <c r="TV77" s="272"/>
      <c r="TW77" s="272"/>
      <c r="TX77" s="272"/>
      <c r="TY77" s="272"/>
      <c r="TZ77" s="272"/>
      <c r="UA77" s="272"/>
      <c r="UB77" s="272"/>
      <c r="UC77" s="272"/>
      <c r="UD77" s="272"/>
      <c r="UE77" s="272"/>
      <c r="UF77" s="272"/>
      <c r="UG77" s="272"/>
      <c r="UH77" s="272"/>
      <c r="UI77" s="272"/>
      <c r="UJ77" s="272"/>
      <c r="UK77" s="272"/>
      <c r="UL77" s="272"/>
      <c r="UM77" s="272"/>
      <c r="UN77" s="272"/>
      <c r="UO77" s="272"/>
      <c r="UP77" s="272"/>
      <c r="UQ77" s="272"/>
      <c r="UR77" s="272"/>
      <c r="US77" s="272"/>
      <c r="UT77" s="272"/>
      <c r="UU77" s="272"/>
      <c r="UV77" s="272"/>
      <c r="UW77" s="272"/>
      <c r="UX77" s="272"/>
      <c r="UY77" s="272"/>
      <c r="UZ77" s="272"/>
      <c r="VA77" s="272"/>
      <c r="VB77" s="272"/>
      <c r="VC77" s="272"/>
      <c r="VD77" s="272"/>
      <c r="VE77" s="272"/>
      <c r="VF77" s="272"/>
      <c r="VG77" s="272"/>
      <c r="VH77" s="272"/>
      <c r="VI77" s="272"/>
      <c r="VJ77" s="272"/>
      <c r="VK77" s="272"/>
      <c r="VL77" s="272"/>
      <c r="VM77" s="272"/>
      <c r="VN77" s="272"/>
      <c r="VO77" s="272"/>
      <c r="VP77" s="272"/>
      <c r="VQ77" s="272"/>
      <c r="VR77" s="272"/>
      <c r="VS77" s="272"/>
      <c r="VT77" s="272"/>
      <c r="VU77" s="272"/>
      <c r="VV77" s="272"/>
      <c r="VW77" s="272"/>
      <c r="VX77" s="272"/>
      <c r="VY77" s="272"/>
      <c r="VZ77" s="272"/>
      <c r="WA77" s="272"/>
      <c r="WB77" s="272"/>
      <c r="WC77" s="272"/>
      <c r="WD77" s="272"/>
      <c r="WE77" s="272"/>
      <c r="WF77" s="272"/>
      <c r="WG77" s="272"/>
      <c r="WH77" s="272"/>
      <c r="WI77" s="272"/>
      <c r="WJ77" s="272"/>
      <c r="WK77" s="272"/>
      <c r="WL77" s="272"/>
      <c r="WM77" s="272"/>
      <c r="WN77" s="272"/>
      <c r="WO77" s="272"/>
      <c r="WP77" s="272"/>
      <c r="WQ77" s="272"/>
      <c r="WR77" s="272"/>
      <c r="WS77" s="272"/>
      <c r="WT77" s="272"/>
      <c r="WU77" s="272"/>
      <c r="WV77" s="272"/>
      <c r="WW77" s="272"/>
      <c r="WX77" s="272"/>
      <c r="WY77" s="272"/>
      <c r="WZ77" s="272"/>
      <c r="XA77" s="272"/>
      <c r="XB77" s="272"/>
      <c r="XC77" s="272"/>
      <c r="XD77" s="272"/>
      <c r="XE77" s="272"/>
      <c r="XF77" s="272"/>
      <c r="XG77" s="272"/>
      <c r="XH77" s="272"/>
      <c r="XI77" s="272"/>
      <c r="XJ77" s="272"/>
      <c r="XK77" s="272"/>
      <c r="XL77" s="272"/>
      <c r="XM77" s="272"/>
      <c r="XN77" s="272"/>
      <c r="XO77" s="272"/>
      <c r="XP77" s="272"/>
      <c r="XQ77" s="272"/>
      <c r="XR77" s="272"/>
      <c r="XS77" s="272"/>
      <c r="XT77" s="272"/>
      <c r="XU77" s="272"/>
      <c r="XV77" s="272"/>
      <c r="XW77" s="272"/>
      <c r="XX77" s="272"/>
      <c r="XY77" s="272"/>
      <c r="XZ77" s="272"/>
      <c r="YA77" s="272"/>
      <c r="YB77" s="272"/>
      <c r="YC77" s="272"/>
      <c r="YD77" s="272"/>
      <c r="YE77" s="272"/>
      <c r="YF77" s="272"/>
      <c r="YG77" s="272"/>
      <c r="YH77" s="272"/>
      <c r="YI77" s="272"/>
      <c r="YJ77" s="272"/>
      <c r="YK77" s="272"/>
      <c r="YL77" s="272"/>
      <c r="YM77" s="272"/>
      <c r="YN77" s="272"/>
      <c r="YO77" s="272"/>
      <c r="YP77" s="272"/>
      <c r="YQ77" s="272"/>
      <c r="YR77" s="272"/>
      <c r="YS77" s="272"/>
      <c r="YT77" s="272"/>
      <c r="YU77" s="272"/>
      <c r="YV77" s="272"/>
      <c r="YW77" s="272"/>
      <c r="YX77" s="272"/>
      <c r="YY77" s="272"/>
      <c r="YZ77" s="272"/>
      <c r="ZA77" s="272"/>
      <c r="ZB77" s="272"/>
      <c r="ZC77" s="272"/>
      <c r="ZD77" s="272"/>
      <c r="ZE77" s="272"/>
      <c r="ZF77" s="272"/>
      <c r="ZG77" s="272"/>
      <c r="ZH77" s="272"/>
      <c r="ZI77" s="272"/>
      <c r="ZJ77" s="272"/>
      <c r="ZK77" s="272"/>
      <c r="ZL77" s="272"/>
      <c r="ZM77" s="272"/>
      <c r="ZN77" s="272"/>
      <c r="ZO77" s="272"/>
      <c r="ZP77" s="272"/>
      <c r="ZQ77" s="272"/>
      <c r="ZR77" s="272"/>
      <c r="ZS77" s="272"/>
      <c r="ZT77" s="272"/>
      <c r="ZU77" s="272"/>
      <c r="ZV77" s="272"/>
      <c r="ZW77" s="272"/>
      <c r="ZX77" s="272"/>
      <c r="ZY77" s="272"/>
      <c r="ZZ77" s="272"/>
      <c r="AAA77" s="272"/>
      <c r="AAB77" s="272"/>
      <c r="AAC77" s="272"/>
      <c r="AAD77" s="272"/>
      <c r="AAE77" s="272"/>
      <c r="AAF77" s="272"/>
      <c r="AAG77" s="272"/>
      <c r="AAH77" s="272"/>
      <c r="AAI77" s="272"/>
      <c r="AAJ77" s="272"/>
      <c r="AAK77" s="272"/>
      <c r="AAL77" s="272"/>
      <c r="AAM77" s="272"/>
      <c r="AAN77" s="272"/>
      <c r="AAO77" s="272"/>
      <c r="AAP77" s="272"/>
      <c r="AAQ77" s="272"/>
      <c r="AAR77" s="272"/>
      <c r="AAS77" s="272"/>
      <c r="AAT77" s="272"/>
      <c r="AAU77" s="272"/>
      <c r="AAV77" s="272"/>
      <c r="AAW77" s="272"/>
      <c r="AAX77" s="272"/>
      <c r="AAY77" s="272"/>
      <c r="AAZ77" s="272"/>
      <c r="ABA77" s="272"/>
      <c r="ABB77" s="272"/>
      <c r="ABC77" s="272"/>
      <c r="ABD77" s="272"/>
      <c r="ABE77" s="272"/>
      <c r="ABF77" s="272"/>
      <c r="ABG77" s="272"/>
    </row>
    <row r="78" spans="1:735" s="19" customFormat="1" ht="15">
      <c r="A78" s="49"/>
      <c r="B78" s="44"/>
      <c r="C78" s="55" t="s">
        <v>53</v>
      </c>
      <c r="D78" s="55"/>
      <c r="E78" s="56"/>
      <c r="F78" s="265"/>
      <c r="G78" s="390"/>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272"/>
      <c r="GB78" s="272"/>
      <c r="GC78" s="27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c r="HE78" s="272"/>
      <c r="HF78" s="272"/>
      <c r="HG78" s="272"/>
      <c r="HH78" s="272"/>
      <c r="HI78" s="272"/>
      <c r="HJ78" s="272"/>
      <c r="HK78" s="272"/>
      <c r="HL78" s="272"/>
      <c r="HM78" s="272"/>
      <c r="HN78" s="272"/>
      <c r="HO78" s="272"/>
      <c r="HP78" s="272"/>
      <c r="HQ78" s="272"/>
      <c r="HR78" s="272"/>
      <c r="HS78" s="272"/>
      <c r="HT78" s="272"/>
      <c r="HU78" s="272"/>
      <c r="HV78" s="272"/>
      <c r="HW78" s="272"/>
      <c r="HX78" s="272"/>
      <c r="HY78" s="272"/>
      <c r="HZ78" s="272"/>
      <c r="IA78" s="272"/>
      <c r="IB78" s="272"/>
      <c r="IC78" s="272"/>
      <c r="ID78" s="272"/>
      <c r="IE78" s="272"/>
      <c r="IF78" s="272"/>
      <c r="IG78" s="272"/>
      <c r="IH78" s="272"/>
      <c r="II78" s="272"/>
      <c r="IJ78" s="272"/>
      <c r="IK78" s="272"/>
      <c r="IL78" s="272"/>
      <c r="IM78" s="272"/>
      <c r="IN78" s="272"/>
      <c r="IO78" s="272"/>
      <c r="IP78" s="272"/>
      <c r="IQ78" s="272"/>
      <c r="IR78" s="272"/>
      <c r="IS78" s="272"/>
      <c r="IT78" s="272"/>
      <c r="IU78" s="272"/>
      <c r="IV78" s="272"/>
      <c r="IW78" s="272"/>
      <c r="IX78" s="272"/>
      <c r="IY78" s="272"/>
      <c r="IZ78" s="272"/>
      <c r="JA78" s="272"/>
      <c r="JB78" s="272"/>
      <c r="JC78" s="272"/>
      <c r="JD78" s="272"/>
      <c r="JE78" s="272"/>
      <c r="JF78" s="272"/>
      <c r="JG78" s="272"/>
      <c r="JH78" s="272"/>
      <c r="JI78" s="272"/>
      <c r="JJ78" s="272"/>
      <c r="JK78" s="272"/>
      <c r="JL78" s="272"/>
      <c r="JM78" s="272"/>
      <c r="JN78" s="272"/>
      <c r="JO78" s="272"/>
      <c r="JP78" s="272"/>
      <c r="JQ78" s="272"/>
      <c r="JR78" s="272"/>
      <c r="JS78" s="272"/>
      <c r="JT78" s="272"/>
      <c r="JU78" s="272"/>
      <c r="JV78" s="272"/>
      <c r="JW78" s="272"/>
      <c r="JX78" s="272"/>
      <c r="JY78" s="272"/>
      <c r="JZ78" s="272"/>
      <c r="KA78" s="272"/>
      <c r="KB78" s="272"/>
      <c r="KC78" s="272"/>
      <c r="KD78" s="272"/>
      <c r="KE78" s="272"/>
      <c r="KF78" s="272"/>
      <c r="KG78" s="272"/>
      <c r="KH78" s="272"/>
      <c r="KI78" s="272"/>
      <c r="KJ78" s="272"/>
      <c r="KK78" s="272"/>
      <c r="KL78" s="272"/>
      <c r="KM78" s="272"/>
      <c r="KN78" s="272"/>
      <c r="KO78" s="272"/>
      <c r="KP78" s="272"/>
      <c r="KQ78" s="272"/>
      <c r="KR78" s="272"/>
      <c r="KS78" s="272"/>
      <c r="KT78" s="272"/>
      <c r="KU78" s="272"/>
      <c r="KV78" s="272"/>
      <c r="KW78" s="272"/>
      <c r="KX78" s="272"/>
      <c r="KY78" s="272"/>
      <c r="KZ78" s="272"/>
      <c r="LA78" s="272"/>
      <c r="LB78" s="272"/>
      <c r="LC78" s="272"/>
      <c r="LD78" s="272"/>
      <c r="LE78" s="272"/>
      <c r="LF78" s="272"/>
      <c r="LG78" s="272"/>
      <c r="LH78" s="272"/>
      <c r="LI78" s="272"/>
      <c r="LJ78" s="272"/>
      <c r="LK78" s="272"/>
      <c r="LL78" s="272"/>
      <c r="LM78" s="272"/>
      <c r="LN78" s="272"/>
      <c r="LO78" s="272"/>
      <c r="LP78" s="272"/>
      <c r="LQ78" s="272"/>
      <c r="LR78" s="272"/>
      <c r="LS78" s="272"/>
      <c r="LT78" s="272"/>
      <c r="LU78" s="272"/>
      <c r="LV78" s="272"/>
      <c r="LW78" s="272"/>
      <c r="LX78" s="272"/>
      <c r="LY78" s="272"/>
      <c r="LZ78" s="272"/>
      <c r="MA78" s="272"/>
      <c r="MB78" s="272"/>
      <c r="MC78" s="272"/>
      <c r="MD78" s="272"/>
      <c r="ME78" s="272"/>
      <c r="MF78" s="272"/>
      <c r="MG78" s="272"/>
      <c r="MH78" s="272"/>
      <c r="MI78" s="272"/>
      <c r="MJ78" s="272"/>
      <c r="MK78" s="272"/>
      <c r="ML78" s="272"/>
      <c r="MM78" s="272"/>
      <c r="MN78" s="272"/>
      <c r="MO78" s="272"/>
      <c r="MP78" s="272"/>
      <c r="MQ78" s="272"/>
      <c r="MR78" s="272"/>
      <c r="MS78" s="272"/>
      <c r="MT78" s="272"/>
      <c r="MU78" s="272"/>
      <c r="MV78" s="272"/>
      <c r="MW78" s="272"/>
      <c r="MX78" s="272"/>
      <c r="MY78" s="272"/>
      <c r="MZ78" s="272"/>
      <c r="NA78" s="272"/>
      <c r="NB78" s="272"/>
      <c r="NC78" s="272"/>
      <c r="ND78" s="272"/>
      <c r="NE78" s="272"/>
      <c r="NF78" s="272"/>
      <c r="NG78" s="272"/>
      <c r="NH78" s="272"/>
      <c r="NI78" s="272"/>
      <c r="NJ78" s="272"/>
      <c r="NK78" s="272"/>
      <c r="NL78" s="272"/>
      <c r="NM78" s="272"/>
      <c r="NN78" s="272"/>
      <c r="NO78" s="272"/>
      <c r="NP78" s="272"/>
      <c r="NQ78" s="272"/>
      <c r="NR78" s="272"/>
      <c r="NS78" s="272"/>
      <c r="NT78" s="272"/>
      <c r="NU78" s="272"/>
      <c r="NV78" s="272"/>
      <c r="NW78" s="272"/>
      <c r="NX78" s="272"/>
      <c r="NY78" s="272"/>
      <c r="NZ78" s="272"/>
      <c r="OA78" s="272"/>
      <c r="OB78" s="272"/>
      <c r="OC78" s="272"/>
      <c r="OD78" s="272"/>
      <c r="OE78" s="272"/>
      <c r="OF78" s="272"/>
      <c r="OG78" s="272"/>
      <c r="OH78" s="272"/>
      <c r="OI78" s="272"/>
      <c r="OJ78" s="272"/>
      <c r="OK78" s="272"/>
      <c r="OL78" s="272"/>
      <c r="OM78" s="272"/>
      <c r="ON78" s="272"/>
      <c r="OO78" s="272"/>
      <c r="OP78" s="272"/>
      <c r="OQ78" s="272"/>
      <c r="OR78" s="272"/>
      <c r="OS78" s="272"/>
      <c r="OT78" s="272"/>
      <c r="OU78" s="272"/>
      <c r="OV78" s="272"/>
      <c r="OW78" s="272"/>
      <c r="OX78" s="272"/>
      <c r="OY78" s="272"/>
      <c r="OZ78" s="272"/>
      <c r="PA78" s="272"/>
      <c r="PB78" s="272"/>
      <c r="PC78" s="272"/>
      <c r="PD78" s="272"/>
      <c r="PE78" s="272"/>
      <c r="PF78" s="272"/>
      <c r="PG78" s="272"/>
      <c r="PH78" s="272"/>
      <c r="PI78" s="272"/>
      <c r="PJ78" s="272"/>
      <c r="PK78" s="272"/>
      <c r="PL78" s="272"/>
      <c r="PM78" s="272"/>
      <c r="PN78" s="272"/>
      <c r="PO78" s="272"/>
      <c r="PP78" s="272"/>
      <c r="PQ78" s="272"/>
      <c r="PR78" s="272"/>
      <c r="PS78" s="272"/>
      <c r="PT78" s="272"/>
      <c r="PU78" s="272"/>
      <c r="PV78" s="272"/>
      <c r="PW78" s="272"/>
      <c r="PX78" s="272"/>
      <c r="PY78" s="272"/>
      <c r="PZ78" s="272"/>
      <c r="QA78" s="272"/>
      <c r="QB78" s="272"/>
      <c r="QC78" s="272"/>
      <c r="QD78" s="272"/>
      <c r="QE78" s="272"/>
      <c r="QF78" s="272"/>
      <c r="QG78" s="272"/>
      <c r="QH78" s="272"/>
      <c r="QI78" s="272"/>
      <c r="QJ78" s="272"/>
      <c r="QK78" s="272"/>
      <c r="QL78" s="272"/>
      <c r="QM78" s="272"/>
      <c r="QN78" s="272"/>
      <c r="QO78" s="272"/>
      <c r="QP78" s="272"/>
      <c r="QQ78" s="272"/>
      <c r="QR78" s="272"/>
      <c r="QS78" s="272"/>
      <c r="QT78" s="272"/>
      <c r="QU78" s="272"/>
      <c r="QV78" s="272"/>
      <c r="QW78" s="272"/>
      <c r="QX78" s="272"/>
      <c r="QY78" s="272"/>
      <c r="QZ78" s="272"/>
      <c r="RA78" s="272"/>
      <c r="RB78" s="272"/>
      <c r="RC78" s="272"/>
      <c r="RD78" s="272"/>
      <c r="RE78" s="272"/>
      <c r="RF78" s="272"/>
      <c r="RG78" s="272"/>
      <c r="RH78" s="272"/>
      <c r="RI78" s="272"/>
      <c r="RJ78" s="272"/>
      <c r="RK78" s="272"/>
      <c r="RL78" s="272"/>
      <c r="RM78" s="272"/>
      <c r="RN78" s="272"/>
      <c r="RO78" s="272"/>
      <c r="RP78" s="272"/>
      <c r="RQ78" s="272"/>
      <c r="RR78" s="272"/>
      <c r="RS78" s="272"/>
      <c r="RT78" s="272"/>
      <c r="RU78" s="272"/>
      <c r="RV78" s="272"/>
      <c r="RW78" s="272"/>
      <c r="RX78" s="272"/>
      <c r="RY78" s="272"/>
      <c r="RZ78" s="272"/>
      <c r="SA78" s="272"/>
      <c r="SB78" s="272"/>
      <c r="SC78" s="272"/>
      <c r="SD78" s="272"/>
      <c r="SE78" s="272"/>
      <c r="SF78" s="272"/>
      <c r="SG78" s="272"/>
      <c r="SH78" s="272"/>
      <c r="SI78" s="272"/>
      <c r="SJ78" s="272"/>
      <c r="SK78" s="272"/>
      <c r="SL78" s="272"/>
      <c r="SM78" s="272"/>
      <c r="SN78" s="272"/>
      <c r="SO78" s="272"/>
      <c r="SP78" s="272"/>
      <c r="SQ78" s="272"/>
      <c r="SR78" s="272"/>
      <c r="SS78" s="272"/>
      <c r="ST78" s="272"/>
      <c r="SU78" s="272"/>
      <c r="SV78" s="272"/>
      <c r="SW78" s="272"/>
      <c r="SX78" s="272"/>
      <c r="SY78" s="272"/>
      <c r="SZ78" s="272"/>
      <c r="TA78" s="272"/>
      <c r="TB78" s="272"/>
      <c r="TC78" s="272"/>
      <c r="TD78" s="272"/>
      <c r="TE78" s="272"/>
      <c r="TF78" s="272"/>
      <c r="TG78" s="272"/>
      <c r="TH78" s="272"/>
      <c r="TI78" s="272"/>
      <c r="TJ78" s="272"/>
      <c r="TK78" s="272"/>
      <c r="TL78" s="272"/>
      <c r="TM78" s="272"/>
      <c r="TN78" s="272"/>
      <c r="TO78" s="272"/>
      <c r="TP78" s="272"/>
      <c r="TQ78" s="272"/>
      <c r="TR78" s="272"/>
      <c r="TS78" s="272"/>
      <c r="TT78" s="272"/>
      <c r="TU78" s="272"/>
      <c r="TV78" s="272"/>
      <c r="TW78" s="272"/>
      <c r="TX78" s="272"/>
      <c r="TY78" s="272"/>
      <c r="TZ78" s="272"/>
      <c r="UA78" s="272"/>
      <c r="UB78" s="272"/>
      <c r="UC78" s="272"/>
      <c r="UD78" s="272"/>
      <c r="UE78" s="272"/>
      <c r="UF78" s="272"/>
      <c r="UG78" s="272"/>
      <c r="UH78" s="272"/>
      <c r="UI78" s="272"/>
      <c r="UJ78" s="272"/>
      <c r="UK78" s="272"/>
      <c r="UL78" s="272"/>
      <c r="UM78" s="272"/>
      <c r="UN78" s="272"/>
      <c r="UO78" s="272"/>
      <c r="UP78" s="272"/>
      <c r="UQ78" s="272"/>
      <c r="UR78" s="272"/>
      <c r="US78" s="272"/>
      <c r="UT78" s="272"/>
      <c r="UU78" s="272"/>
      <c r="UV78" s="272"/>
      <c r="UW78" s="272"/>
      <c r="UX78" s="272"/>
      <c r="UY78" s="272"/>
      <c r="UZ78" s="272"/>
      <c r="VA78" s="272"/>
      <c r="VB78" s="272"/>
      <c r="VC78" s="272"/>
      <c r="VD78" s="272"/>
      <c r="VE78" s="272"/>
      <c r="VF78" s="272"/>
      <c r="VG78" s="272"/>
      <c r="VH78" s="272"/>
      <c r="VI78" s="272"/>
      <c r="VJ78" s="272"/>
      <c r="VK78" s="272"/>
      <c r="VL78" s="272"/>
      <c r="VM78" s="272"/>
      <c r="VN78" s="272"/>
      <c r="VO78" s="272"/>
      <c r="VP78" s="272"/>
      <c r="VQ78" s="272"/>
      <c r="VR78" s="272"/>
      <c r="VS78" s="272"/>
      <c r="VT78" s="272"/>
      <c r="VU78" s="272"/>
      <c r="VV78" s="272"/>
      <c r="VW78" s="272"/>
      <c r="VX78" s="272"/>
      <c r="VY78" s="272"/>
      <c r="VZ78" s="272"/>
      <c r="WA78" s="272"/>
      <c r="WB78" s="272"/>
      <c r="WC78" s="272"/>
      <c r="WD78" s="272"/>
      <c r="WE78" s="272"/>
      <c r="WF78" s="272"/>
      <c r="WG78" s="272"/>
      <c r="WH78" s="272"/>
      <c r="WI78" s="272"/>
      <c r="WJ78" s="272"/>
      <c r="WK78" s="272"/>
      <c r="WL78" s="272"/>
      <c r="WM78" s="272"/>
      <c r="WN78" s="272"/>
      <c r="WO78" s="272"/>
      <c r="WP78" s="272"/>
      <c r="WQ78" s="272"/>
      <c r="WR78" s="272"/>
      <c r="WS78" s="272"/>
      <c r="WT78" s="272"/>
      <c r="WU78" s="272"/>
      <c r="WV78" s="272"/>
      <c r="WW78" s="272"/>
      <c r="WX78" s="272"/>
      <c r="WY78" s="272"/>
      <c r="WZ78" s="272"/>
      <c r="XA78" s="272"/>
      <c r="XB78" s="272"/>
      <c r="XC78" s="272"/>
      <c r="XD78" s="272"/>
      <c r="XE78" s="272"/>
      <c r="XF78" s="272"/>
      <c r="XG78" s="272"/>
      <c r="XH78" s="272"/>
      <c r="XI78" s="272"/>
      <c r="XJ78" s="272"/>
      <c r="XK78" s="272"/>
      <c r="XL78" s="272"/>
      <c r="XM78" s="272"/>
      <c r="XN78" s="272"/>
      <c r="XO78" s="272"/>
      <c r="XP78" s="272"/>
      <c r="XQ78" s="272"/>
      <c r="XR78" s="272"/>
      <c r="XS78" s="272"/>
      <c r="XT78" s="272"/>
      <c r="XU78" s="272"/>
      <c r="XV78" s="272"/>
      <c r="XW78" s="272"/>
      <c r="XX78" s="272"/>
      <c r="XY78" s="272"/>
      <c r="XZ78" s="272"/>
      <c r="YA78" s="272"/>
      <c r="YB78" s="272"/>
      <c r="YC78" s="272"/>
      <c r="YD78" s="272"/>
      <c r="YE78" s="272"/>
      <c r="YF78" s="272"/>
      <c r="YG78" s="272"/>
      <c r="YH78" s="272"/>
      <c r="YI78" s="272"/>
      <c r="YJ78" s="272"/>
      <c r="YK78" s="272"/>
      <c r="YL78" s="272"/>
      <c r="YM78" s="272"/>
      <c r="YN78" s="272"/>
      <c r="YO78" s="272"/>
      <c r="YP78" s="272"/>
      <c r="YQ78" s="272"/>
      <c r="YR78" s="272"/>
      <c r="YS78" s="272"/>
      <c r="YT78" s="272"/>
      <c r="YU78" s="272"/>
      <c r="YV78" s="272"/>
      <c r="YW78" s="272"/>
      <c r="YX78" s="272"/>
      <c r="YY78" s="272"/>
      <c r="YZ78" s="272"/>
      <c r="ZA78" s="272"/>
      <c r="ZB78" s="272"/>
      <c r="ZC78" s="272"/>
      <c r="ZD78" s="272"/>
      <c r="ZE78" s="272"/>
      <c r="ZF78" s="272"/>
      <c r="ZG78" s="272"/>
      <c r="ZH78" s="272"/>
      <c r="ZI78" s="272"/>
      <c r="ZJ78" s="272"/>
      <c r="ZK78" s="272"/>
      <c r="ZL78" s="272"/>
      <c r="ZM78" s="272"/>
      <c r="ZN78" s="272"/>
      <c r="ZO78" s="272"/>
      <c r="ZP78" s="272"/>
      <c r="ZQ78" s="272"/>
      <c r="ZR78" s="272"/>
      <c r="ZS78" s="272"/>
      <c r="ZT78" s="272"/>
      <c r="ZU78" s="272"/>
      <c r="ZV78" s="272"/>
      <c r="ZW78" s="272"/>
      <c r="ZX78" s="272"/>
      <c r="ZY78" s="272"/>
      <c r="ZZ78" s="272"/>
      <c r="AAA78" s="272"/>
      <c r="AAB78" s="272"/>
      <c r="AAC78" s="272"/>
      <c r="AAD78" s="272"/>
      <c r="AAE78" s="272"/>
      <c r="AAF78" s="272"/>
      <c r="AAG78" s="272"/>
      <c r="AAH78" s="272"/>
      <c r="AAI78" s="272"/>
      <c r="AAJ78" s="272"/>
      <c r="AAK78" s="272"/>
      <c r="AAL78" s="272"/>
      <c r="AAM78" s="272"/>
      <c r="AAN78" s="272"/>
      <c r="AAO78" s="272"/>
      <c r="AAP78" s="272"/>
      <c r="AAQ78" s="272"/>
      <c r="AAR78" s="272"/>
      <c r="AAS78" s="272"/>
      <c r="AAT78" s="272"/>
      <c r="AAU78" s="272"/>
      <c r="AAV78" s="272"/>
      <c r="AAW78" s="272"/>
      <c r="AAX78" s="272"/>
      <c r="AAY78" s="272"/>
      <c r="AAZ78" s="272"/>
      <c r="ABA78" s="272"/>
      <c r="ABB78" s="272"/>
      <c r="ABC78" s="272"/>
      <c r="ABD78" s="272"/>
      <c r="ABE78" s="272"/>
      <c r="ABF78" s="272"/>
      <c r="ABG78" s="272"/>
    </row>
    <row r="79" spans="1:735" s="62" customFormat="1" ht="13.5" thickBot="1">
      <c r="A79" s="50"/>
      <c r="B79" s="73"/>
      <c r="C79" s="58" t="s">
        <v>54</v>
      </c>
      <c r="D79" s="63"/>
      <c r="E79" s="59"/>
      <c r="F79" s="266"/>
      <c r="G79" s="391"/>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c r="CE79" s="272"/>
      <c r="CF79" s="272"/>
      <c r="CG79" s="272"/>
      <c r="CH79" s="272"/>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272"/>
      <c r="FE79" s="272"/>
      <c r="FF79" s="272"/>
      <c r="FG79" s="272"/>
      <c r="FH79" s="272"/>
      <c r="FI79" s="272"/>
      <c r="FJ79" s="272"/>
      <c r="FK79" s="272"/>
      <c r="FL79" s="272"/>
      <c r="FM79" s="272"/>
      <c r="FN79" s="272"/>
      <c r="FO79" s="272"/>
      <c r="FP79" s="272"/>
      <c r="FQ79" s="272"/>
      <c r="FR79" s="272"/>
      <c r="FS79" s="272"/>
      <c r="FT79" s="272"/>
      <c r="FU79" s="272"/>
      <c r="FV79" s="272"/>
      <c r="FW79" s="272"/>
      <c r="FX79" s="272"/>
      <c r="FY79" s="272"/>
      <c r="FZ79" s="272"/>
      <c r="GA79" s="272"/>
      <c r="GB79" s="272"/>
      <c r="GC79" s="272"/>
      <c r="GD79" s="272"/>
      <c r="GE79" s="272"/>
      <c r="GF79" s="272"/>
      <c r="GG79" s="272"/>
      <c r="GH79" s="272"/>
      <c r="GI79" s="272"/>
      <c r="GJ79" s="272"/>
      <c r="GK79" s="272"/>
      <c r="GL79" s="272"/>
      <c r="GM79" s="272"/>
      <c r="GN79" s="272"/>
      <c r="GO79" s="272"/>
      <c r="GP79" s="272"/>
      <c r="GQ79" s="272"/>
      <c r="GR79" s="272"/>
      <c r="GS79" s="272"/>
      <c r="GT79" s="272"/>
      <c r="GU79" s="272"/>
      <c r="GV79" s="272"/>
      <c r="GW79" s="272"/>
      <c r="GX79" s="272"/>
      <c r="GY79" s="272"/>
      <c r="GZ79" s="272"/>
      <c r="HA79" s="272"/>
      <c r="HB79" s="272"/>
      <c r="HC79" s="272"/>
      <c r="HD79" s="272"/>
      <c r="HE79" s="272"/>
      <c r="HF79" s="272"/>
      <c r="HG79" s="272"/>
      <c r="HH79" s="272"/>
      <c r="HI79" s="272"/>
      <c r="HJ79" s="272"/>
      <c r="HK79" s="272"/>
      <c r="HL79" s="272"/>
      <c r="HM79" s="272"/>
      <c r="HN79" s="272"/>
      <c r="HO79" s="272"/>
      <c r="HP79" s="272"/>
      <c r="HQ79" s="272"/>
      <c r="HR79" s="272"/>
      <c r="HS79" s="272"/>
      <c r="HT79" s="272"/>
      <c r="HU79" s="272"/>
      <c r="HV79" s="272"/>
      <c r="HW79" s="272"/>
      <c r="HX79" s="272"/>
      <c r="HY79" s="272"/>
      <c r="HZ79" s="272"/>
      <c r="IA79" s="272"/>
      <c r="IB79" s="272"/>
      <c r="IC79" s="272"/>
      <c r="ID79" s="272"/>
      <c r="IE79" s="272"/>
      <c r="IF79" s="272"/>
      <c r="IG79" s="272"/>
      <c r="IH79" s="272"/>
      <c r="II79" s="272"/>
      <c r="IJ79" s="272"/>
      <c r="IK79" s="272"/>
      <c r="IL79" s="272"/>
      <c r="IM79" s="272"/>
      <c r="IN79" s="272"/>
      <c r="IO79" s="272"/>
      <c r="IP79" s="272"/>
      <c r="IQ79" s="272"/>
      <c r="IR79" s="272"/>
      <c r="IS79" s="272"/>
      <c r="IT79" s="272"/>
      <c r="IU79" s="272"/>
      <c r="IV79" s="272"/>
      <c r="IW79" s="272"/>
      <c r="IX79" s="272"/>
      <c r="IY79" s="272"/>
      <c r="IZ79" s="272"/>
      <c r="JA79" s="272"/>
      <c r="JB79" s="272"/>
      <c r="JC79" s="272"/>
      <c r="JD79" s="272"/>
      <c r="JE79" s="272"/>
      <c r="JF79" s="272"/>
      <c r="JG79" s="272"/>
      <c r="JH79" s="272"/>
      <c r="JI79" s="272"/>
      <c r="JJ79" s="272"/>
      <c r="JK79" s="272"/>
      <c r="JL79" s="272"/>
      <c r="JM79" s="272"/>
      <c r="JN79" s="272"/>
      <c r="JO79" s="272"/>
      <c r="JP79" s="272"/>
      <c r="JQ79" s="272"/>
      <c r="JR79" s="272"/>
      <c r="JS79" s="272"/>
      <c r="JT79" s="272"/>
      <c r="JU79" s="272"/>
      <c r="JV79" s="272"/>
      <c r="JW79" s="272"/>
      <c r="JX79" s="272"/>
      <c r="JY79" s="272"/>
      <c r="JZ79" s="272"/>
      <c r="KA79" s="272"/>
      <c r="KB79" s="272"/>
      <c r="KC79" s="272"/>
      <c r="KD79" s="272"/>
      <c r="KE79" s="272"/>
      <c r="KF79" s="272"/>
      <c r="KG79" s="272"/>
      <c r="KH79" s="272"/>
      <c r="KI79" s="272"/>
      <c r="KJ79" s="272"/>
      <c r="KK79" s="272"/>
      <c r="KL79" s="272"/>
      <c r="KM79" s="272"/>
      <c r="KN79" s="272"/>
      <c r="KO79" s="272"/>
      <c r="KP79" s="272"/>
      <c r="KQ79" s="272"/>
      <c r="KR79" s="272"/>
      <c r="KS79" s="272"/>
      <c r="KT79" s="272"/>
      <c r="KU79" s="272"/>
      <c r="KV79" s="272"/>
      <c r="KW79" s="272"/>
      <c r="KX79" s="272"/>
      <c r="KY79" s="272"/>
      <c r="KZ79" s="272"/>
      <c r="LA79" s="272"/>
      <c r="LB79" s="272"/>
      <c r="LC79" s="272"/>
      <c r="LD79" s="272"/>
      <c r="LE79" s="272"/>
      <c r="LF79" s="272"/>
      <c r="LG79" s="272"/>
      <c r="LH79" s="272"/>
      <c r="LI79" s="272"/>
      <c r="LJ79" s="272"/>
      <c r="LK79" s="272"/>
      <c r="LL79" s="272"/>
      <c r="LM79" s="272"/>
      <c r="LN79" s="272"/>
      <c r="LO79" s="272"/>
      <c r="LP79" s="272"/>
      <c r="LQ79" s="272"/>
      <c r="LR79" s="272"/>
      <c r="LS79" s="272"/>
      <c r="LT79" s="272"/>
      <c r="LU79" s="272"/>
      <c r="LV79" s="272"/>
      <c r="LW79" s="272"/>
      <c r="LX79" s="272"/>
      <c r="LY79" s="272"/>
      <c r="LZ79" s="272"/>
      <c r="MA79" s="272"/>
      <c r="MB79" s="272"/>
      <c r="MC79" s="272"/>
      <c r="MD79" s="272"/>
      <c r="ME79" s="272"/>
      <c r="MF79" s="272"/>
      <c r="MG79" s="272"/>
      <c r="MH79" s="272"/>
      <c r="MI79" s="272"/>
      <c r="MJ79" s="272"/>
      <c r="MK79" s="272"/>
      <c r="ML79" s="272"/>
      <c r="MM79" s="272"/>
      <c r="MN79" s="272"/>
      <c r="MO79" s="272"/>
      <c r="MP79" s="272"/>
      <c r="MQ79" s="272"/>
      <c r="MR79" s="272"/>
      <c r="MS79" s="272"/>
      <c r="MT79" s="272"/>
      <c r="MU79" s="272"/>
      <c r="MV79" s="272"/>
      <c r="MW79" s="272"/>
      <c r="MX79" s="272"/>
      <c r="MY79" s="272"/>
      <c r="MZ79" s="272"/>
      <c r="NA79" s="272"/>
      <c r="NB79" s="272"/>
      <c r="NC79" s="272"/>
      <c r="ND79" s="272"/>
      <c r="NE79" s="272"/>
      <c r="NF79" s="272"/>
      <c r="NG79" s="272"/>
      <c r="NH79" s="272"/>
      <c r="NI79" s="272"/>
      <c r="NJ79" s="272"/>
      <c r="NK79" s="272"/>
      <c r="NL79" s="272"/>
      <c r="NM79" s="272"/>
      <c r="NN79" s="272"/>
      <c r="NO79" s="272"/>
      <c r="NP79" s="272"/>
      <c r="NQ79" s="272"/>
      <c r="NR79" s="272"/>
      <c r="NS79" s="272"/>
      <c r="NT79" s="272"/>
      <c r="NU79" s="272"/>
      <c r="NV79" s="272"/>
      <c r="NW79" s="272"/>
      <c r="NX79" s="272"/>
      <c r="NY79" s="272"/>
      <c r="NZ79" s="272"/>
      <c r="OA79" s="272"/>
      <c r="OB79" s="272"/>
      <c r="OC79" s="272"/>
      <c r="OD79" s="272"/>
      <c r="OE79" s="272"/>
      <c r="OF79" s="272"/>
      <c r="OG79" s="272"/>
      <c r="OH79" s="272"/>
      <c r="OI79" s="272"/>
      <c r="OJ79" s="272"/>
      <c r="OK79" s="272"/>
      <c r="OL79" s="272"/>
      <c r="OM79" s="272"/>
      <c r="ON79" s="272"/>
      <c r="OO79" s="272"/>
      <c r="OP79" s="272"/>
      <c r="OQ79" s="272"/>
      <c r="OR79" s="272"/>
      <c r="OS79" s="272"/>
      <c r="OT79" s="272"/>
      <c r="OU79" s="272"/>
      <c r="OV79" s="272"/>
      <c r="OW79" s="272"/>
      <c r="OX79" s="272"/>
      <c r="OY79" s="272"/>
      <c r="OZ79" s="272"/>
      <c r="PA79" s="272"/>
      <c r="PB79" s="272"/>
      <c r="PC79" s="272"/>
      <c r="PD79" s="272"/>
      <c r="PE79" s="272"/>
      <c r="PF79" s="272"/>
      <c r="PG79" s="272"/>
      <c r="PH79" s="272"/>
      <c r="PI79" s="272"/>
      <c r="PJ79" s="272"/>
      <c r="PK79" s="272"/>
      <c r="PL79" s="272"/>
      <c r="PM79" s="272"/>
      <c r="PN79" s="272"/>
      <c r="PO79" s="272"/>
      <c r="PP79" s="272"/>
      <c r="PQ79" s="272"/>
      <c r="PR79" s="272"/>
      <c r="PS79" s="272"/>
      <c r="PT79" s="272"/>
      <c r="PU79" s="272"/>
      <c r="PV79" s="272"/>
      <c r="PW79" s="272"/>
      <c r="PX79" s="272"/>
      <c r="PY79" s="272"/>
      <c r="PZ79" s="272"/>
      <c r="QA79" s="272"/>
      <c r="QB79" s="272"/>
      <c r="QC79" s="272"/>
      <c r="QD79" s="272"/>
      <c r="QE79" s="272"/>
      <c r="QF79" s="272"/>
      <c r="QG79" s="272"/>
      <c r="QH79" s="272"/>
      <c r="QI79" s="272"/>
      <c r="QJ79" s="272"/>
      <c r="QK79" s="272"/>
      <c r="QL79" s="272"/>
      <c r="QM79" s="272"/>
      <c r="QN79" s="272"/>
      <c r="QO79" s="272"/>
      <c r="QP79" s="272"/>
      <c r="QQ79" s="272"/>
      <c r="QR79" s="272"/>
      <c r="QS79" s="272"/>
      <c r="QT79" s="272"/>
      <c r="QU79" s="272"/>
      <c r="QV79" s="272"/>
      <c r="QW79" s="272"/>
      <c r="QX79" s="272"/>
      <c r="QY79" s="272"/>
      <c r="QZ79" s="272"/>
      <c r="RA79" s="272"/>
      <c r="RB79" s="272"/>
      <c r="RC79" s="272"/>
      <c r="RD79" s="272"/>
      <c r="RE79" s="272"/>
      <c r="RF79" s="272"/>
      <c r="RG79" s="272"/>
      <c r="RH79" s="272"/>
      <c r="RI79" s="272"/>
      <c r="RJ79" s="272"/>
      <c r="RK79" s="272"/>
      <c r="RL79" s="272"/>
      <c r="RM79" s="272"/>
      <c r="RN79" s="272"/>
      <c r="RO79" s="272"/>
      <c r="RP79" s="272"/>
      <c r="RQ79" s="272"/>
      <c r="RR79" s="272"/>
      <c r="RS79" s="272"/>
      <c r="RT79" s="272"/>
      <c r="RU79" s="272"/>
      <c r="RV79" s="272"/>
      <c r="RW79" s="272"/>
      <c r="RX79" s="272"/>
      <c r="RY79" s="272"/>
      <c r="RZ79" s="272"/>
      <c r="SA79" s="272"/>
      <c r="SB79" s="272"/>
      <c r="SC79" s="272"/>
      <c r="SD79" s="272"/>
      <c r="SE79" s="272"/>
      <c r="SF79" s="272"/>
      <c r="SG79" s="272"/>
      <c r="SH79" s="272"/>
      <c r="SI79" s="272"/>
      <c r="SJ79" s="272"/>
      <c r="SK79" s="272"/>
      <c r="SL79" s="272"/>
      <c r="SM79" s="272"/>
      <c r="SN79" s="272"/>
      <c r="SO79" s="272"/>
      <c r="SP79" s="272"/>
      <c r="SQ79" s="272"/>
      <c r="SR79" s="272"/>
      <c r="SS79" s="272"/>
      <c r="ST79" s="272"/>
      <c r="SU79" s="272"/>
      <c r="SV79" s="272"/>
      <c r="SW79" s="272"/>
      <c r="SX79" s="272"/>
      <c r="SY79" s="272"/>
      <c r="SZ79" s="272"/>
      <c r="TA79" s="272"/>
      <c r="TB79" s="272"/>
      <c r="TC79" s="272"/>
      <c r="TD79" s="272"/>
      <c r="TE79" s="272"/>
      <c r="TF79" s="272"/>
      <c r="TG79" s="272"/>
      <c r="TH79" s="272"/>
      <c r="TI79" s="272"/>
      <c r="TJ79" s="272"/>
      <c r="TK79" s="272"/>
      <c r="TL79" s="272"/>
      <c r="TM79" s="272"/>
      <c r="TN79" s="272"/>
      <c r="TO79" s="272"/>
      <c r="TP79" s="272"/>
      <c r="TQ79" s="272"/>
      <c r="TR79" s="272"/>
      <c r="TS79" s="272"/>
      <c r="TT79" s="272"/>
      <c r="TU79" s="272"/>
      <c r="TV79" s="272"/>
      <c r="TW79" s="272"/>
      <c r="TX79" s="272"/>
      <c r="TY79" s="272"/>
      <c r="TZ79" s="272"/>
      <c r="UA79" s="272"/>
      <c r="UB79" s="272"/>
      <c r="UC79" s="272"/>
      <c r="UD79" s="272"/>
      <c r="UE79" s="272"/>
      <c r="UF79" s="272"/>
      <c r="UG79" s="272"/>
      <c r="UH79" s="272"/>
      <c r="UI79" s="272"/>
      <c r="UJ79" s="272"/>
      <c r="UK79" s="272"/>
      <c r="UL79" s="272"/>
      <c r="UM79" s="272"/>
      <c r="UN79" s="272"/>
      <c r="UO79" s="272"/>
      <c r="UP79" s="272"/>
      <c r="UQ79" s="272"/>
      <c r="UR79" s="272"/>
      <c r="US79" s="272"/>
      <c r="UT79" s="272"/>
      <c r="UU79" s="272"/>
      <c r="UV79" s="272"/>
      <c r="UW79" s="272"/>
      <c r="UX79" s="272"/>
      <c r="UY79" s="272"/>
      <c r="UZ79" s="272"/>
      <c r="VA79" s="272"/>
      <c r="VB79" s="272"/>
      <c r="VC79" s="272"/>
      <c r="VD79" s="272"/>
      <c r="VE79" s="272"/>
      <c r="VF79" s="272"/>
      <c r="VG79" s="272"/>
      <c r="VH79" s="272"/>
      <c r="VI79" s="272"/>
      <c r="VJ79" s="272"/>
      <c r="VK79" s="272"/>
      <c r="VL79" s="272"/>
      <c r="VM79" s="272"/>
      <c r="VN79" s="272"/>
      <c r="VO79" s="272"/>
      <c r="VP79" s="272"/>
      <c r="VQ79" s="272"/>
      <c r="VR79" s="272"/>
      <c r="VS79" s="272"/>
      <c r="VT79" s="272"/>
      <c r="VU79" s="272"/>
      <c r="VV79" s="272"/>
      <c r="VW79" s="272"/>
      <c r="VX79" s="272"/>
      <c r="VY79" s="272"/>
      <c r="VZ79" s="272"/>
      <c r="WA79" s="272"/>
      <c r="WB79" s="272"/>
      <c r="WC79" s="272"/>
      <c r="WD79" s="272"/>
      <c r="WE79" s="272"/>
      <c r="WF79" s="272"/>
      <c r="WG79" s="272"/>
      <c r="WH79" s="272"/>
      <c r="WI79" s="272"/>
      <c r="WJ79" s="272"/>
      <c r="WK79" s="272"/>
      <c r="WL79" s="272"/>
      <c r="WM79" s="272"/>
      <c r="WN79" s="272"/>
      <c r="WO79" s="272"/>
      <c r="WP79" s="272"/>
      <c r="WQ79" s="272"/>
      <c r="WR79" s="272"/>
      <c r="WS79" s="272"/>
      <c r="WT79" s="272"/>
      <c r="WU79" s="272"/>
      <c r="WV79" s="272"/>
      <c r="WW79" s="272"/>
      <c r="WX79" s="272"/>
      <c r="WY79" s="272"/>
      <c r="WZ79" s="272"/>
      <c r="XA79" s="272"/>
      <c r="XB79" s="272"/>
      <c r="XC79" s="272"/>
      <c r="XD79" s="272"/>
      <c r="XE79" s="272"/>
      <c r="XF79" s="272"/>
      <c r="XG79" s="272"/>
      <c r="XH79" s="272"/>
      <c r="XI79" s="272"/>
      <c r="XJ79" s="272"/>
      <c r="XK79" s="272"/>
      <c r="XL79" s="272"/>
      <c r="XM79" s="272"/>
      <c r="XN79" s="272"/>
      <c r="XO79" s="272"/>
      <c r="XP79" s="272"/>
      <c r="XQ79" s="272"/>
      <c r="XR79" s="272"/>
      <c r="XS79" s="272"/>
      <c r="XT79" s="272"/>
      <c r="XU79" s="272"/>
      <c r="XV79" s="272"/>
      <c r="XW79" s="272"/>
      <c r="XX79" s="272"/>
      <c r="XY79" s="272"/>
      <c r="XZ79" s="272"/>
      <c r="YA79" s="272"/>
      <c r="YB79" s="272"/>
      <c r="YC79" s="272"/>
      <c r="YD79" s="272"/>
      <c r="YE79" s="272"/>
      <c r="YF79" s="272"/>
      <c r="YG79" s="272"/>
      <c r="YH79" s="272"/>
      <c r="YI79" s="272"/>
      <c r="YJ79" s="272"/>
      <c r="YK79" s="272"/>
      <c r="YL79" s="272"/>
      <c r="YM79" s="272"/>
      <c r="YN79" s="272"/>
      <c r="YO79" s="272"/>
      <c r="YP79" s="272"/>
      <c r="YQ79" s="272"/>
      <c r="YR79" s="272"/>
      <c r="YS79" s="272"/>
      <c r="YT79" s="272"/>
      <c r="YU79" s="272"/>
      <c r="YV79" s="272"/>
      <c r="YW79" s="272"/>
      <c r="YX79" s="272"/>
      <c r="YY79" s="272"/>
      <c r="YZ79" s="272"/>
      <c r="ZA79" s="272"/>
      <c r="ZB79" s="272"/>
      <c r="ZC79" s="272"/>
      <c r="ZD79" s="272"/>
      <c r="ZE79" s="272"/>
      <c r="ZF79" s="272"/>
      <c r="ZG79" s="272"/>
      <c r="ZH79" s="272"/>
      <c r="ZI79" s="272"/>
      <c r="ZJ79" s="272"/>
      <c r="ZK79" s="272"/>
      <c r="ZL79" s="272"/>
      <c r="ZM79" s="272"/>
      <c r="ZN79" s="272"/>
      <c r="ZO79" s="272"/>
      <c r="ZP79" s="272"/>
      <c r="ZQ79" s="272"/>
      <c r="ZR79" s="272"/>
      <c r="ZS79" s="272"/>
      <c r="ZT79" s="272"/>
      <c r="ZU79" s="272"/>
      <c r="ZV79" s="272"/>
      <c r="ZW79" s="272"/>
      <c r="ZX79" s="272"/>
      <c r="ZY79" s="272"/>
      <c r="ZZ79" s="272"/>
      <c r="AAA79" s="272"/>
      <c r="AAB79" s="272"/>
      <c r="AAC79" s="272"/>
      <c r="AAD79" s="272"/>
      <c r="AAE79" s="272"/>
      <c r="AAF79" s="272"/>
      <c r="AAG79" s="272"/>
      <c r="AAH79" s="272"/>
      <c r="AAI79" s="272"/>
      <c r="AAJ79" s="272"/>
      <c r="AAK79" s="272"/>
      <c r="AAL79" s="272"/>
      <c r="AAM79" s="272"/>
      <c r="AAN79" s="272"/>
      <c r="AAO79" s="272"/>
      <c r="AAP79" s="272"/>
      <c r="AAQ79" s="272"/>
      <c r="AAR79" s="272"/>
      <c r="AAS79" s="272"/>
      <c r="AAT79" s="272"/>
      <c r="AAU79" s="272"/>
      <c r="AAV79" s="272"/>
      <c r="AAW79" s="272"/>
      <c r="AAX79" s="272"/>
      <c r="AAY79" s="272"/>
      <c r="AAZ79" s="272"/>
      <c r="ABA79" s="272"/>
      <c r="ABB79" s="272"/>
      <c r="ABC79" s="272"/>
      <c r="ABD79" s="272"/>
      <c r="ABE79" s="272"/>
      <c r="ABF79" s="272"/>
      <c r="ABG79" s="272"/>
    </row>
    <row r="80" spans="1:735" s="61" customFormat="1" ht="51">
      <c r="A80" s="51" t="s">
        <v>11</v>
      </c>
      <c r="B80" s="38" t="s">
        <v>31</v>
      </c>
      <c r="C80" s="26" t="s">
        <v>52</v>
      </c>
      <c r="D80" s="501"/>
      <c r="E80" s="502"/>
      <c r="F80" s="503"/>
      <c r="G80" s="504"/>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2"/>
      <c r="CC80" s="272"/>
      <c r="CD80" s="272"/>
      <c r="CE80" s="272"/>
      <c r="CF80" s="272"/>
      <c r="CG80" s="272"/>
      <c r="CH80" s="272"/>
      <c r="CI80" s="272"/>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272"/>
      <c r="FE80" s="272"/>
      <c r="FF80" s="272"/>
      <c r="FG80" s="272"/>
      <c r="FH80" s="272"/>
      <c r="FI80" s="272"/>
      <c r="FJ80" s="272"/>
      <c r="FK80" s="272"/>
      <c r="FL80" s="272"/>
      <c r="FM80" s="272"/>
      <c r="FN80" s="272"/>
      <c r="FO80" s="272"/>
      <c r="FP80" s="272"/>
      <c r="FQ80" s="272"/>
      <c r="FR80" s="272"/>
      <c r="FS80" s="272"/>
      <c r="FT80" s="272"/>
      <c r="FU80" s="272"/>
      <c r="FV80" s="272"/>
      <c r="FW80" s="272"/>
      <c r="FX80" s="272"/>
      <c r="FY80" s="272"/>
      <c r="FZ80" s="272"/>
      <c r="GA80" s="272"/>
      <c r="GB80" s="272"/>
      <c r="GC80" s="272"/>
      <c r="GD80" s="272"/>
      <c r="GE80" s="272"/>
      <c r="GF80" s="272"/>
      <c r="GG80" s="272"/>
      <c r="GH80" s="272"/>
      <c r="GI80" s="272"/>
      <c r="GJ80" s="272"/>
      <c r="GK80" s="272"/>
      <c r="GL80" s="272"/>
      <c r="GM80" s="272"/>
      <c r="GN80" s="272"/>
      <c r="GO80" s="272"/>
      <c r="GP80" s="272"/>
      <c r="GQ80" s="272"/>
      <c r="GR80" s="272"/>
      <c r="GS80" s="272"/>
      <c r="GT80" s="272"/>
      <c r="GU80" s="272"/>
      <c r="GV80" s="272"/>
      <c r="GW80" s="272"/>
      <c r="GX80" s="272"/>
      <c r="GY80" s="272"/>
      <c r="GZ80" s="272"/>
      <c r="HA80" s="272"/>
      <c r="HB80" s="272"/>
      <c r="HC80" s="272"/>
      <c r="HD80" s="272"/>
      <c r="HE80" s="272"/>
      <c r="HF80" s="272"/>
      <c r="HG80" s="272"/>
      <c r="HH80" s="272"/>
      <c r="HI80" s="272"/>
      <c r="HJ80" s="272"/>
      <c r="HK80" s="272"/>
      <c r="HL80" s="272"/>
      <c r="HM80" s="272"/>
      <c r="HN80" s="272"/>
      <c r="HO80" s="272"/>
      <c r="HP80" s="272"/>
      <c r="HQ80" s="272"/>
      <c r="HR80" s="272"/>
      <c r="HS80" s="272"/>
      <c r="HT80" s="272"/>
      <c r="HU80" s="272"/>
      <c r="HV80" s="272"/>
      <c r="HW80" s="272"/>
      <c r="HX80" s="272"/>
      <c r="HY80" s="272"/>
      <c r="HZ80" s="272"/>
      <c r="IA80" s="272"/>
      <c r="IB80" s="272"/>
      <c r="IC80" s="272"/>
      <c r="ID80" s="272"/>
      <c r="IE80" s="272"/>
      <c r="IF80" s="272"/>
      <c r="IG80" s="272"/>
      <c r="IH80" s="272"/>
      <c r="II80" s="272"/>
      <c r="IJ80" s="272"/>
      <c r="IK80" s="272"/>
      <c r="IL80" s="272"/>
      <c r="IM80" s="272"/>
      <c r="IN80" s="272"/>
      <c r="IO80" s="272"/>
      <c r="IP80" s="272"/>
      <c r="IQ80" s="272"/>
      <c r="IR80" s="272"/>
      <c r="IS80" s="272"/>
      <c r="IT80" s="272"/>
      <c r="IU80" s="272"/>
      <c r="IV80" s="272"/>
      <c r="IW80" s="272"/>
      <c r="IX80" s="272"/>
      <c r="IY80" s="272"/>
      <c r="IZ80" s="272"/>
      <c r="JA80" s="272"/>
      <c r="JB80" s="272"/>
      <c r="JC80" s="272"/>
      <c r="JD80" s="272"/>
      <c r="JE80" s="272"/>
      <c r="JF80" s="272"/>
      <c r="JG80" s="272"/>
      <c r="JH80" s="272"/>
      <c r="JI80" s="272"/>
      <c r="JJ80" s="272"/>
      <c r="JK80" s="272"/>
      <c r="JL80" s="272"/>
      <c r="JM80" s="272"/>
      <c r="JN80" s="272"/>
      <c r="JO80" s="272"/>
      <c r="JP80" s="272"/>
      <c r="JQ80" s="272"/>
      <c r="JR80" s="272"/>
      <c r="JS80" s="272"/>
      <c r="JT80" s="272"/>
      <c r="JU80" s="272"/>
      <c r="JV80" s="272"/>
      <c r="JW80" s="272"/>
      <c r="JX80" s="272"/>
      <c r="JY80" s="272"/>
      <c r="JZ80" s="272"/>
      <c r="KA80" s="272"/>
      <c r="KB80" s="272"/>
      <c r="KC80" s="272"/>
      <c r="KD80" s="272"/>
      <c r="KE80" s="272"/>
      <c r="KF80" s="272"/>
      <c r="KG80" s="272"/>
      <c r="KH80" s="272"/>
      <c r="KI80" s="272"/>
      <c r="KJ80" s="272"/>
      <c r="KK80" s="272"/>
      <c r="KL80" s="272"/>
      <c r="KM80" s="272"/>
      <c r="KN80" s="272"/>
      <c r="KO80" s="272"/>
      <c r="KP80" s="272"/>
      <c r="KQ80" s="272"/>
      <c r="KR80" s="272"/>
      <c r="KS80" s="272"/>
      <c r="KT80" s="272"/>
      <c r="KU80" s="272"/>
      <c r="KV80" s="272"/>
      <c r="KW80" s="272"/>
      <c r="KX80" s="272"/>
      <c r="KY80" s="272"/>
      <c r="KZ80" s="272"/>
      <c r="LA80" s="272"/>
      <c r="LB80" s="272"/>
      <c r="LC80" s="272"/>
      <c r="LD80" s="272"/>
      <c r="LE80" s="272"/>
      <c r="LF80" s="272"/>
      <c r="LG80" s="272"/>
      <c r="LH80" s="272"/>
      <c r="LI80" s="272"/>
      <c r="LJ80" s="272"/>
      <c r="LK80" s="272"/>
      <c r="LL80" s="272"/>
      <c r="LM80" s="272"/>
      <c r="LN80" s="272"/>
      <c r="LO80" s="272"/>
      <c r="LP80" s="272"/>
      <c r="LQ80" s="272"/>
      <c r="LR80" s="272"/>
      <c r="LS80" s="272"/>
      <c r="LT80" s="272"/>
      <c r="LU80" s="272"/>
      <c r="LV80" s="272"/>
      <c r="LW80" s="272"/>
      <c r="LX80" s="272"/>
      <c r="LY80" s="272"/>
      <c r="LZ80" s="272"/>
      <c r="MA80" s="272"/>
      <c r="MB80" s="272"/>
      <c r="MC80" s="272"/>
      <c r="MD80" s="272"/>
      <c r="ME80" s="272"/>
      <c r="MF80" s="272"/>
      <c r="MG80" s="272"/>
      <c r="MH80" s="272"/>
      <c r="MI80" s="272"/>
      <c r="MJ80" s="272"/>
      <c r="MK80" s="272"/>
      <c r="ML80" s="272"/>
      <c r="MM80" s="272"/>
      <c r="MN80" s="272"/>
      <c r="MO80" s="272"/>
      <c r="MP80" s="272"/>
      <c r="MQ80" s="272"/>
      <c r="MR80" s="272"/>
      <c r="MS80" s="272"/>
      <c r="MT80" s="272"/>
      <c r="MU80" s="272"/>
      <c r="MV80" s="272"/>
      <c r="MW80" s="272"/>
      <c r="MX80" s="272"/>
      <c r="MY80" s="272"/>
      <c r="MZ80" s="272"/>
      <c r="NA80" s="272"/>
      <c r="NB80" s="272"/>
      <c r="NC80" s="272"/>
      <c r="ND80" s="272"/>
      <c r="NE80" s="272"/>
      <c r="NF80" s="272"/>
      <c r="NG80" s="272"/>
      <c r="NH80" s="272"/>
      <c r="NI80" s="272"/>
      <c r="NJ80" s="272"/>
      <c r="NK80" s="272"/>
      <c r="NL80" s="272"/>
      <c r="NM80" s="272"/>
      <c r="NN80" s="272"/>
      <c r="NO80" s="272"/>
      <c r="NP80" s="272"/>
      <c r="NQ80" s="272"/>
      <c r="NR80" s="272"/>
      <c r="NS80" s="272"/>
      <c r="NT80" s="272"/>
      <c r="NU80" s="272"/>
      <c r="NV80" s="272"/>
      <c r="NW80" s="272"/>
      <c r="NX80" s="272"/>
      <c r="NY80" s="272"/>
      <c r="NZ80" s="272"/>
      <c r="OA80" s="272"/>
      <c r="OB80" s="272"/>
      <c r="OC80" s="272"/>
      <c r="OD80" s="272"/>
      <c r="OE80" s="272"/>
      <c r="OF80" s="272"/>
      <c r="OG80" s="272"/>
      <c r="OH80" s="272"/>
      <c r="OI80" s="272"/>
      <c r="OJ80" s="272"/>
      <c r="OK80" s="272"/>
      <c r="OL80" s="272"/>
      <c r="OM80" s="272"/>
      <c r="ON80" s="272"/>
      <c r="OO80" s="272"/>
      <c r="OP80" s="272"/>
      <c r="OQ80" s="272"/>
      <c r="OR80" s="272"/>
      <c r="OS80" s="272"/>
      <c r="OT80" s="272"/>
      <c r="OU80" s="272"/>
      <c r="OV80" s="272"/>
      <c r="OW80" s="272"/>
      <c r="OX80" s="272"/>
      <c r="OY80" s="272"/>
      <c r="OZ80" s="272"/>
      <c r="PA80" s="272"/>
      <c r="PB80" s="272"/>
      <c r="PC80" s="272"/>
      <c r="PD80" s="272"/>
      <c r="PE80" s="272"/>
      <c r="PF80" s="272"/>
      <c r="PG80" s="272"/>
      <c r="PH80" s="272"/>
      <c r="PI80" s="272"/>
      <c r="PJ80" s="272"/>
      <c r="PK80" s="272"/>
      <c r="PL80" s="272"/>
      <c r="PM80" s="272"/>
      <c r="PN80" s="272"/>
      <c r="PO80" s="272"/>
      <c r="PP80" s="272"/>
      <c r="PQ80" s="272"/>
      <c r="PR80" s="272"/>
      <c r="PS80" s="272"/>
      <c r="PT80" s="272"/>
      <c r="PU80" s="272"/>
      <c r="PV80" s="272"/>
      <c r="PW80" s="272"/>
      <c r="PX80" s="272"/>
      <c r="PY80" s="272"/>
      <c r="PZ80" s="272"/>
      <c r="QA80" s="272"/>
      <c r="QB80" s="272"/>
      <c r="QC80" s="272"/>
      <c r="QD80" s="272"/>
      <c r="QE80" s="272"/>
      <c r="QF80" s="272"/>
      <c r="QG80" s="272"/>
      <c r="QH80" s="272"/>
      <c r="QI80" s="272"/>
      <c r="QJ80" s="272"/>
      <c r="QK80" s="272"/>
      <c r="QL80" s="272"/>
      <c r="QM80" s="272"/>
      <c r="QN80" s="272"/>
      <c r="QO80" s="272"/>
      <c r="QP80" s="272"/>
      <c r="QQ80" s="272"/>
      <c r="QR80" s="272"/>
      <c r="QS80" s="272"/>
      <c r="QT80" s="272"/>
      <c r="QU80" s="272"/>
      <c r="QV80" s="272"/>
      <c r="QW80" s="272"/>
      <c r="QX80" s="272"/>
      <c r="QY80" s="272"/>
      <c r="QZ80" s="272"/>
      <c r="RA80" s="272"/>
      <c r="RB80" s="272"/>
      <c r="RC80" s="272"/>
      <c r="RD80" s="272"/>
      <c r="RE80" s="272"/>
      <c r="RF80" s="272"/>
      <c r="RG80" s="272"/>
      <c r="RH80" s="272"/>
      <c r="RI80" s="272"/>
      <c r="RJ80" s="272"/>
      <c r="RK80" s="272"/>
      <c r="RL80" s="272"/>
      <c r="RM80" s="272"/>
      <c r="RN80" s="272"/>
      <c r="RO80" s="272"/>
      <c r="RP80" s="272"/>
      <c r="RQ80" s="272"/>
      <c r="RR80" s="272"/>
      <c r="RS80" s="272"/>
      <c r="RT80" s="272"/>
      <c r="RU80" s="272"/>
      <c r="RV80" s="272"/>
      <c r="RW80" s="272"/>
      <c r="RX80" s="272"/>
      <c r="RY80" s="272"/>
      <c r="RZ80" s="272"/>
      <c r="SA80" s="272"/>
      <c r="SB80" s="272"/>
      <c r="SC80" s="272"/>
      <c r="SD80" s="272"/>
      <c r="SE80" s="272"/>
      <c r="SF80" s="272"/>
      <c r="SG80" s="272"/>
      <c r="SH80" s="272"/>
      <c r="SI80" s="272"/>
      <c r="SJ80" s="272"/>
      <c r="SK80" s="272"/>
      <c r="SL80" s="272"/>
      <c r="SM80" s="272"/>
      <c r="SN80" s="272"/>
      <c r="SO80" s="272"/>
      <c r="SP80" s="272"/>
      <c r="SQ80" s="272"/>
      <c r="SR80" s="272"/>
      <c r="SS80" s="272"/>
      <c r="ST80" s="272"/>
      <c r="SU80" s="272"/>
      <c r="SV80" s="272"/>
      <c r="SW80" s="272"/>
      <c r="SX80" s="272"/>
      <c r="SY80" s="272"/>
      <c r="SZ80" s="272"/>
      <c r="TA80" s="272"/>
      <c r="TB80" s="272"/>
      <c r="TC80" s="272"/>
      <c r="TD80" s="272"/>
      <c r="TE80" s="272"/>
      <c r="TF80" s="272"/>
      <c r="TG80" s="272"/>
      <c r="TH80" s="272"/>
      <c r="TI80" s="272"/>
      <c r="TJ80" s="272"/>
      <c r="TK80" s="272"/>
      <c r="TL80" s="272"/>
      <c r="TM80" s="272"/>
      <c r="TN80" s="272"/>
      <c r="TO80" s="272"/>
      <c r="TP80" s="272"/>
      <c r="TQ80" s="272"/>
      <c r="TR80" s="272"/>
      <c r="TS80" s="272"/>
      <c r="TT80" s="272"/>
      <c r="TU80" s="272"/>
      <c r="TV80" s="272"/>
      <c r="TW80" s="272"/>
      <c r="TX80" s="272"/>
      <c r="TY80" s="272"/>
      <c r="TZ80" s="272"/>
      <c r="UA80" s="272"/>
      <c r="UB80" s="272"/>
      <c r="UC80" s="272"/>
      <c r="UD80" s="272"/>
      <c r="UE80" s="272"/>
      <c r="UF80" s="272"/>
      <c r="UG80" s="272"/>
      <c r="UH80" s="272"/>
      <c r="UI80" s="272"/>
      <c r="UJ80" s="272"/>
      <c r="UK80" s="272"/>
      <c r="UL80" s="272"/>
      <c r="UM80" s="272"/>
      <c r="UN80" s="272"/>
      <c r="UO80" s="272"/>
      <c r="UP80" s="272"/>
      <c r="UQ80" s="272"/>
      <c r="UR80" s="272"/>
      <c r="US80" s="272"/>
      <c r="UT80" s="272"/>
      <c r="UU80" s="272"/>
      <c r="UV80" s="272"/>
      <c r="UW80" s="272"/>
      <c r="UX80" s="272"/>
      <c r="UY80" s="272"/>
      <c r="UZ80" s="272"/>
      <c r="VA80" s="272"/>
      <c r="VB80" s="272"/>
      <c r="VC80" s="272"/>
      <c r="VD80" s="272"/>
      <c r="VE80" s="272"/>
      <c r="VF80" s="272"/>
      <c r="VG80" s="272"/>
      <c r="VH80" s="272"/>
      <c r="VI80" s="272"/>
      <c r="VJ80" s="272"/>
      <c r="VK80" s="272"/>
      <c r="VL80" s="272"/>
      <c r="VM80" s="272"/>
      <c r="VN80" s="272"/>
      <c r="VO80" s="272"/>
      <c r="VP80" s="272"/>
      <c r="VQ80" s="272"/>
      <c r="VR80" s="272"/>
      <c r="VS80" s="272"/>
      <c r="VT80" s="272"/>
      <c r="VU80" s="272"/>
      <c r="VV80" s="272"/>
      <c r="VW80" s="272"/>
      <c r="VX80" s="272"/>
      <c r="VY80" s="272"/>
      <c r="VZ80" s="272"/>
      <c r="WA80" s="272"/>
      <c r="WB80" s="272"/>
      <c r="WC80" s="272"/>
      <c r="WD80" s="272"/>
      <c r="WE80" s="272"/>
      <c r="WF80" s="272"/>
      <c r="WG80" s="272"/>
      <c r="WH80" s="272"/>
      <c r="WI80" s="272"/>
      <c r="WJ80" s="272"/>
      <c r="WK80" s="272"/>
      <c r="WL80" s="272"/>
      <c r="WM80" s="272"/>
      <c r="WN80" s="272"/>
      <c r="WO80" s="272"/>
      <c r="WP80" s="272"/>
      <c r="WQ80" s="272"/>
      <c r="WR80" s="272"/>
      <c r="WS80" s="272"/>
      <c r="WT80" s="272"/>
      <c r="WU80" s="272"/>
      <c r="WV80" s="272"/>
      <c r="WW80" s="272"/>
      <c r="WX80" s="272"/>
      <c r="WY80" s="272"/>
      <c r="WZ80" s="272"/>
      <c r="XA80" s="272"/>
      <c r="XB80" s="272"/>
      <c r="XC80" s="272"/>
      <c r="XD80" s="272"/>
      <c r="XE80" s="272"/>
      <c r="XF80" s="272"/>
      <c r="XG80" s="272"/>
      <c r="XH80" s="272"/>
      <c r="XI80" s="272"/>
      <c r="XJ80" s="272"/>
      <c r="XK80" s="272"/>
      <c r="XL80" s="272"/>
      <c r="XM80" s="272"/>
      <c r="XN80" s="272"/>
      <c r="XO80" s="272"/>
      <c r="XP80" s="272"/>
      <c r="XQ80" s="272"/>
      <c r="XR80" s="272"/>
      <c r="XS80" s="272"/>
      <c r="XT80" s="272"/>
      <c r="XU80" s="272"/>
      <c r="XV80" s="272"/>
      <c r="XW80" s="272"/>
      <c r="XX80" s="272"/>
      <c r="XY80" s="272"/>
      <c r="XZ80" s="272"/>
      <c r="YA80" s="272"/>
      <c r="YB80" s="272"/>
      <c r="YC80" s="272"/>
      <c r="YD80" s="272"/>
      <c r="YE80" s="272"/>
      <c r="YF80" s="272"/>
      <c r="YG80" s="272"/>
      <c r="YH80" s="272"/>
      <c r="YI80" s="272"/>
      <c r="YJ80" s="272"/>
      <c r="YK80" s="272"/>
      <c r="YL80" s="272"/>
      <c r="YM80" s="272"/>
      <c r="YN80" s="272"/>
      <c r="YO80" s="272"/>
      <c r="YP80" s="272"/>
      <c r="YQ80" s="272"/>
      <c r="YR80" s="272"/>
      <c r="YS80" s="272"/>
      <c r="YT80" s="272"/>
      <c r="YU80" s="272"/>
      <c r="YV80" s="272"/>
      <c r="YW80" s="272"/>
      <c r="YX80" s="272"/>
      <c r="YY80" s="272"/>
      <c r="YZ80" s="272"/>
      <c r="ZA80" s="272"/>
      <c r="ZB80" s="272"/>
      <c r="ZC80" s="272"/>
      <c r="ZD80" s="272"/>
      <c r="ZE80" s="272"/>
      <c r="ZF80" s="272"/>
      <c r="ZG80" s="272"/>
      <c r="ZH80" s="272"/>
      <c r="ZI80" s="272"/>
      <c r="ZJ80" s="272"/>
      <c r="ZK80" s="272"/>
      <c r="ZL80" s="272"/>
      <c r="ZM80" s="272"/>
      <c r="ZN80" s="272"/>
      <c r="ZO80" s="272"/>
      <c r="ZP80" s="272"/>
      <c r="ZQ80" s="272"/>
      <c r="ZR80" s="272"/>
      <c r="ZS80" s="272"/>
      <c r="ZT80" s="272"/>
      <c r="ZU80" s="272"/>
      <c r="ZV80" s="272"/>
      <c r="ZW80" s="272"/>
      <c r="ZX80" s="272"/>
      <c r="ZY80" s="272"/>
      <c r="ZZ80" s="272"/>
      <c r="AAA80" s="272"/>
      <c r="AAB80" s="272"/>
      <c r="AAC80" s="272"/>
      <c r="AAD80" s="272"/>
      <c r="AAE80" s="272"/>
      <c r="AAF80" s="272"/>
      <c r="AAG80" s="272"/>
      <c r="AAH80" s="272"/>
      <c r="AAI80" s="272"/>
      <c r="AAJ80" s="272"/>
      <c r="AAK80" s="272"/>
      <c r="AAL80" s="272"/>
      <c r="AAM80" s="272"/>
      <c r="AAN80" s="272"/>
      <c r="AAO80" s="272"/>
      <c r="AAP80" s="272"/>
      <c r="AAQ80" s="272"/>
      <c r="AAR80" s="272"/>
      <c r="AAS80" s="272"/>
      <c r="AAT80" s="272"/>
      <c r="AAU80" s="272"/>
      <c r="AAV80" s="272"/>
      <c r="AAW80" s="272"/>
      <c r="AAX80" s="272"/>
      <c r="AAY80" s="272"/>
      <c r="AAZ80" s="272"/>
      <c r="ABA80" s="272"/>
      <c r="ABB80" s="272"/>
      <c r="ABC80" s="272"/>
      <c r="ABD80" s="272"/>
      <c r="ABE80" s="272"/>
      <c r="ABF80" s="272"/>
      <c r="ABG80" s="272"/>
    </row>
    <row r="81" spans="1:735" s="19" customFormat="1" ht="15">
      <c r="A81" s="76"/>
      <c r="B81" s="44"/>
      <c r="C81" s="55" t="s">
        <v>53</v>
      </c>
      <c r="D81" s="55"/>
      <c r="E81" s="57"/>
      <c r="F81" s="263"/>
      <c r="G81" s="388"/>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2"/>
      <c r="CB81" s="272"/>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272"/>
      <c r="FW81" s="272"/>
      <c r="FX81" s="272"/>
      <c r="FY81" s="272"/>
      <c r="FZ81" s="272"/>
      <c r="GA81" s="272"/>
      <c r="GB81" s="272"/>
      <c r="GC81" s="272"/>
      <c r="GD81" s="272"/>
      <c r="GE81" s="272"/>
      <c r="GF81" s="272"/>
      <c r="GG81" s="272"/>
      <c r="GH81" s="272"/>
      <c r="GI81" s="272"/>
      <c r="GJ81" s="272"/>
      <c r="GK81" s="272"/>
      <c r="GL81" s="272"/>
      <c r="GM81" s="272"/>
      <c r="GN81" s="272"/>
      <c r="GO81" s="272"/>
      <c r="GP81" s="272"/>
      <c r="GQ81" s="272"/>
      <c r="GR81" s="272"/>
      <c r="GS81" s="272"/>
      <c r="GT81" s="272"/>
      <c r="GU81" s="272"/>
      <c r="GV81" s="272"/>
      <c r="GW81" s="272"/>
      <c r="GX81" s="272"/>
      <c r="GY81" s="272"/>
      <c r="GZ81" s="272"/>
      <c r="HA81" s="272"/>
      <c r="HB81" s="272"/>
      <c r="HC81" s="272"/>
      <c r="HD81" s="272"/>
      <c r="HE81" s="272"/>
      <c r="HF81" s="272"/>
      <c r="HG81" s="272"/>
      <c r="HH81" s="272"/>
      <c r="HI81" s="272"/>
      <c r="HJ81" s="272"/>
      <c r="HK81" s="272"/>
      <c r="HL81" s="272"/>
      <c r="HM81" s="272"/>
      <c r="HN81" s="272"/>
      <c r="HO81" s="272"/>
      <c r="HP81" s="272"/>
      <c r="HQ81" s="272"/>
      <c r="HR81" s="272"/>
      <c r="HS81" s="272"/>
      <c r="HT81" s="272"/>
      <c r="HU81" s="272"/>
      <c r="HV81" s="272"/>
      <c r="HW81" s="272"/>
      <c r="HX81" s="272"/>
      <c r="HY81" s="272"/>
      <c r="HZ81" s="272"/>
      <c r="IA81" s="272"/>
      <c r="IB81" s="272"/>
      <c r="IC81" s="272"/>
      <c r="ID81" s="272"/>
      <c r="IE81" s="272"/>
      <c r="IF81" s="272"/>
      <c r="IG81" s="272"/>
      <c r="IH81" s="272"/>
      <c r="II81" s="272"/>
      <c r="IJ81" s="272"/>
      <c r="IK81" s="272"/>
      <c r="IL81" s="272"/>
      <c r="IM81" s="272"/>
      <c r="IN81" s="272"/>
      <c r="IO81" s="272"/>
      <c r="IP81" s="272"/>
      <c r="IQ81" s="272"/>
      <c r="IR81" s="272"/>
      <c r="IS81" s="272"/>
      <c r="IT81" s="272"/>
      <c r="IU81" s="272"/>
      <c r="IV81" s="272"/>
      <c r="IW81" s="272"/>
      <c r="IX81" s="272"/>
      <c r="IY81" s="272"/>
      <c r="IZ81" s="272"/>
      <c r="JA81" s="272"/>
      <c r="JB81" s="272"/>
      <c r="JC81" s="272"/>
      <c r="JD81" s="272"/>
      <c r="JE81" s="272"/>
      <c r="JF81" s="272"/>
      <c r="JG81" s="272"/>
      <c r="JH81" s="272"/>
      <c r="JI81" s="272"/>
      <c r="JJ81" s="272"/>
      <c r="JK81" s="272"/>
      <c r="JL81" s="272"/>
      <c r="JM81" s="272"/>
      <c r="JN81" s="272"/>
      <c r="JO81" s="272"/>
      <c r="JP81" s="272"/>
      <c r="JQ81" s="272"/>
      <c r="JR81" s="272"/>
      <c r="JS81" s="272"/>
      <c r="JT81" s="272"/>
      <c r="JU81" s="272"/>
      <c r="JV81" s="272"/>
      <c r="JW81" s="272"/>
      <c r="JX81" s="272"/>
      <c r="JY81" s="272"/>
      <c r="JZ81" s="272"/>
      <c r="KA81" s="272"/>
      <c r="KB81" s="272"/>
      <c r="KC81" s="272"/>
      <c r="KD81" s="272"/>
      <c r="KE81" s="272"/>
      <c r="KF81" s="272"/>
      <c r="KG81" s="272"/>
      <c r="KH81" s="272"/>
      <c r="KI81" s="272"/>
      <c r="KJ81" s="272"/>
      <c r="KK81" s="272"/>
      <c r="KL81" s="272"/>
      <c r="KM81" s="272"/>
      <c r="KN81" s="272"/>
      <c r="KO81" s="272"/>
      <c r="KP81" s="272"/>
      <c r="KQ81" s="272"/>
      <c r="KR81" s="272"/>
      <c r="KS81" s="272"/>
      <c r="KT81" s="272"/>
      <c r="KU81" s="272"/>
      <c r="KV81" s="272"/>
      <c r="KW81" s="272"/>
      <c r="KX81" s="272"/>
      <c r="KY81" s="272"/>
      <c r="KZ81" s="272"/>
      <c r="LA81" s="272"/>
      <c r="LB81" s="272"/>
      <c r="LC81" s="272"/>
      <c r="LD81" s="272"/>
      <c r="LE81" s="272"/>
      <c r="LF81" s="272"/>
      <c r="LG81" s="272"/>
      <c r="LH81" s="272"/>
      <c r="LI81" s="272"/>
      <c r="LJ81" s="272"/>
      <c r="LK81" s="272"/>
      <c r="LL81" s="272"/>
      <c r="LM81" s="272"/>
      <c r="LN81" s="272"/>
      <c r="LO81" s="272"/>
      <c r="LP81" s="272"/>
      <c r="LQ81" s="272"/>
      <c r="LR81" s="272"/>
      <c r="LS81" s="272"/>
      <c r="LT81" s="272"/>
      <c r="LU81" s="272"/>
      <c r="LV81" s="272"/>
      <c r="LW81" s="272"/>
      <c r="LX81" s="272"/>
      <c r="LY81" s="272"/>
      <c r="LZ81" s="272"/>
      <c r="MA81" s="272"/>
      <c r="MB81" s="272"/>
      <c r="MC81" s="272"/>
      <c r="MD81" s="272"/>
      <c r="ME81" s="272"/>
      <c r="MF81" s="272"/>
      <c r="MG81" s="272"/>
      <c r="MH81" s="272"/>
      <c r="MI81" s="272"/>
      <c r="MJ81" s="272"/>
      <c r="MK81" s="272"/>
      <c r="ML81" s="272"/>
      <c r="MM81" s="272"/>
      <c r="MN81" s="272"/>
      <c r="MO81" s="272"/>
      <c r="MP81" s="272"/>
      <c r="MQ81" s="272"/>
      <c r="MR81" s="272"/>
      <c r="MS81" s="272"/>
      <c r="MT81" s="272"/>
      <c r="MU81" s="272"/>
      <c r="MV81" s="272"/>
      <c r="MW81" s="272"/>
      <c r="MX81" s="272"/>
      <c r="MY81" s="272"/>
      <c r="MZ81" s="272"/>
      <c r="NA81" s="272"/>
      <c r="NB81" s="272"/>
      <c r="NC81" s="272"/>
      <c r="ND81" s="272"/>
      <c r="NE81" s="272"/>
      <c r="NF81" s="272"/>
      <c r="NG81" s="272"/>
      <c r="NH81" s="272"/>
      <c r="NI81" s="272"/>
      <c r="NJ81" s="272"/>
      <c r="NK81" s="272"/>
      <c r="NL81" s="272"/>
      <c r="NM81" s="272"/>
      <c r="NN81" s="272"/>
      <c r="NO81" s="272"/>
      <c r="NP81" s="272"/>
      <c r="NQ81" s="272"/>
      <c r="NR81" s="272"/>
      <c r="NS81" s="272"/>
      <c r="NT81" s="272"/>
      <c r="NU81" s="272"/>
      <c r="NV81" s="272"/>
      <c r="NW81" s="272"/>
      <c r="NX81" s="272"/>
      <c r="NY81" s="272"/>
      <c r="NZ81" s="272"/>
      <c r="OA81" s="272"/>
      <c r="OB81" s="272"/>
      <c r="OC81" s="272"/>
      <c r="OD81" s="272"/>
      <c r="OE81" s="272"/>
      <c r="OF81" s="272"/>
      <c r="OG81" s="272"/>
      <c r="OH81" s="272"/>
      <c r="OI81" s="272"/>
      <c r="OJ81" s="272"/>
      <c r="OK81" s="272"/>
      <c r="OL81" s="272"/>
      <c r="OM81" s="272"/>
      <c r="ON81" s="272"/>
      <c r="OO81" s="272"/>
      <c r="OP81" s="272"/>
      <c r="OQ81" s="272"/>
      <c r="OR81" s="272"/>
      <c r="OS81" s="272"/>
      <c r="OT81" s="272"/>
      <c r="OU81" s="272"/>
      <c r="OV81" s="272"/>
      <c r="OW81" s="272"/>
      <c r="OX81" s="272"/>
      <c r="OY81" s="272"/>
      <c r="OZ81" s="272"/>
      <c r="PA81" s="272"/>
      <c r="PB81" s="272"/>
      <c r="PC81" s="272"/>
      <c r="PD81" s="272"/>
      <c r="PE81" s="272"/>
      <c r="PF81" s="272"/>
      <c r="PG81" s="272"/>
      <c r="PH81" s="272"/>
      <c r="PI81" s="272"/>
      <c r="PJ81" s="272"/>
      <c r="PK81" s="272"/>
      <c r="PL81" s="272"/>
      <c r="PM81" s="272"/>
      <c r="PN81" s="272"/>
      <c r="PO81" s="272"/>
      <c r="PP81" s="272"/>
      <c r="PQ81" s="272"/>
      <c r="PR81" s="272"/>
      <c r="PS81" s="272"/>
      <c r="PT81" s="272"/>
      <c r="PU81" s="272"/>
      <c r="PV81" s="272"/>
      <c r="PW81" s="272"/>
      <c r="PX81" s="272"/>
      <c r="PY81" s="272"/>
      <c r="PZ81" s="272"/>
      <c r="QA81" s="272"/>
      <c r="QB81" s="272"/>
      <c r="QC81" s="272"/>
      <c r="QD81" s="272"/>
      <c r="QE81" s="272"/>
      <c r="QF81" s="272"/>
      <c r="QG81" s="272"/>
      <c r="QH81" s="272"/>
      <c r="QI81" s="272"/>
      <c r="QJ81" s="272"/>
      <c r="QK81" s="272"/>
      <c r="QL81" s="272"/>
      <c r="QM81" s="272"/>
      <c r="QN81" s="272"/>
      <c r="QO81" s="272"/>
      <c r="QP81" s="272"/>
      <c r="QQ81" s="272"/>
      <c r="QR81" s="272"/>
      <c r="QS81" s="272"/>
      <c r="QT81" s="272"/>
      <c r="QU81" s="272"/>
      <c r="QV81" s="272"/>
      <c r="QW81" s="272"/>
      <c r="QX81" s="272"/>
      <c r="QY81" s="272"/>
      <c r="QZ81" s="272"/>
      <c r="RA81" s="272"/>
      <c r="RB81" s="272"/>
      <c r="RC81" s="272"/>
      <c r="RD81" s="272"/>
      <c r="RE81" s="272"/>
      <c r="RF81" s="272"/>
      <c r="RG81" s="272"/>
      <c r="RH81" s="272"/>
      <c r="RI81" s="272"/>
      <c r="RJ81" s="272"/>
      <c r="RK81" s="272"/>
      <c r="RL81" s="272"/>
      <c r="RM81" s="272"/>
      <c r="RN81" s="272"/>
      <c r="RO81" s="272"/>
      <c r="RP81" s="272"/>
      <c r="RQ81" s="272"/>
      <c r="RR81" s="272"/>
      <c r="RS81" s="272"/>
      <c r="RT81" s="272"/>
      <c r="RU81" s="272"/>
      <c r="RV81" s="272"/>
      <c r="RW81" s="272"/>
      <c r="RX81" s="272"/>
      <c r="RY81" s="272"/>
      <c r="RZ81" s="272"/>
      <c r="SA81" s="272"/>
      <c r="SB81" s="272"/>
      <c r="SC81" s="272"/>
      <c r="SD81" s="272"/>
      <c r="SE81" s="272"/>
      <c r="SF81" s="272"/>
      <c r="SG81" s="272"/>
      <c r="SH81" s="272"/>
      <c r="SI81" s="272"/>
      <c r="SJ81" s="272"/>
      <c r="SK81" s="272"/>
      <c r="SL81" s="272"/>
      <c r="SM81" s="272"/>
      <c r="SN81" s="272"/>
      <c r="SO81" s="272"/>
      <c r="SP81" s="272"/>
      <c r="SQ81" s="272"/>
      <c r="SR81" s="272"/>
      <c r="SS81" s="272"/>
      <c r="ST81" s="272"/>
      <c r="SU81" s="272"/>
      <c r="SV81" s="272"/>
      <c r="SW81" s="272"/>
      <c r="SX81" s="272"/>
      <c r="SY81" s="272"/>
      <c r="SZ81" s="272"/>
      <c r="TA81" s="272"/>
      <c r="TB81" s="272"/>
      <c r="TC81" s="272"/>
      <c r="TD81" s="272"/>
      <c r="TE81" s="272"/>
      <c r="TF81" s="272"/>
      <c r="TG81" s="272"/>
      <c r="TH81" s="272"/>
      <c r="TI81" s="272"/>
      <c r="TJ81" s="272"/>
      <c r="TK81" s="272"/>
      <c r="TL81" s="272"/>
      <c r="TM81" s="272"/>
      <c r="TN81" s="272"/>
      <c r="TO81" s="272"/>
      <c r="TP81" s="272"/>
      <c r="TQ81" s="272"/>
      <c r="TR81" s="272"/>
      <c r="TS81" s="272"/>
      <c r="TT81" s="272"/>
      <c r="TU81" s="272"/>
      <c r="TV81" s="272"/>
      <c r="TW81" s="272"/>
      <c r="TX81" s="272"/>
      <c r="TY81" s="272"/>
      <c r="TZ81" s="272"/>
      <c r="UA81" s="272"/>
      <c r="UB81" s="272"/>
      <c r="UC81" s="272"/>
      <c r="UD81" s="272"/>
      <c r="UE81" s="272"/>
      <c r="UF81" s="272"/>
      <c r="UG81" s="272"/>
      <c r="UH81" s="272"/>
      <c r="UI81" s="272"/>
      <c r="UJ81" s="272"/>
      <c r="UK81" s="272"/>
      <c r="UL81" s="272"/>
      <c r="UM81" s="272"/>
      <c r="UN81" s="272"/>
      <c r="UO81" s="272"/>
      <c r="UP81" s="272"/>
      <c r="UQ81" s="272"/>
      <c r="UR81" s="272"/>
      <c r="US81" s="272"/>
      <c r="UT81" s="272"/>
      <c r="UU81" s="272"/>
      <c r="UV81" s="272"/>
      <c r="UW81" s="272"/>
      <c r="UX81" s="272"/>
      <c r="UY81" s="272"/>
      <c r="UZ81" s="272"/>
      <c r="VA81" s="272"/>
      <c r="VB81" s="272"/>
      <c r="VC81" s="272"/>
      <c r="VD81" s="272"/>
      <c r="VE81" s="272"/>
      <c r="VF81" s="272"/>
      <c r="VG81" s="272"/>
      <c r="VH81" s="272"/>
      <c r="VI81" s="272"/>
      <c r="VJ81" s="272"/>
      <c r="VK81" s="272"/>
      <c r="VL81" s="272"/>
      <c r="VM81" s="272"/>
      <c r="VN81" s="272"/>
      <c r="VO81" s="272"/>
      <c r="VP81" s="272"/>
      <c r="VQ81" s="272"/>
      <c r="VR81" s="272"/>
      <c r="VS81" s="272"/>
      <c r="VT81" s="272"/>
      <c r="VU81" s="272"/>
      <c r="VV81" s="272"/>
      <c r="VW81" s="272"/>
      <c r="VX81" s="272"/>
      <c r="VY81" s="272"/>
      <c r="VZ81" s="272"/>
      <c r="WA81" s="272"/>
      <c r="WB81" s="272"/>
      <c r="WC81" s="272"/>
      <c r="WD81" s="272"/>
      <c r="WE81" s="272"/>
      <c r="WF81" s="272"/>
      <c r="WG81" s="272"/>
      <c r="WH81" s="272"/>
      <c r="WI81" s="272"/>
      <c r="WJ81" s="272"/>
      <c r="WK81" s="272"/>
      <c r="WL81" s="272"/>
      <c r="WM81" s="272"/>
      <c r="WN81" s="272"/>
      <c r="WO81" s="272"/>
      <c r="WP81" s="272"/>
      <c r="WQ81" s="272"/>
      <c r="WR81" s="272"/>
      <c r="WS81" s="272"/>
      <c r="WT81" s="272"/>
      <c r="WU81" s="272"/>
      <c r="WV81" s="272"/>
      <c r="WW81" s="272"/>
      <c r="WX81" s="272"/>
      <c r="WY81" s="272"/>
      <c r="WZ81" s="272"/>
      <c r="XA81" s="272"/>
      <c r="XB81" s="272"/>
      <c r="XC81" s="272"/>
      <c r="XD81" s="272"/>
      <c r="XE81" s="272"/>
      <c r="XF81" s="272"/>
      <c r="XG81" s="272"/>
      <c r="XH81" s="272"/>
      <c r="XI81" s="272"/>
      <c r="XJ81" s="272"/>
      <c r="XK81" s="272"/>
      <c r="XL81" s="272"/>
      <c r="XM81" s="272"/>
      <c r="XN81" s="272"/>
      <c r="XO81" s="272"/>
      <c r="XP81" s="272"/>
      <c r="XQ81" s="272"/>
      <c r="XR81" s="272"/>
      <c r="XS81" s="272"/>
      <c r="XT81" s="272"/>
      <c r="XU81" s="272"/>
      <c r="XV81" s="272"/>
      <c r="XW81" s="272"/>
      <c r="XX81" s="272"/>
      <c r="XY81" s="272"/>
      <c r="XZ81" s="272"/>
      <c r="YA81" s="272"/>
      <c r="YB81" s="272"/>
      <c r="YC81" s="272"/>
      <c r="YD81" s="272"/>
      <c r="YE81" s="272"/>
      <c r="YF81" s="272"/>
      <c r="YG81" s="272"/>
      <c r="YH81" s="272"/>
      <c r="YI81" s="272"/>
      <c r="YJ81" s="272"/>
      <c r="YK81" s="272"/>
      <c r="YL81" s="272"/>
      <c r="YM81" s="272"/>
      <c r="YN81" s="272"/>
      <c r="YO81" s="272"/>
      <c r="YP81" s="272"/>
      <c r="YQ81" s="272"/>
      <c r="YR81" s="272"/>
      <c r="YS81" s="272"/>
      <c r="YT81" s="272"/>
      <c r="YU81" s="272"/>
      <c r="YV81" s="272"/>
      <c r="YW81" s="272"/>
      <c r="YX81" s="272"/>
      <c r="YY81" s="272"/>
      <c r="YZ81" s="272"/>
      <c r="ZA81" s="272"/>
      <c r="ZB81" s="272"/>
      <c r="ZC81" s="272"/>
      <c r="ZD81" s="272"/>
      <c r="ZE81" s="272"/>
      <c r="ZF81" s="272"/>
      <c r="ZG81" s="272"/>
      <c r="ZH81" s="272"/>
      <c r="ZI81" s="272"/>
      <c r="ZJ81" s="272"/>
      <c r="ZK81" s="272"/>
      <c r="ZL81" s="272"/>
      <c r="ZM81" s="272"/>
      <c r="ZN81" s="272"/>
      <c r="ZO81" s="272"/>
      <c r="ZP81" s="272"/>
      <c r="ZQ81" s="272"/>
      <c r="ZR81" s="272"/>
      <c r="ZS81" s="272"/>
      <c r="ZT81" s="272"/>
      <c r="ZU81" s="272"/>
      <c r="ZV81" s="272"/>
      <c r="ZW81" s="272"/>
      <c r="ZX81" s="272"/>
      <c r="ZY81" s="272"/>
      <c r="ZZ81" s="272"/>
      <c r="AAA81" s="272"/>
      <c r="AAB81" s="272"/>
      <c r="AAC81" s="272"/>
      <c r="AAD81" s="272"/>
      <c r="AAE81" s="272"/>
      <c r="AAF81" s="272"/>
      <c r="AAG81" s="272"/>
      <c r="AAH81" s="272"/>
      <c r="AAI81" s="272"/>
      <c r="AAJ81" s="272"/>
      <c r="AAK81" s="272"/>
      <c r="AAL81" s="272"/>
      <c r="AAM81" s="272"/>
      <c r="AAN81" s="272"/>
      <c r="AAO81" s="272"/>
      <c r="AAP81" s="272"/>
      <c r="AAQ81" s="272"/>
      <c r="AAR81" s="272"/>
      <c r="AAS81" s="272"/>
      <c r="AAT81" s="272"/>
      <c r="AAU81" s="272"/>
      <c r="AAV81" s="272"/>
      <c r="AAW81" s="272"/>
      <c r="AAX81" s="272"/>
      <c r="AAY81" s="272"/>
      <c r="AAZ81" s="272"/>
      <c r="ABA81" s="272"/>
      <c r="ABB81" s="272"/>
      <c r="ABC81" s="272"/>
      <c r="ABD81" s="272"/>
      <c r="ABE81" s="272"/>
      <c r="ABF81" s="272"/>
      <c r="ABG81" s="272"/>
    </row>
    <row r="82" spans="1:735" s="62" customFormat="1" ht="13.5" thickBot="1">
      <c r="A82" s="77"/>
      <c r="B82" s="73"/>
      <c r="C82" s="58" t="s">
        <v>54</v>
      </c>
      <c r="D82" s="58"/>
      <c r="E82" s="60"/>
      <c r="F82" s="264"/>
      <c r="G82" s="389"/>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272"/>
      <c r="BY82" s="272"/>
      <c r="BZ82" s="272"/>
      <c r="CA82" s="272"/>
      <c r="CB82" s="272"/>
      <c r="CC82" s="272"/>
      <c r="CD82" s="272"/>
      <c r="CE82" s="272"/>
      <c r="CF82" s="272"/>
      <c r="CG82" s="272"/>
      <c r="CH82" s="272"/>
      <c r="CI82" s="272"/>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2"/>
      <c r="EB82" s="272"/>
      <c r="EC82" s="272"/>
      <c r="ED82" s="272"/>
      <c r="EE82" s="272"/>
      <c r="EF82" s="272"/>
      <c r="EG82" s="272"/>
      <c r="EH82" s="272"/>
      <c r="EI82" s="272"/>
      <c r="EJ82" s="272"/>
      <c r="EK82" s="272"/>
      <c r="EL82" s="272"/>
      <c r="EM82" s="272"/>
      <c r="EN82" s="272"/>
      <c r="EO82" s="272"/>
      <c r="EP82" s="272"/>
      <c r="EQ82" s="272"/>
      <c r="ER82" s="272"/>
      <c r="ES82" s="272"/>
      <c r="ET82" s="272"/>
      <c r="EU82" s="272"/>
      <c r="EV82" s="272"/>
      <c r="EW82" s="272"/>
      <c r="EX82" s="272"/>
      <c r="EY82" s="272"/>
      <c r="EZ82" s="272"/>
      <c r="FA82" s="272"/>
      <c r="FB82" s="272"/>
      <c r="FC82" s="272"/>
      <c r="FD82" s="272"/>
      <c r="FE82" s="272"/>
      <c r="FF82" s="272"/>
      <c r="FG82" s="272"/>
      <c r="FH82" s="272"/>
      <c r="FI82" s="272"/>
      <c r="FJ82" s="272"/>
      <c r="FK82" s="272"/>
      <c r="FL82" s="272"/>
      <c r="FM82" s="272"/>
      <c r="FN82" s="272"/>
      <c r="FO82" s="272"/>
      <c r="FP82" s="272"/>
      <c r="FQ82" s="272"/>
      <c r="FR82" s="272"/>
      <c r="FS82" s="272"/>
      <c r="FT82" s="272"/>
      <c r="FU82" s="272"/>
      <c r="FV82" s="272"/>
      <c r="FW82" s="272"/>
      <c r="FX82" s="272"/>
      <c r="FY82" s="272"/>
      <c r="FZ82" s="272"/>
      <c r="GA82" s="272"/>
      <c r="GB82" s="272"/>
      <c r="GC82" s="272"/>
      <c r="GD82" s="272"/>
      <c r="GE82" s="272"/>
      <c r="GF82" s="272"/>
      <c r="GG82" s="272"/>
      <c r="GH82" s="272"/>
      <c r="GI82" s="272"/>
      <c r="GJ82" s="272"/>
      <c r="GK82" s="272"/>
      <c r="GL82" s="272"/>
      <c r="GM82" s="272"/>
      <c r="GN82" s="272"/>
      <c r="GO82" s="272"/>
      <c r="GP82" s="272"/>
      <c r="GQ82" s="272"/>
      <c r="GR82" s="272"/>
      <c r="GS82" s="272"/>
      <c r="GT82" s="272"/>
      <c r="GU82" s="272"/>
      <c r="GV82" s="272"/>
      <c r="GW82" s="272"/>
      <c r="GX82" s="272"/>
      <c r="GY82" s="272"/>
      <c r="GZ82" s="272"/>
      <c r="HA82" s="272"/>
      <c r="HB82" s="272"/>
      <c r="HC82" s="272"/>
      <c r="HD82" s="272"/>
      <c r="HE82" s="272"/>
      <c r="HF82" s="272"/>
      <c r="HG82" s="272"/>
      <c r="HH82" s="272"/>
      <c r="HI82" s="272"/>
      <c r="HJ82" s="272"/>
      <c r="HK82" s="272"/>
      <c r="HL82" s="272"/>
      <c r="HM82" s="272"/>
      <c r="HN82" s="272"/>
      <c r="HO82" s="272"/>
      <c r="HP82" s="272"/>
      <c r="HQ82" s="272"/>
      <c r="HR82" s="272"/>
      <c r="HS82" s="272"/>
      <c r="HT82" s="272"/>
      <c r="HU82" s="272"/>
      <c r="HV82" s="272"/>
      <c r="HW82" s="272"/>
      <c r="HX82" s="272"/>
      <c r="HY82" s="272"/>
      <c r="HZ82" s="272"/>
      <c r="IA82" s="272"/>
      <c r="IB82" s="272"/>
      <c r="IC82" s="272"/>
      <c r="ID82" s="272"/>
      <c r="IE82" s="272"/>
      <c r="IF82" s="272"/>
      <c r="IG82" s="272"/>
      <c r="IH82" s="272"/>
      <c r="II82" s="272"/>
      <c r="IJ82" s="272"/>
      <c r="IK82" s="272"/>
      <c r="IL82" s="272"/>
      <c r="IM82" s="272"/>
      <c r="IN82" s="272"/>
      <c r="IO82" s="272"/>
      <c r="IP82" s="272"/>
      <c r="IQ82" s="272"/>
      <c r="IR82" s="272"/>
      <c r="IS82" s="272"/>
      <c r="IT82" s="272"/>
      <c r="IU82" s="272"/>
      <c r="IV82" s="272"/>
      <c r="IW82" s="272"/>
      <c r="IX82" s="272"/>
      <c r="IY82" s="272"/>
      <c r="IZ82" s="272"/>
      <c r="JA82" s="272"/>
      <c r="JB82" s="272"/>
      <c r="JC82" s="272"/>
      <c r="JD82" s="272"/>
      <c r="JE82" s="272"/>
      <c r="JF82" s="272"/>
      <c r="JG82" s="272"/>
      <c r="JH82" s="272"/>
      <c r="JI82" s="272"/>
      <c r="JJ82" s="272"/>
      <c r="JK82" s="272"/>
      <c r="JL82" s="272"/>
      <c r="JM82" s="272"/>
      <c r="JN82" s="272"/>
      <c r="JO82" s="272"/>
      <c r="JP82" s="272"/>
      <c r="JQ82" s="272"/>
      <c r="JR82" s="272"/>
      <c r="JS82" s="272"/>
      <c r="JT82" s="272"/>
      <c r="JU82" s="272"/>
      <c r="JV82" s="272"/>
      <c r="JW82" s="272"/>
      <c r="JX82" s="272"/>
      <c r="JY82" s="272"/>
      <c r="JZ82" s="272"/>
      <c r="KA82" s="272"/>
      <c r="KB82" s="272"/>
      <c r="KC82" s="272"/>
      <c r="KD82" s="272"/>
      <c r="KE82" s="272"/>
      <c r="KF82" s="272"/>
      <c r="KG82" s="272"/>
      <c r="KH82" s="272"/>
      <c r="KI82" s="272"/>
      <c r="KJ82" s="272"/>
      <c r="KK82" s="272"/>
      <c r="KL82" s="272"/>
      <c r="KM82" s="272"/>
      <c r="KN82" s="272"/>
      <c r="KO82" s="272"/>
      <c r="KP82" s="272"/>
      <c r="KQ82" s="272"/>
      <c r="KR82" s="272"/>
      <c r="KS82" s="272"/>
      <c r="KT82" s="272"/>
      <c r="KU82" s="272"/>
      <c r="KV82" s="272"/>
      <c r="KW82" s="272"/>
      <c r="KX82" s="272"/>
      <c r="KY82" s="272"/>
      <c r="KZ82" s="272"/>
      <c r="LA82" s="272"/>
      <c r="LB82" s="272"/>
      <c r="LC82" s="272"/>
      <c r="LD82" s="272"/>
      <c r="LE82" s="272"/>
      <c r="LF82" s="272"/>
      <c r="LG82" s="272"/>
      <c r="LH82" s="272"/>
      <c r="LI82" s="272"/>
      <c r="LJ82" s="272"/>
      <c r="LK82" s="272"/>
      <c r="LL82" s="272"/>
      <c r="LM82" s="272"/>
      <c r="LN82" s="272"/>
      <c r="LO82" s="272"/>
      <c r="LP82" s="272"/>
      <c r="LQ82" s="272"/>
      <c r="LR82" s="272"/>
      <c r="LS82" s="272"/>
      <c r="LT82" s="272"/>
      <c r="LU82" s="272"/>
      <c r="LV82" s="272"/>
      <c r="LW82" s="272"/>
      <c r="LX82" s="272"/>
      <c r="LY82" s="272"/>
      <c r="LZ82" s="272"/>
      <c r="MA82" s="272"/>
      <c r="MB82" s="272"/>
      <c r="MC82" s="272"/>
      <c r="MD82" s="272"/>
      <c r="ME82" s="272"/>
      <c r="MF82" s="272"/>
      <c r="MG82" s="272"/>
      <c r="MH82" s="272"/>
      <c r="MI82" s="272"/>
      <c r="MJ82" s="272"/>
      <c r="MK82" s="272"/>
      <c r="ML82" s="272"/>
      <c r="MM82" s="272"/>
      <c r="MN82" s="272"/>
      <c r="MO82" s="272"/>
      <c r="MP82" s="272"/>
      <c r="MQ82" s="272"/>
      <c r="MR82" s="272"/>
      <c r="MS82" s="272"/>
      <c r="MT82" s="272"/>
      <c r="MU82" s="272"/>
      <c r="MV82" s="272"/>
      <c r="MW82" s="272"/>
      <c r="MX82" s="272"/>
      <c r="MY82" s="272"/>
      <c r="MZ82" s="272"/>
      <c r="NA82" s="272"/>
      <c r="NB82" s="272"/>
      <c r="NC82" s="272"/>
      <c r="ND82" s="272"/>
      <c r="NE82" s="272"/>
      <c r="NF82" s="272"/>
      <c r="NG82" s="272"/>
      <c r="NH82" s="272"/>
      <c r="NI82" s="272"/>
      <c r="NJ82" s="272"/>
      <c r="NK82" s="272"/>
      <c r="NL82" s="272"/>
      <c r="NM82" s="272"/>
      <c r="NN82" s="272"/>
      <c r="NO82" s="272"/>
      <c r="NP82" s="272"/>
      <c r="NQ82" s="272"/>
      <c r="NR82" s="272"/>
      <c r="NS82" s="272"/>
      <c r="NT82" s="272"/>
      <c r="NU82" s="272"/>
      <c r="NV82" s="272"/>
      <c r="NW82" s="272"/>
      <c r="NX82" s="272"/>
      <c r="NY82" s="272"/>
      <c r="NZ82" s="272"/>
      <c r="OA82" s="272"/>
      <c r="OB82" s="272"/>
      <c r="OC82" s="272"/>
      <c r="OD82" s="272"/>
      <c r="OE82" s="272"/>
      <c r="OF82" s="272"/>
      <c r="OG82" s="272"/>
      <c r="OH82" s="272"/>
      <c r="OI82" s="272"/>
      <c r="OJ82" s="272"/>
      <c r="OK82" s="272"/>
      <c r="OL82" s="272"/>
      <c r="OM82" s="272"/>
      <c r="ON82" s="272"/>
      <c r="OO82" s="272"/>
      <c r="OP82" s="272"/>
      <c r="OQ82" s="272"/>
      <c r="OR82" s="272"/>
      <c r="OS82" s="272"/>
      <c r="OT82" s="272"/>
      <c r="OU82" s="272"/>
      <c r="OV82" s="272"/>
      <c r="OW82" s="272"/>
      <c r="OX82" s="272"/>
      <c r="OY82" s="272"/>
      <c r="OZ82" s="272"/>
      <c r="PA82" s="272"/>
      <c r="PB82" s="272"/>
      <c r="PC82" s="272"/>
      <c r="PD82" s="272"/>
      <c r="PE82" s="272"/>
      <c r="PF82" s="272"/>
      <c r="PG82" s="272"/>
      <c r="PH82" s="272"/>
      <c r="PI82" s="272"/>
      <c r="PJ82" s="272"/>
      <c r="PK82" s="272"/>
      <c r="PL82" s="272"/>
      <c r="PM82" s="272"/>
      <c r="PN82" s="272"/>
      <c r="PO82" s="272"/>
      <c r="PP82" s="272"/>
      <c r="PQ82" s="272"/>
      <c r="PR82" s="272"/>
      <c r="PS82" s="272"/>
      <c r="PT82" s="272"/>
      <c r="PU82" s="272"/>
      <c r="PV82" s="272"/>
      <c r="PW82" s="272"/>
      <c r="PX82" s="272"/>
      <c r="PY82" s="272"/>
      <c r="PZ82" s="272"/>
      <c r="QA82" s="272"/>
      <c r="QB82" s="272"/>
      <c r="QC82" s="272"/>
      <c r="QD82" s="272"/>
      <c r="QE82" s="272"/>
      <c r="QF82" s="272"/>
      <c r="QG82" s="272"/>
      <c r="QH82" s="272"/>
      <c r="QI82" s="272"/>
      <c r="QJ82" s="272"/>
      <c r="QK82" s="272"/>
      <c r="QL82" s="272"/>
      <c r="QM82" s="272"/>
      <c r="QN82" s="272"/>
      <c r="QO82" s="272"/>
      <c r="QP82" s="272"/>
      <c r="QQ82" s="272"/>
      <c r="QR82" s="272"/>
      <c r="QS82" s="272"/>
      <c r="QT82" s="272"/>
      <c r="QU82" s="272"/>
      <c r="QV82" s="272"/>
      <c r="QW82" s="272"/>
      <c r="QX82" s="272"/>
      <c r="QY82" s="272"/>
      <c r="QZ82" s="272"/>
      <c r="RA82" s="272"/>
      <c r="RB82" s="272"/>
      <c r="RC82" s="272"/>
      <c r="RD82" s="272"/>
      <c r="RE82" s="272"/>
      <c r="RF82" s="272"/>
      <c r="RG82" s="272"/>
      <c r="RH82" s="272"/>
      <c r="RI82" s="272"/>
      <c r="RJ82" s="272"/>
      <c r="RK82" s="272"/>
      <c r="RL82" s="272"/>
      <c r="RM82" s="272"/>
      <c r="RN82" s="272"/>
      <c r="RO82" s="272"/>
      <c r="RP82" s="272"/>
      <c r="RQ82" s="272"/>
      <c r="RR82" s="272"/>
      <c r="RS82" s="272"/>
      <c r="RT82" s="272"/>
      <c r="RU82" s="272"/>
      <c r="RV82" s="272"/>
      <c r="RW82" s="272"/>
      <c r="RX82" s="272"/>
      <c r="RY82" s="272"/>
      <c r="RZ82" s="272"/>
      <c r="SA82" s="272"/>
      <c r="SB82" s="272"/>
      <c r="SC82" s="272"/>
      <c r="SD82" s="272"/>
      <c r="SE82" s="272"/>
      <c r="SF82" s="272"/>
      <c r="SG82" s="272"/>
      <c r="SH82" s="272"/>
      <c r="SI82" s="272"/>
      <c r="SJ82" s="272"/>
      <c r="SK82" s="272"/>
      <c r="SL82" s="272"/>
      <c r="SM82" s="272"/>
      <c r="SN82" s="272"/>
      <c r="SO82" s="272"/>
      <c r="SP82" s="272"/>
      <c r="SQ82" s="272"/>
      <c r="SR82" s="272"/>
      <c r="SS82" s="272"/>
      <c r="ST82" s="272"/>
      <c r="SU82" s="272"/>
      <c r="SV82" s="272"/>
      <c r="SW82" s="272"/>
      <c r="SX82" s="272"/>
      <c r="SY82" s="272"/>
      <c r="SZ82" s="272"/>
      <c r="TA82" s="272"/>
      <c r="TB82" s="272"/>
      <c r="TC82" s="272"/>
      <c r="TD82" s="272"/>
      <c r="TE82" s="272"/>
      <c r="TF82" s="272"/>
      <c r="TG82" s="272"/>
      <c r="TH82" s="272"/>
      <c r="TI82" s="272"/>
      <c r="TJ82" s="272"/>
      <c r="TK82" s="272"/>
      <c r="TL82" s="272"/>
      <c r="TM82" s="272"/>
      <c r="TN82" s="272"/>
      <c r="TO82" s="272"/>
      <c r="TP82" s="272"/>
      <c r="TQ82" s="272"/>
      <c r="TR82" s="272"/>
      <c r="TS82" s="272"/>
      <c r="TT82" s="272"/>
      <c r="TU82" s="272"/>
      <c r="TV82" s="272"/>
      <c r="TW82" s="272"/>
      <c r="TX82" s="272"/>
      <c r="TY82" s="272"/>
      <c r="TZ82" s="272"/>
      <c r="UA82" s="272"/>
      <c r="UB82" s="272"/>
      <c r="UC82" s="272"/>
      <c r="UD82" s="272"/>
      <c r="UE82" s="272"/>
      <c r="UF82" s="272"/>
      <c r="UG82" s="272"/>
      <c r="UH82" s="272"/>
      <c r="UI82" s="272"/>
      <c r="UJ82" s="272"/>
      <c r="UK82" s="272"/>
      <c r="UL82" s="272"/>
      <c r="UM82" s="272"/>
      <c r="UN82" s="272"/>
      <c r="UO82" s="272"/>
      <c r="UP82" s="272"/>
      <c r="UQ82" s="272"/>
      <c r="UR82" s="272"/>
      <c r="US82" s="272"/>
      <c r="UT82" s="272"/>
      <c r="UU82" s="272"/>
      <c r="UV82" s="272"/>
      <c r="UW82" s="272"/>
      <c r="UX82" s="272"/>
      <c r="UY82" s="272"/>
      <c r="UZ82" s="272"/>
      <c r="VA82" s="272"/>
      <c r="VB82" s="272"/>
      <c r="VC82" s="272"/>
      <c r="VD82" s="272"/>
      <c r="VE82" s="272"/>
      <c r="VF82" s="272"/>
      <c r="VG82" s="272"/>
      <c r="VH82" s="272"/>
      <c r="VI82" s="272"/>
      <c r="VJ82" s="272"/>
      <c r="VK82" s="272"/>
      <c r="VL82" s="272"/>
      <c r="VM82" s="272"/>
      <c r="VN82" s="272"/>
      <c r="VO82" s="272"/>
      <c r="VP82" s="272"/>
      <c r="VQ82" s="272"/>
      <c r="VR82" s="272"/>
      <c r="VS82" s="272"/>
      <c r="VT82" s="272"/>
      <c r="VU82" s="272"/>
      <c r="VV82" s="272"/>
      <c r="VW82" s="272"/>
      <c r="VX82" s="272"/>
      <c r="VY82" s="272"/>
      <c r="VZ82" s="272"/>
      <c r="WA82" s="272"/>
      <c r="WB82" s="272"/>
      <c r="WC82" s="272"/>
      <c r="WD82" s="272"/>
      <c r="WE82" s="272"/>
      <c r="WF82" s="272"/>
      <c r="WG82" s="272"/>
      <c r="WH82" s="272"/>
      <c r="WI82" s="272"/>
      <c r="WJ82" s="272"/>
      <c r="WK82" s="272"/>
      <c r="WL82" s="272"/>
      <c r="WM82" s="272"/>
      <c r="WN82" s="272"/>
      <c r="WO82" s="272"/>
      <c r="WP82" s="272"/>
      <c r="WQ82" s="272"/>
      <c r="WR82" s="272"/>
      <c r="WS82" s="272"/>
      <c r="WT82" s="272"/>
      <c r="WU82" s="272"/>
      <c r="WV82" s="272"/>
      <c r="WW82" s="272"/>
      <c r="WX82" s="272"/>
      <c r="WY82" s="272"/>
      <c r="WZ82" s="272"/>
      <c r="XA82" s="272"/>
      <c r="XB82" s="272"/>
      <c r="XC82" s="272"/>
      <c r="XD82" s="272"/>
      <c r="XE82" s="272"/>
      <c r="XF82" s="272"/>
      <c r="XG82" s="272"/>
      <c r="XH82" s="272"/>
      <c r="XI82" s="272"/>
      <c r="XJ82" s="272"/>
      <c r="XK82" s="272"/>
      <c r="XL82" s="272"/>
      <c r="XM82" s="272"/>
      <c r="XN82" s="272"/>
      <c r="XO82" s="272"/>
      <c r="XP82" s="272"/>
      <c r="XQ82" s="272"/>
      <c r="XR82" s="272"/>
      <c r="XS82" s="272"/>
      <c r="XT82" s="272"/>
      <c r="XU82" s="272"/>
      <c r="XV82" s="272"/>
      <c r="XW82" s="272"/>
      <c r="XX82" s="272"/>
      <c r="XY82" s="272"/>
      <c r="XZ82" s="272"/>
      <c r="YA82" s="272"/>
      <c r="YB82" s="272"/>
      <c r="YC82" s="272"/>
      <c r="YD82" s="272"/>
      <c r="YE82" s="272"/>
      <c r="YF82" s="272"/>
      <c r="YG82" s="272"/>
      <c r="YH82" s="272"/>
      <c r="YI82" s="272"/>
      <c r="YJ82" s="272"/>
      <c r="YK82" s="272"/>
      <c r="YL82" s="272"/>
      <c r="YM82" s="272"/>
      <c r="YN82" s="272"/>
      <c r="YO82" s="272"/>
      <c r="YP82" s="272"/>
      <c r="YQ82" s="272"/>
      <c r="YR82" s="272"/>
      <c r="YS82" s="272"/>
      <c r="YT82" s="272"/>
      <c r="YU82" s="272"/>
      <c r="YV82" s="272"/>
      <c r="YW82" s="272"/>
      <c r="YX82" s="272"/>
      <c r="YY82" s="272"/>
      <c r="YZ82" s="272"/>
      <c r="ZA82" s="272"/>
      <c r="ZB82" s="272"/>
      <c r="ZC82" s="272"/>
      <c r="ZD82" s="272"/>
      <c r="ZE82" s="272"/>
      <c r="ZF82" s="272"/>
      <c r="ZG82" s="272"/>
      <c r="ZH82" s="272"/>
      <c r="ZI82" s="272"/>
      <c r="ZJ82" s="272"/>
      <c r="ZK82" s="272"/>
      <c r="ZL82" s="272"/>
      <c r="ZM82" s="272"/>
      <c r="ZN82" s="272"/>
      <c r="ZO82" s="272"/>
      <c r="ZP82" s="272"/>
      <c r="ZQ82" s="272"/>
      <c r="ZR82" s="272"/>
      <c r="ZS82" s="272"/>
      <c r="ZT82" s="272"/>
      <c r="ZU82" s="272"/>
      <c r="ZV82" s="272"/>
      <c r="ZW82" s="272"/>
      <c r="ZX82" s="272"/>
      <c r="ZY82" s="272"/>
      <c r="ZZ82" s="272"/>
      <c r="AAA82" s="272"/>
      <c r="AAB82" s="272"/>
      <c r="AAC82" s="272"/>
      <c r="AAD82" s="272"/>
      <c r="AAE82" s="272"/>
      <c r="AAF82" s="272"/>
      <c r="AAG82" s="272"/>
      <c r="AAH82" s="272"/>
      <c r="AAI82" s="272"/>
      <c r="AAJ82" s="272"/>
      <c r="AAK82" s="272"/>
      <c r="AAL82" s="272"/>
      <c r="AAM82" s="272"/>
      <c r="AAN82" s="272"/>
      <c r="AAO82" s="272"/>
      <c r="AAP82" s="272"/>
      <c r="AAQ82" s="272"/>
      <c r="AAR82" s="272"/>
      <c r="AAS82" s="272"/>
      <c r="AAT82" s="272"/>
      <c r="AAU82" s="272"/>
      <c r="AAV82" s="272"/>
      <c r="AAW82" s="272"/>
      <c r="AAX82" s="272"/>
      <c r="AAY82" s="272"/>
      <c r="AAZ82" s="272"/>
      <c r="ABA82" s="272"/>
      <c r="ABB82" s="272"/>
      <c r="ABC82" s="272"/>
      <c r="ABD82" s="272"/>
      <c r="ABE82" s="272"/>
      <c r="ABF82" s="272"/>
      <c r="ABG82" s="272"/>
    </row>
    <row r="83" spans="1:735" s="61" customFormat="1" ht="25.5">
      <c r="A83" s="37" t="s">
        <v>12</v>
      </c>
      <c r="B83" s="38" t="s">
        <v>32</v>
      </c>
      <c r="C83" s="26" t="s">
        <v>52</v>
      </c>
      <c r="D83" s="501"/>
      <c r="E83" s="501"/>
      <c r="F83" s="503"/>
      <c r="G83" s="504"/>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2"/>
      <c r="CB83" s="272"/>
      <c r="CC83" s="272"/>
      <c r="CD83" s="272"/>
      <c r="CE83" s="272"/>
      <c r="CF83" s="272"/>
      <c r="CG83" s="272"/>
      <c r="CH83" s="272"/>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2"/>
      <c r="DQ83" s="272"/>
      <c r="DR83" s="272"/>
      <c r="DS83" s="272"/>
      <c r="DT83" s="272"/>
      <c r="DU83" s="272"/>
      <c r="DV83" s="272"/>
      <c r="DW83" s="272"/>
      <c r="DX83" s="272"/>
      <c r="DY83" s="272"/>
      <c r="DZ83" s="272"/>
      <c r="EA83" s="272"/>
      <c r="EB83" s="272"/>
      <c r="EC83" s="272"/>
      <c r="ED83" s="272"/>
      <c r="EE83" s="272"/>
      <c r="EF83" s="272"/>
      <c r="EG83" s="272"/>
      <c r="EH83" s="272"/>
      <c r="EI83" s="272"/>
      <c r="EJ83" s="272"/>
      <c r="EK83" s="272"/>
      <c r="EL83" s="272"/>
      <c r="EM83" s="272"/>
      <c r="EN83" s="272"/>
      <c r="EO83" s="272"/>
      <c r="EP83" s="272"/>
      <c r="EQ83" s="272"/>
      <c r="ER83" s="272"/>
      <c r="ES83" s="272"/>
      <c r="ET83" s="272"/>
      <c r="EU83" s="272"/>
      <c r="EV83" s="272"/>
      <c r="EW83" s="272"/>
      <c r="EX83" s="272"/>
      <c r="EY83" s="272"/>
      <c r="EZ83" s="272"/>
      <c r="FA83" s="272"/>
      <c r="FB83" s="272"/>
      <c r="FC83" s="272"/>
      <c r="FD83" s="272"/>
      <c r="FE83" s="272"/>
      <c r="FF83" s="272"/>
      <c r="FG83" s="272"/>
      <c r="FH83" s="272"/>
      <c r="FI83" s="272"/>
      <c r="FJ83" s="272"/>
      <c r="FK83" s="272"/>
      <c r="FL83" s="272"/>
      <c r="FM83" s="272"/>
      <c r="FN83" s="272"/>
      <c r="FO83" s="272"/>
      <c r="FP83" s="272"/>
      <c r="FQ83" s="272"/>
      <c r="FR83" s="272"/>
      <c r="FS83" s="272"/>
      <c r="FT83" s="272"/>
      <c r="FU83" s="272"/>
      <c r="FV83" s="272"/>
      <c r="FW83" s="272"/>
      <c r="FX83" s="272"/>
      <c r="FY83" s="272"/>
      <c r="FZ83" s="272"/>
      <c r="GA83" s="272"/>
      <c r="GB83" s="272"/>
      <c r="GC83" s="272"/>
      <c r="GD83" s="272"/>
      <c r="GE83" s="272"/>
      <c r="GF83" s="272"/>
      <c r="GG83" s="272"/>
      <c r="GH83" s="272"/>
      <c r="GI83" s="272"/>
      <c r="GJ83" s="272"/>
      <c r="GK83" s="272"/>
      <c r="GL83" s="272"/>
      <c r="GM83" s="272"/>
      <c r="GN83" s="272"/>
      <c r="GO83" s="272"/>
      <c r="GP83" s="272"/>
      <c r="GQ83" s="272"/>
      <c r="GR83" s="272"/>
      <c r="GS83" s="272"/>
      <c r="GT83" s="272"/>
      <c r="GU83" s="272"/>
      <c r="GV83" s="272"/>
      <c r="GW83" s="272"/>
      <c r="GX83" s="272"/>
      <c r="GY83" s="272"/>
      <c r="GZ83" s="272"/>
      <c r="HA83" s="272"/>
      <c r="HB83" s="272"/>
      <c r="HC83" s="272"/>
      <c r="HD83" s="272"/>
      <c r="HE83" s="272"/>
      <c r="HF83" s="272"/>
      <c r="HG83" s="272"/>
      <c r="HH83" s="272"/>
      <c r="HI83" s="272"/>
      <c r="HJ83" s="272"/>
      <c r="HK83" s="272"/>
      <c r="HL83" s="272"/>
      <c r="HM83" s="272"/>
      <c r="HN83" s="272"/>
      <c r="HO83" s="272"/>
      <c r="HP83" s="272"/>
      <c r="HQ83" s="272"/>
      <c r="HR83" s="272"/>
      <c r="HS83" s="272"/>
      <c r="HT83" s="272"/>
      <c r="HU83" s="272"/>
      <c r="HV83" s="272"/>
      <c r="HW83" s="272"/>
      <c r="HX83" s="272"/>
      <c r="HY83" s="272"/>
      <c r="HZ83" s="272"/>
      <c r="IA83" s="272"/>
      <c r="IB83" s="272"/>
      <c r="IC83" s="272"/>
      <c r="ID83" s="272"/>
      <c r="IE83" s="272"/>
      <c r="IF83" s="272"/>
      <c r="IG83" s="272"/>
      <c r="IH83" s="272"/>
      <c r="II83" s="272"/>
      <c r="IJ83" s="272"/>
      <c r="IK83" s="272"/>
      <c r="IL83" s="272"/>
      <c r="IM83" s="272"/>
      <c r="IN83" s="272"/>
      <c r="IO83" s="272"/>
      <c r="IP83" s="272"/>
      <c r="IQ83" s="272"/>
      <c r="IR83" s="272"/>
      <c r="IS83" s="272"/>
      <c r="IT83" s="272"/>
      <c r="IU83" s="272"/>
      <c r="IV83" s="272"/>
      <c r="IW83" s="272"/>
      <c r="IX83" s="272"/>
      <c r="IY83" s="272"/>
      <c r="IZ83" s="272"/>
      <c r="JA83" s="272"/>
      <c r="JB83" s="272"/>
      <c r="JC83" s="272"/>
      <c r="JD83" s="272"/>
      <c r="JE83" s="272"/>
      <c r="JF83" s="272"/>
      <c r="JG83" s="272"/>
      <c r="JH83" s="272"/>
      <c r="JI83" s="272"/>
      <c r="JJ83" s="272"/>
      <c r="JK83" s="272"/>
      <c r="JL83" s="272"/>
      <c r="JM83" s="272"/>
      <c r="JN83" s="272"/>
      <c r="JO83" s="272"/>
      <c r="JP83" s="272"/>
      <c r="JQ83" s="272"/>
      <c r="JR83" s="272"/>
      <c r="JS83" s="272"/>
      <c r="JT83" s="272"/>
      <c r="JU83" s="272"/>
      <c r="JV83" s="272"/>
      <c r="JW83" s="272"/>
      <c r="JX83" s="272"/>
      <c r="JY83" s="272"/>
      <c r="JZ83" s="272"/>
      <c r="KA83" s="272"/>
      <c r="KB83" s="272"/>
      <c r="KC83" s="272"/>
      <c r="KD83" s="272"/>
      <c r="KE83" s="272"/>
      <c r="KF83" s="272"/>
      <c r="KG83" s="272"/>
      <c r="KH83" s="272"/>
      <c r="KI83" s="272"/>
      <c r="KJ83" s="272"/>
      <c r="KK83" s="272"/>
      <c r="KL83" s="272"/>
      <c r="KM83" s="272"/>
      <c r="KN83" s="272"/>
      <c r="KO83" s="272"/>
      <c r="KP83" s="272"/>
      <c r="KQ83" s="272"/>
      <c r="KR83" s="272"/>
      <c r="KS83" s="272"/>
      <c r="KT83" s="272"/>
      <c r="KU83" s="272"/>
      <c r="KV83" s="272"/>
      <c r="KW83" s="272"/>
      <c r="KX83" s="272"/>
      <c r="KY83" s="272"/>
      <c r="KZ83" s="272"/>
      <c r="LA83" s="272"/>
      <c r="LB83" s="272"/>
      <c r="LC83" s="272"/>
      <c r="LD83" s="272"/>
      <c r="LE83" s="272"/>
      <c r="LF83" s="272"/>
      <c r="LG83" s="272"/>
      <c r="LH83" s="272"/>
      <c r="LI83" s="272"/>
      <c r="LJ83" s="272"/>
      <c r="LK83" s="272"/>
      <c r="LL83" s="272"/>
      <c r="LM83" s="272"/>
      <c r="LN83" s="272"/>
      <c r="LO83" s="272"/>
      <c r="LP83" s="272"/>
      <c r="LQ83" s="272"/>
      <c r="LR83" s="272"/>
      <c r="LS83" s="272"/>
      <c r="LT83" s="272"/>
      <c r="LU83" s="272"/>
      <c r="LV83" s="272"/>
      <c r="LW83" s="272"/>
      <c r="LX83" s="272"/>
      <c r="LY83" s="272"/>
      <c r="LZ83" s="272"/>
      <c r="MA83" s="272"/>
      <c r="MB83" s="272"/>
      <c r="MC83" s="272"/>
      <c r="MD83" s="272"/>
      <c r="ME83" s="272"/>
      <c r="MF83" s="272"/>
      <c r="MG83" s="272"/>
      <c r="MH83" s="272"/>
      <c r="MI83" s="272"/>
      <c r="MJ83" s="272"/>
      <c r="MK83" s="272"/>
      <c r="ML83" s="272"/>
      <c r="MM83" s="272"/>
      <c r="MN83" s="272"/>
      <c r="MO83" s="272"/>
      <c r="MP83" s="272"/>
      <c r="MQ83" s="272"/>
      <c r="MR83" s="272"/>
      <c r="MS83" s="272"/>
      <c r="MT83" s="272"/>
      <c r="MU83" s="272"/>
      <c r="MV83" s="272"/>
      <c r="MW83" s="272"/>
      <c r="MX83" s="272"/>
      <c r="MY83" s="272"/>
      <c r="MZ83" s="272"/>
      <c r="NA83" s="272"/>
      <c r="NB83" s="272"/>
      <c r="NC83" s="272"/>
      <c r="ND83" s="272"/>
      <c r="NE83" s="272"/>
      <c r="NF83" s="272"/>
      <c r="NG83" s="272"/>
      <c r="NH83" s="272"/>
      <c r="NI83" s="272"/>
      <c r="NJ83" s="272"/>
      <c r="NK83" s="272"/>
      <c r="NL83" s="272"/>
      <c r="NM83" s="272"/>
      <c r="NN83" s="272"/>
      <c r="NO83" s="272"/>
      <c r="NP83" s="272"/>
      <c r="NQ83" s="272"/>
      <c r="NR83" s="272"/>
      <c r="NS83" s="272"/>
      <c r="NT83" s="272"/>
      <c r="NU83" s="272"/>
      <c r="NV83" s="272"/>
      <c r="NW83" s="272"/>
      <c r="NX83" s="272"/>
      <c r="NY83" s="272"/>
      <c r="NZ83" s="272"/>
      <c r="OA83" s="272"/>
      <c r="OB83" s="272"/>
      <c r="OC83" s="272"/>
      <c r="OD83" s="272"/>
      <c r="OE83" s="272"/>
      <c r="OF83" s="272"/>
      <c r="OG83" s="272"/>
      <c r="OH83" s="272"/>
      <c r="OI83" s="272"/>
      <c r="OJ83" s="272"/>
      <c r="OK83" s="272"/>
      <c r="OL83" s="272"/>
      <c r="OM83" s="272"/>
      <c r="ON83" s="272"/>
      <c r="OO83" s="272"/>
      <c r="OP83" s="272"/>
      <c r="OQ83" s="272"/>
      <c r="OR83" s="272"/>
      <c r="OS83" s="272"/>
      <c r="OT83" s="272"/>
      <c r="OU83" s="272"/>
      <c r="OV83" s="272"/>
      <c r="OW83" s="272"/>
      <c r="OX83" s="272"/>
      <c r="OY83" s="272"/>
      <c r="OZ83" s="272"/>
      <c r="PA83" s="272"/>
      <c r="PB83" s="272"/>
      <c r="PC83" s="272"/>
      <c r="PD83" s="272"/>
      <c r="PE83" s="272"/>
      <c r="PF83" s="272"/>
      <c r="PG83" s="272"/>
      <c r="PH83" s="272"/>
      <c r="PI83" s="272"/>
      <c r="PJ83" s="272"/>
      <c r="PK83" s="272"/>
      <c r="PL83" s="272"/>
      <c r="PM83" s="272"/>
      <c r="PN83" s="272"/>
      <c r="PO83" s="272"/>
      <c r="PP83" s="272"/>
      <c r="PQ83" s="272"/>
      <c r="PR83" s="272"/>
      <c r="PS83" s="272"/>
      <c r="PT83" s="272"/>
      <c r="PU83" s="272"/>
      <c r="PV83" s="272"/>
      <c r="PW83" s="272"/>
      <c r="PX83" s="272"/>
      <c r="PY83" s="272"/>
      <c r="PZ83" s="272"/>
      <c r="QA83" s="272"/>
      <c r="QB83" s="272"/>
      <c r="QC83" s="272"/>
      <c r="QD83" s="272"/>
      <c r="QE83" s="272"/>
      <c r="QF83" s="272"/>
      <c r="QG83" s="272"/>
      <c r="QH83" s="272"/>
      <c r="QI83" s="272"/>
      <c r="QJ83" s="272"/>
      <c r="QK83" s="272"/>
      <c r="QL83" s="272"/>
      <c r="QM83" s="272"/>
      <c r="QN83" s="272"/>
      <c r="QO83" s="272"/>
      <c r="QP83" s="272"/>
      <c r="QQ83" s="272"/>
      <c r="QR83" s="272"/>
      <c r="QS83" s="272"/>
      <c r="QT83" s="272"/>
      <c r="QU83" s="272"/>
      <c r="QV83" s="272"/>
      <c r="QW83" s="272"/>
      <c r="QX83" s="272"/>
      <c r="QY83" s="272"/>
      <c r="QZ83" s="272"/>
      <c r="RA83" s="272"/>
      <c r="RB83" s="272"/>
      <c r="RC83" s="272"/>
      <c r="RD83" s="272"/>
      <c r="RE83" s="272"/>
      <c r="RF83" s="272"/>
      <c r="RG83" s="272"/>
      <c r="RH83" s="272"/>
      <c r="RI83" s="272"/>
      <c r="RJ83" s="272"/>
      <c r="RK83" s="272"/>
      <c r="RL83" s="272"/>
      <c r="RM83" s="272"/>
      <c r="RN83" s="272"/>
      <c r="RO83" s="272"/>
      <c r="RP83" s="272"/>
      <c r="RQ83" s="272"/>
      <c r="RR83" s="272"/>
      <c r="RS83" s="272"/>
      <c r="RT83" s="272"/>
      <c r="RU83" s="272"/>
      <c r="RV83" s="272"/>
      <c r="RW83" s="272"/>
      <c r="RX83" s="272"/>
      <c r="RY83" s="272"/>
      <c r="RZ83" s="272"/>
      <c r="SA83" s="272"/>
      <c r="SB83" s="272"/>
      <c r="SC83" s="272"/>
      <c r="SD83" s="272"/>
      <c r="SE83" s="272"/>
      <c r="SF83" s="272"/>
      <c r="SG83" s="272"/>
      <c r="SH83" s="272"/>
      <c r="SI83" s="272"/>
      <c r="SJ83" s="272"/>
      <c r="SK83" s="272"/>
      <c r="SL83" s="272"/>
      <c r="SM83" s="272"/>
      <c r="SN83" s="272"/>
      <c r="SO83" s="272"/>
      <c r="SP83" s="272"/>
      <c r="SQ83" s="272"/>
      <c r="SR83" s="272"/>
      <c r="SS83" s="272"/>
      <c r="ST83" s="272"/>
      <c r="SU83" s="272"/>
      <c r="SV83" s="272"/>
      <c r="SW83" s="272"/>
      <c r="SX83" s="272"/>
      <c r="SY83" s="272"/>
      <c r="SZ83" s="272"/>
      <c r="TA83" s="272"/>
      <c r="TB83" s="272"/>
      <c r="TC83" s="272"/>
      <c r="TD83" s="272"/>
      <c r="TE83" s="272"/>
      <c r="TF83" s="272"/>
      <c r="TG83" s="272"/>
      <c r="TH83" s="272"/>
      <c r="TI83" s="272"/>
      <c r="TJ83" s="272"/>
      <c r="TK83" s="272"/>
      <c r="TL83" s="272"/>
      <c r="TM83" s="272"/>
      <c r="TN83" s="272"/>
      <c r="TO83" s="272"/>
      <c r="TP83" s="272"/>
      <c r="TQ83" s="272"/>
      <c r="TR83" s="272"/>
      <c r="TS83" s="272"/>
      <c r="TT83" s="272"/>
      <c r="TU83" s="272"/>
      <c r="TV83" s="272"/>
      <c r="TW83" s="272"/>
      <c r="TX83" s="272"/>
      <c r="TY83" s="272"/>
      <c r="TZ83" s="272"/>
      <c r="UA83" s="272"/>
      <c r="UB83" s="272"/>
      <c r="UC83" s="272"/>
      <c r="UD83" s="272"/>
      <c r="UE83" s="272"/>
      <c r="UF83" s="272"/>
      <c r="UG83" s="272"/>
      <c r="UH83" s="272"/>
      <c r="UI83" s="272"/>
      <c r="UJ83" s="272"/>
      <c r="UK83" s="272"/>
      <c r="UL83" s="272"/>
      <c r="UM83" s="272"/>
      <c r="UN83" s="272"/>
      <c r="UO83" s="272"/>
      <c r="UP83" s="272"/>
      <c r="UQ83" s="272"/>
      <c r="UR83" s="272"/>
      <c r="US83" s="272"/>
      <c r="UT83" s="272"/>
      <c r="UU83" s="272"/>
      <c r="UV83" s="272"/>
      <c r="UW83" s="272"/>
      <c r="UX83" s="272"/>
      <c r="UY83" s="272"/>
      <c r="UZ83" s="272"/>
      <c r="VA83" s="272"/>
      <c r="VB83" s="272"/>
      <c r="VC83" s="272"/>
      <c r="VD83" s="272"/>
      <c r="VE83" s="272"/>
      <c r="VF83" s="272"/>
      <c r="VG83" s="272"/>
      <c r="VH83" s="272"/>
      <c r="VI83" s="272"/>
      <c r="VJ83" s="272"/>
      <c r="VK83" s="272"/>
      <c r="VL83" s="272"/>
      <c r="VM83" s="272"/>
      <c r="VN83" s="272"/>
      <c r="VO83" s="272"/>
      <c r="VP83" s="272"/>
      <c r="VQ83" s="272"/>
      <c r="VR83" s="272"/>
      <c r="VS83" s="272"/>
      <c r="VT83" s="272"/>
      <c r="VU83" s="272"/>
      <c r="VV83" s="272"/>
      <c r="VW83" s="272"/>
      <c r="VX83" s="272"/>
      <c r="VY83" s="272"/>
      <c r="VZ83" s="272"/>
      <c r="WA83" s="272"/>
      <c r="WB83" s="272"/>
      <c r="WC83" s="272"/>
      <c r="WD83" s="272"/>
      <c r="WE83" s="272"/>
      <c r="WF83" s="272"/>
      <c r="WG83" s="272"/>
      <c r="WH83" s="272"/>
      <c r="WI83" s="272"/>
      <c r="WJ83" s="272"/>
      <c r="WK83" s="272"/>
      <c r="WL83" s="272"/>
      <c r="WM83" s="272"/>
      <c r="WN83" s="272"/>
      <c r="WO83" s="272"/>
      <c r="WP83" s="272"/>
      <c r="WQ83" s="272"/>
      <c r="WR83" s="272"/>
      <c r="WS83" s="272"/>
      <c r="WT83" s="272"/>
      <c r="WU83" s="272"/>
      <c r="WV83" s="272"/>
      <c r="WW83" s="272"/>
      <c r="WX83" s="272"/>
      <c r="WY83" s="272"/>
      <c r="WZ83" s="272"/>
      <c r="XA83" s="272"/>
      <c r="XB83" s="272"/>
      <c r="XC83" s="272"/>
      <c r="XD83" s="272"/>
      <c r="XE83" s="272"/>
      <c r="XF83" s="272"/>
      <c r="XG83" s="272"/>
      <c r="XH83" s="272"/>
      <c r="XI83" s="272"/>
      <c r="XJ83" s="272"/>
      <c r="XK83" s="272"/>
      <c r="XL83" s="272"/>
      <c r="XM83" s="272"/>
      <c r="XN83" s="272"/>
      <c r="XO83" s="272"/>
      <c r="XP83" s="272"/>
      <c r="XQ83" s="272"/>
      <c r="XR83" s="272"/>
      <c r="XS83" s="272"/>
      <c r="XT83" s="272"/>
      <c r="XU83" s="272"/>
      <c r="XV83" s="272"/>
      <c r="XW83" s="272"/>
      <c r="XX83" s="272"/>
      <c r="XY83" s="272"/>
      <c r="XZ83" s="272"/>
      <c r="YA83" s="272"/>
      <c r="YB83" s="272"/>
      <c r="YC83" s="272"/>
      <c r="YD83" s="272"/>
      <c r="YE83" s="272"/>
      <c r="YF83" s="272"/>
      <c r="YG83" s="272"/>
      <c r="YH83" s="272"/>
      <c r="YI83" s="272"/>
      <c r="YJ83" s="272"/>
      <c r="YK83" s="272"/>
      <c r="YL83" s="272"/>
      <c r="YM83" s="272"/>
      <c r="YN83" s="272"/>
      <c r="YO83" s="272"/>
      <c r="YP83" s="272"/>
      <c r="YQ83" s="272"/>
      <c r="YR83" s="272"/>
      <c r="YS83" s="272"/>
      <c r="YT83" s="272"/>
      <c r="YU83" s="272"/>
      <c r="YV83" s="272"/>
      <c r="YW83" s="272"/>
      <c r="YX83" s="272"/>
      <c r="YY83" s="272"/>
      <c r="YZ83" s="272"/>
      <c r="ZA83" s="272"/>
      <c r="ZB83" s="272"/>
      <c r="ZC83" s="272"/>
      <c r="ZD83" s="272"/>
      <c r="ZE83" s="272"/>
      <c r="ZF83" s="272"/>
      <c r="ZG83" s="272"/>
      <c r="ZH83" s="272"/>
      <c r="ZI83" s="272"/>
      <c r="ZJ83" s="272"/>
      <c r="ZK83" s="272"/>
      <c r="ZL83" s="272"/>
      <c r="ZM83" s="272"/>
      <c r="ZN83" s="272"/>
      <c r="ZO83" s="272"/>
      <c r="ZP83" s="272"/>
      <c r="ZQ83" s="272"/>
      <c r="ZR83" s="272"/>
      <c r="ZS83" s="272"/>
      <c r="ZT83" s="272"/>
      <c r="ZU83" s="272"/>
      <c r="ZV83" s="272"/>
      <c r="ZW83" s="272"/>
      <c r="ZX83" s="272"/>
      <c r="ZY83" s="272"/>
      <c r="ZZ83" s="272"/>
      <c r="AAA83" s="272"/>
      <c r="AAB83" s="272"/>
      <c r="AAC83" s="272"/>
      <c r="AAD83" s="272"/>
      <c r="AAE83" s="272"/>
      <c r="AAF83" s="272"/>
      <c r="AAG83" s="272"/>
      <c r="AAH83" s="272"/>
      <c r="AAI83" s="272"/>
      <c r="AAJ83" s="272"/>
      <c r="AAK83" s="272"/>
      <c r="AAL83" s="272"/>
      <c r="AAM83" s="272"/>
      <c r="AAN83" s="272"/>
      <c r="AAO83" s="272"/>
      <c r="AAP83" s="272"/>
      <c r="AAQ83" s="272"/>
      <c r="AAR83" s="272"/>
      <c r="AAS83" s="272"/>
      <c r="AAT83" s="272"/>
      <c r="AAU83" s="272"/>
      <c r="AAV83" s="272"/>
      <c r="AAW83" s="272"/>
      <c r="AAX83" s="272"/>
      <c r="AAY83" s="272"/>
      <c r="AAZ83" s="272"/>
      <c r="ABA83" s="272"/>
      <c r="ABB83" s="272"/>
      <c r="ABC83" s="272"/>
      <c r="ABD83" s="272"/>
      <c r="ABE83" s="272"/>
      <c r="ABF83" s="272"/>
      <c r="ABG83" s="272"/>
    </row>
    <row r="84" spans="1:735" s="19" customFormat="1" ht="15">
      <c r="A84" s="76"/>
      <c r="B84" s="44"/>
      <c r="C84" s="55" t="s">
        <v>53</v>
      </c>
      <c r="D84" s="55"/>
      <c r="E84" s="57"/>
      <c r="F84" s="263"/>
      <c r="G84" s="388"/>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2"/>
      <c r="CB84" s="272"/>
      <c r="CC84" s="272"/>
      <c r="CD84" s="272"/>
      <c r="CE84" s="272"/>
      <c r="CF84" s="272"/>
      <c r="CG84" s="272"/>
      <c r="CH84" s="272"/>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2"/>
      <c r="DF84" s="272"/>
      <c r="DG84" s="272"/>
      <c r="DH84" s="272"/>
      <c r="DI84" s="272"/>
      <c r="DJ84" s="272"/>
      <c r="DK84" s="272"/>
      <c r="DL84" s="272"/>
      <c r="DM84" s="272"/>
      <c r="DN84" s="272"/>
      <c r="DO84" s="272"/>
      <c r="DP84" s="272"/>
      <c r="DQ84" s="272"/>
      <c r="DR84" s="272"/>
      <c r="DS84" s="272"/>
      <c r="DT84" s="272"/>
      <c r="DU84" s="272"/>
      <c r="DV84" s="272"/>
      <c r="DW84" s="272"/>
      <c r="DX84" s="272"/>
      <c r="DY84" s="272"/>
      <c r="DZ84" s="272"/>
      <c r="EA84" s="272"/>
      <c r="EB84" s="272"/>
      <c r="EC84" s="272"/>
      <c r="ED84" s="272"/>
      <c r="EE84" s="272"/>
      <c r="EF84" s="272"/>
      <c r="EG84" s="272"/>
      <c r="EH84" s="272"/>
      <c r="EI84" s="272"/>
      <c r="EJ84" s="272"/>
      <c r="EK84" s="272"/>
      <c r="EL84" s="272"/>
      <c r="EM84" s="272"/>
      <c r="EN84" s="272"/>
      <c r="EO84" s="272"/>
      <c r="EP84" s="272"/>
      <c r="EQ84" s="272"/>
      <c r="ER84" s="272"/>
      <c r="ES84" s="272"/>
      <c r="ET84" s="272"/>
      <c r="EU84" s="272"/>
      <c r="EV84" s="272"/>
      <c r="EW84" s="272"/>
      <c r="EX84" s="272"/>
      <c r="EY84" s="272"/>
      <c r="EZ84" s="272"/>
      <c r="FA84" s="272"/>
      <c r="FB84" s="272"/>
      <c r="FC84" s="272"/>
      <c r="FD84" s="272"/>
      <c r="FE84" s="272"/>
      <c r="FF84" s="272"/>
      <c r="FG84" s="272"/>
      <c r="FH84" s="272"/>
      <c r="FI84" s="272"/>
      <c r="FJ84" s="272"/>
      <c r="FK84" s="272"/>
      <c r="FL84" s="272"/>
      <c r="FM84" s="272"/>
      <c r="FN84" s="272"/>
      <c r="FO84" s="272"/>
      <c r="FP84" s="272"/>
      <c r="FQ84" s="272"/>
      <c r="FR84" s="272"/>
      <c r="FS84" s="272"/>
      <c r="FT84" s="272"/>
      <c r="FU84" s="272"/>
      <c r="FV84" s="272"/>
      <c r="FW84" s="272"/>
      <c r="FX84" s="272"/>
      <c r="FY84" s="272"/>
      <c r="FZ84" s="272"/>
      <c r="GA84" s="272"/>
      <c r="GB84" s="272"/>
      <c r="GC84" s="272"/>
      <c r="GD84" s="272"/>
      <c r="GE84" s="272"/>
      <c r="GF84" s="272"/>
      <c r="GG84" s="272"/>
      <c r="GH84" s="272"/>
      <c r="GI84" s="272"/>
      <c r="GJ84" s="272"/>
      <c r="GK84" s="272"/>
      <c r="GL84" s="272"/>
      <c r="GM84" s="272"/>
      <c r="GN84" s="272"/>
      <c r="GO84" s="272"/>
      <c r="GP84" s="272"/>
      <c r="GQ84" s="272"/>
      <c r="GR84" s="272"/>
      <c r="GS84" s="272"/>
      <c r="GT84" s="272"/>
      <c r="GU84" s="272"/>
      <c r="GV84" s="272"/>
      <c r="GW84" s="272"/>
      <c r="GX84" s="272"/>
      <c r="GY84" s="272"/>
      <c r="GZ84" s="272"/>
      <c r="HA84" s="272"/>
      <c r="HB84" s="272"/>
      <c r="HC84" s="272"/>
      <c r="HD84" s="272"/>
      <c r="HE84" s="272"/>
      <c r="HF84" s="272"/>
      <c r="HG84" s="272"/>
      <c r="HH84" s="272"/>
      <c r="HI84" s="272"/>
      <c r="HJ84" s="272"/>
      <c r="HK84" s="272"/>
      <c r="HL84" s="272"/>
      <c r="HM84" s="272"/>
      <c r="HN84" s="272"/>
      <c r="HO84" s="272"/>
      <c r="HP84" s="272"/>
      <c r="HQ84" s="272"/>
      <c r="HR84" s="272"/>
      <c r="HS84" s="272"/>
      <c r="HT84" s="272"/>
      <c r="HU84" s="272"/>
      <c r="HV84" s="272"/>
      <c r="HW84" s="272"/>
      <c r="HX84" s="272"/>
      <c r="HY84" s="272"/>
      <c r="HZ84" s="272"/>
      <c r="IA84" s="272"/>
      <c r="IB84" s="272"/>
      <c r="IC84" s="272"/>
      <c r="ID84" s="272"/>
      <c r="IE84" s="272"/>
      <c r="IF84" s="272"/>
      <c r="IG84" s="272"/>
      <c r="IH84" s="272"/>
      <c r="II84" s="272"/>
      <c r="IJ84" s="272"/>
      <c r="IK84" s="272"/>
      <c r="IL84" s="272"/>
      <c r="IM84" s="272"/>
      <c r="IN84" s="272"/>
      <c r="IO84" s="272"/>
      <c r="IP84" s="272"/>
      <c r="IQ84" s="272"/>
      <c r="IR84" s="272"/>
      <c r="IS84" s="272"/>
      <c r="IT84" s="272"/>
      <c r="IU84" s="272"/>
      <c r="IV84" s="272"/>
      <c r="IW84" s="272"/>
      <c r="IX84" s="272"/>
      <c r="IY84" s="272"/>
      <c r="IZ84" s="272"/>
      <c r="JA84" s="272"/>
      <c r="JB84" s="272"/>
      <c r="JC84" s="272"/>
      <c r="JD84" s="272"/>
      <c r="JE84" s="272"/>
      <c r="JF84" s="272"/>
      <c r="JG84" s="272"/>
      <c r="JH84" s="272"/>
      <c r="JI84" s="272"/>
      <c r="JJ84" s="272"/>
      <c r="JK84" s="272"/>
      <c r="JL84" s="272"/>
      <c r="JM84" s="272"/>
      <c r="JN84" s="272"/>
      <c r="JO84" s="272"/>
      <c r="JP84" s="272"/>
      <c r="JQ84" s="272"/>
      <c r="JR84" s="272"/>
      <c r="JS84" s="272"/>
      <c r="JT84" s="272"/>
      <c r="JU84" s="272"/>
      <c r="JV84" s="272"/>
      <c r="JW84" s="272"/>
      <c r="JX84" s="272"/>
      <c r="JY84" s="272"/>
      <c r="JZ84" s="272"/>
      <c r="KA84" s="272"/>
      <c r="KB84" s="272"/>
      <c r="KC84" s="272"/>
      <c r="KD84" s="272"/>
      <c r="KE84" s="272"/>
      <c r="KF84" s="272"/>
      <c r="KG84" s="272"/>
      <c r="KH84" s="272"/>
      <c r="KI84" s="272"/>
      <c r="KJ84" s="272"/>
      <c r="KK84" s="272"/>
      <c r="KL84" s="272"/>
      <c r="KM84" s="272"/>
      <c r="KN84" s="272"/>
      <c r="KO84" s="272"/>
      <c r="KP84" s="272"/>
      <c r="KQ84" s="272"/>
      <c r="KR84" s="272"/>
      <c r="KS84" s="272"/>
      <c r="KT84" s="272"/>
      <c r="KU84" s="272"/>
      <c r="KV84" s="272"/>
      <c r="KW84" s="272"/>
      <c r="KX84" s="272"/>
      <c r="KY84" s="272"/>
      <c r="KZ84" s="272"/>
      <c r="LA84" s="272"/>
      <c r="LB84" s="272"/>
      <c r="LC84" s="272"/>
      <c r="LD84" s="272"/>
      <c r="LE84" s="272"/>
      <c r="LF84" s="272"/>
      <c r="LG84" s="272"/>
      <c r="LH84" s="272"/>
      <c r="LI84" s="272"/>
      <c r="LJ84" s="272"/>
      <c r="LK84" s="272"/>
      <c r="LL84" s="272"/>
      <c r="LM84" s="272"/>
      <c r="LN84" s="272"/>
      <c r="LO84" s="272"/>
      <c r="LP84" s="272"/>
      <c r="LQ84" s="272"/>
      <c r="LR84" s="272"/>
      <c r="LS84" s="272"/>
      <c r="LT84" s="272"/>
      <c r="LU84" s="272"/>
      <c r="LV84" s="272"/>
      <c r="LW84" s="272"/>
      <c r="LX84" s="272"/>
      <c r="LY84" s="272"/>
      <c r="LZ84" s="272"/>
      <c r="MA84" s="272"/>
      <c r="MB84" s="272"/>
      <c r="MC84" s="272"/>
      <c r="MD84" s="272"/>
      <c r="ME84" s="272"/>
      <c r="MF84" s="272"/>
      <c r="MG84" s="272"/>
      <c r="MH84" s="272"/>
      <c r="MI84" s="272"/>
      <c r="MJ84" s="272"/>
      <c r="MK84" s="272"/>
      <c r="ML84" s="272"/>
      <c r="MM84" s="272"/>
      <c r="MN84" s="272"/>
      <c r="MO84" s="272"/>
      <c r="MP84" s="272"/>
      <c r="MQ84" s="272"/>
      <c r="MR84" s="272"/>
      <c r="MS84" s="272"/>
      <c r="MT84" s="272"/>
      <c r="MU84" s="272"/>
      <c r="MV84" s="272"/>
      <c r="MW84" s="272"/>
      <c r="MX84" s="272"/>
      <c r="MY84" s="272"/>
      <c r="MZ84" s="272"/>
      <c r="NA84" s="272"/>
      <c r="NB84" s="272"/>
      <c r="NC84" s="272"/>
      <c r="ND84" s="272"/>
      <c r="NE84" s="272"/>
      <c r="NF84" s="272"/>
      <c r="NG84" s="272"/>
      <c r="NH84" s="272"/>
      <c r="NI84" s="272"/>
      <c r="NJ84" s="272"/>
      <c r="NK84" s="272"/>
      <c r="NL84" s="272"/>
      <c r="NM84" s="272"/>
      <c r="NN84" s="272"/>
      <c r="NO84" s="272"/>
      <c r="NP84" s="272"/>
      <c r="NQ84" s="272"/>
      <c r="NR84" s="272"/>
      <c r="NS84" s="272"/>
      <c r="NT84" s="272"/>
      <c r="NU84" s="272"/>
      <c r="NV84" s="272"/>
      <c r="NW84" s="272"/>
      <c r="NX84" s="272"/>
      <c r="NY84" s="272"/>
      <c r="NZ84" s="272"/>
      <c r="OA84" s="272"/>
      <c r="OB84" s="272"/>
      <c r="OC84" s="272"/>
      <c r="OD84" s="272"/>
      <c r="OE84" s="272"/>
      <c r="OF84" s="272"/>
      <c r="OG84" s="272"/>
      <c r="OH84" s="272"/>
      <c r="OI84" s="272"/>
      <c r="OJ84" s="272"/>
      <c r="OK84" s="272"/>
      <c r="OL84" s="272"/>
      <c r="OM84" s="272"/>
      <c r="ON84" s="272"/>
      <c r="OO84" s="272"/>
      <c r="OP84" s="272"/>
      <c r="OQ84" s="272"/>
      <c r="OR84" s="272"/>
      <c r="OS84" s="272"/>
      <c r="OT84" s="272"/>
      <c r="OU84" s="272"/>
      <c r="OV84" s="272"/>
      <c r="OW84" s="272"/>
      <c r="OX84" s="272"/>
      <c r="OY84" s="272"/>
      <c r="OZ84" s="272"/>
      <c r="PA84" s="272"/>
      <c r="PB84" s="272"/>
      <c r="PC84" s="272"/>
      <c r="PD84" s="272"/>
      <c r="PE84" s="272"/>
      <c r="PF84" s="272"/>
      <c r="PG84" s="272"/>
      <c r="PH84" s="272"/>
      <c r="PI84" s="272"/>
      <c r="PJ84" s="272"/>
      <c r="PK84" s="272"/>
      <c r="PL84" s="272"/>
      <c r="PM84" s="272"/>
      <c r="PN84" s="272"/>
      <c r="PO84" s="272"/>
      <c r="PP84" s="272"/>
      <c r="PQ84" s="272"/>
      <c r="PR84" s="272"/>
      <c r="PS84" s="272"/>
      <c r="PT84" s="272"/>
      <c r="PU84" s="272"/>
      <c r="PV84" s="272"/>
      <c r="PW84" s="272"/>
      <c r="PX84" s="272"/>
      <c r="PY84" s="272"/>
      <c r="PZ84" s="272"/>
      <c r="QA84" s="272"/>
      <c r="QB84" s="272"/>
      <c r="QC84" s="272"/>
      <c r="QD84" s="272"/>
      <c r="QE84" s="272"/>
      <c r="QF84" s="272"/>
      <c r="QG84" s="272"/>
      <c r="QH84" s="272"/>
      <c r="QI84" s="272"/>
      <c r="QJ84" s="272"/>
      <c r="QK84" s="272"/>
      <c r="QL84" s="272"/>
      <c r="QM84" s="272"/>
      <c r="QN84" s="272"/>
      <c r="QO84" s="272"/>
      <c r="QP84" s="272"/>
      <c r="QQ84" s="272"/>
      <c r="QR84" s="272"/>
      <c r="QS84" s="272"/>
      <c r="QT84" s="272"/>
      <c r="QU84" s="272"/>
      <c r="QV84" s="272"/>
      <c r="QW84" s="272"/>
      <c r="QX84" s="272"/>
      <c r="QY84" s="272"/>
      <c r="QZ84" s="272"/>
      <c r="RA84" s="272"/>
      <c r="RB84" s="272"/>
      <c r="RC84" s="272"/>
      <c r="RD84" s="272"/>
      <c r="RE84" s="272"/>
      <c r="RF84" s="272"/>
      <c r="RG84" s="272"/>
      <c r="RH84" s="272"/>
      <c r="RI84" s="272"/>
      <c r="RJ84" s="272"/>
      <c r="RK84" s="272"/>
      <c r="RL84" s="272"/>
      <c r="RM84" s="272"/>
      <c r="RN84" s="272"/>
      <c r="RO84" s="272"/>
      <c r="RP84" s="272"/>
      <c r="RQ84" s="272"/>
      <c r="RR84" s="272"/>
      <c r="RS84" s="272"/>
      <c r="RT84" s="272"/>
      <c r="RU84" s="272"/>
      <c r="RV84" s="272"/>
      <c r="RW84" s="272"/>
      <c r="RX84" s="272"/>
      <c r="RY84" s="272"/>
      <c r="RZ84" s="272"/>
      <c r="SA84" s="272"/>
      <c r="SB84" s="272"/>
      <c r="SC84" s="272"/>
      <c r="SD84" s="272"/>
      <c r="SE84" s="272"/>
      <c r="SF84" s="272"/>
      <c r="SG84" s="272"/>
      <c r="SH84" s="272"/>
      <c r="SI84" s="272"/>
      <c r="SJ84" s="272"/>
      <c r="SK84" s="272"/>
      <c r="SL84" s="272"/>
      <c r="SM84" s="272"/>
      <c r="SN84" s="272"/>
      <c r="SO84" s="272"/>
      <c r="SP84" s="272"/>
      <c r="SQ84" s="272"/>
      <c r="SR84" s="272"/>
      <c r="SS84" s="272"/>
      <c r="ST84" s="272"/>
      <c r="SU84" s="272"/>
      <c r="SV84" s="272"/>
      <c r="SW84" s="272"/>
      <c r="SX84" s="272"/>
      <c r="SY84" s="272"/>
      <c r="SZ84" s="272"/>
      <c r="TA84" s="272"/>
      <c r="TB84" s="272"/>
      <c r="TC84" s="272"/>
      <c r="TD84" s="272"/>
      <c r="TE84" s="272"/>
      <c r="TF84" s="272"/>
      <c r="TG84" s="272"/>
      <c r="TH84" s="272"/>
      <c r="TI84" s="272"/>
      <c r="TJ84" s="272"/>
      <c r="TK84" s="272"/>
      <c r="TL84" s="272"/>
      <c r="TM84" s="272"/>
      <c r="TN84" s="272"/>
      <c r="TO84" s="272"/>
      <c r="TP84" s="272"/>
      <c r="TQ84" s="272"/>
      <c r="TR84" s="272"/>
      <c r="TS84" s="272"/>
      <c r="TT84" s="272"/>
      <c r="TU84" s="272"/>
      <c r="TV84" s="272"/>
      <c r="TW84" s="272"/>
      <c r="TX84" s="272"/>
      <c r="TY84" s="272"/>
      <c r="TZ84" s="272"/>
      <c r="UA84" s="272"/>
      <c r="UB84" s="272"/>
      <c r="UC84" s="272"/>
      <c r="UD84" s="272"/>
      <c r="UE84" s="272"/>
      <c r="UF84" s="272"/>
      <c r="UG84" s="272"/>
      <c r="UH84" s="272"/>
      <c r="UI84" s="272"/>
      <c r="UJ84" s="272"/>
      <c r="UK84" s="272"/>
      <c r="UL84" s="272"/>
      <c r="UM84" s="272"/>
      <c r="UN84" s="272"/>
      <c r="UO84" s="272"/>
      <c r="UP84" s="272"/>
      <c r="UQ84" s="272"/>
      <c r="UR84" s="272"/>
      <c r="US84" s="272"/>
      <c r="UT84" s="272"/>
      <c r="UU84" s="272"/>
      <c r="UV84" s="272"/>
      <c r="UW84" s="272"/>
      <c r="UX84" s="272"/>
      <c r="UY84" s="272"/>
      <c r="UZ84" s="272"/>
      <c r="VA84" s="272"/>
      <c r="VB84" s="272"/>
      <c r="VC84" s="272"/>
      <c r="VD84" s="272"/>
      <c r="VE84" s="272"/>
      <c r="VF84" s="272"/>
      <c r="VG84" s="272"/>
      <c r="VH84" s="272"/>
      <c r="VI84" s="272"/>
      <c r="VJ84" s="272"/>
      <c r="VK84" s="272"/>
      <c r="VL84" s="272"/>
      <c r="VM84" s="272"/>
      <c r="VN84" s="272"/>
      <c r="VO84" s="272"/>
      <c r="VP84" s="272"/>
      <c r="VQ84" s="272"/>
      <c r="VR84" s="272"/>
      <c r="VS84" s="272"/>
      <c r="VT84" s="272"/>
      <c r="VU84" s="272"/>
      <c r="VV84" s="272"/>
      <c r="VW84" s="272"/>
      <c r="VX84" s="272"/>
      <c r="VY84" s="272"/>
      <c r="VZ84" s="272"/>
      <c r="WA84" s="272"/>
      <c r="WB84" s="272"/>
      <c r="WC84" s="272"/>
      <c r="WD84" s="272"/>
      <c r="WE84" s="272"/>
      <c r="WF84" s="272"/>
      <c r="WG84" s="272"/>
      <c r="WH84" s="272"/>
      <c r="WI84" s="272"/>
      <c r="WJ84" s="272"/>
      <c r="WK84" s="272"/>
      <c r="WL84" s="272"/>
      <c r="WM84" s="272"/>
      <c r="WN84" s="272"/>
      <c r="WO84" s="272"/>
      <c r="WP84" s="272"/>
      <c r="WQ84" s="272"/>
      <c r="WR84" s="272"/>
      <c r="WS84" s="272"/>
      <c r="WT84" s="272"/>
      <c r="WU84" s="272"/>
      <c r="WV84" s="272"/>
      <c r="WW84" s="272"/>
      <c r="WX84" s="272"/>
      <c r="WY84" s="272"/>
      <c r="WZ84" s="272"/>
      <c r="XA84" s="272"/>
      <c r="XB84" s="272"/>
      <c r="XC84" s="272"/>
      <c r="XD84" s="272"/>
      <c r="XE84" s="272"/>
      <c r="XF84" s="272"/>
      <c r="XG84" s="272"/>
      <c r="XH84" s="272"/>
      <c r="XI84" s="272"/>
      <c r="XJ84" s="272"/>
      <c r="XK84" s="272"/>
      <c r="XL84" s="272"/>
      <c r="XM84" s="272"/>
      <c r="XN84" s="272"/>
      <c r="XO84" s="272"/>
      <c r="XP84" s="272"/>
      <c r="XQ84" s="272"/>
      <c r="XR84" s="272"/>
      <c r="XS84" s="272"/>
      <c r="XT84" s="272"/>
      <c r="XU84" s="272"/>
      <c r="XV84" s="272"/>
      <c r="XW84" s="272"/>
      <c r="XX84" s="272"/>
      <c r="XY84" s="272"/>
      <c r="XZ84" s="272"/>
      <c r="YA84" s="272"/>
      <c r="YB84" s="272"/>
      <c r="YC84" s="272"/>
      <c r="YD84" s="272"/>
      <c r="YE84" s="272"/>
      <c r="YF84" s="272"/>
      <c r="YG84" s="272"/>
      <c r="YH84" s="272"/>
      <c r="YI84" s="272"/>
      <c r="YJ84" s="272"/>
      <c r="YK84" s="272"/>
      <c r="YL84" s="272"/>
      <c r="YM84" s="272"/>
      <c r="YN84" s="272"/>
      <c r="YO84" s="272"/>
      <c r="YP84" s="272"/>
      <c r="YQ84" s="272"/>
      <c r="YR84" s="272"/>
      <c r="YS84" s="272"/>
      <c r="YT84" s="272"/>
      <c r="YU84" s="272"/>
      <c r="YV84" s="272"/>
      <c r="YW84" s="272"/>
      <c r="YX84" s="272"/>
      <c r="YY84" s="272"/>
      <c r="YZ84" s="272"/>
      <c r="ZA84" s="272"/>
      <c r="ZB84" s="272"/>
      <c r="ZC84" s="272"/>
      <c r="ZD84" s="272"/>
      <c r="ZE84" s="272"/>
      <c r="ZF84" s="272"/>
      <c r="ZG84" s="272"/>
      <c r="ZH84" s="272"/>
      <c r="ZI84" s="272"/>
      <c r="ZJ84" s="272"/>
      <c r="ZK84" s="272"/>
      <c r="ZL84" s="272"/>
      <c r="ZM84" s="272"/>
      <c r="ZN84" s="272"/>
      <c r="ZO84" s="272"/>
      <c r="ZP84" s="272"/>
      <c r="ZQ84" s="272"/>
      <c r="ZR84" s="272"/>
      <c r="ZS84" s="272"/>
      <c r="ZT84" s="272"/>
      <c r="ZU84" s="272"/>
      <c r="ZV84" s="272"/>
      <c r="ZW84" s="272"/>
      <c r="ZX84" s="272"/>
      <c r="ZY84" s="272"/>
      <c r="ZZ84" s="272"/>
      <c r="AAA84" s="272"/>
      <c r="AAB84" s="272"/>
      <c r="AAC84" s="272"/>
      <c r="AAD84" s="272"/>
      <c r="AAE84" s="272"/>
      <c r="AAF84" s="272"/>
      <c r="AAG84" s="272"/>
      <c r="AAH84" s="272"/>
      <c r="AAI84" s="272"/>
      <c r="AAJ84" s="272"/>
      <c r="AAK84" s="272"/>
      <c r="AAL84" s="272"/>
      <c r="AAM84" s="272"/>
      <c r="AAN84" s="272"/>
      <c r="AAO84" s="272"/>
      <c r="AAP84" s="272"/>
      <c r="AAQ84" s="272"/>
      <c r="AAR84" s="272"/>
      <c r="AAS84" s="272"/>
      <c r="AAT84" s="272"/>
      <c r="AAU84" s="272"/>
      <c r="AAV84" s="272"/>
      <c r="AAW84" s="272"/>
      <c r="AAX84" s="272"/>
      <c r="AAY84" s="272"/>
      <c r="AAZ84" s="272"/>
      <c r="ABA84" s="272"/>
      <c r="ABB84" s="272"/>
      <c r="ABC84" s="272"/>
      <c r="ABD84" s="272"/>
      <c r="ABE84" s="272"/>
      <c r="ABF84" s="272"/>
      <c r="ABG84" s="272"/>
    </row>
    <row r="85" spans="1:735" s="62" customFormat="1" ht="13.5" thickBot="1">
      <c r="A85" s="77"/>
      <c r="B85" s="73"/>
      <c r="C85" s="58" t="s">
        <v>54</v>
      </c>
      <c r="D85" s="58"/>
      <c r="E85" s="60"/>
      <c r="F85" s="264"/>
      <c r="G85" s="389"/>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c r="BM85" s="272"/>
      <c r="BN85" s="272"/>
      <c r="BO85" s="272"/>
      <c r="BP85" s="272"/>
      <c r="BQ85" s="272"/>
      <c r="BR85" s="272"/>
      <c r="BS85" s="272"/>
      <c r="BT85" s="272"/>
      <c r="BU85" s="272"/>
      <c r="BV85" s="272"/>
      <c r="BW85" s="272"/>
      <c r="BX85" s="272"/>
      <c r="BY85" s="272"/>
      <c r="BZ85" s="272"/>
      <c r="CA85" s="272"/>
      <c r="CB85" s="272"/>
      <c r="CC85" s="272"/>
      <c r="CD85" s="272"/>
      <c r="CE85" s="272"/>
      <c r="CF85" s="272"/>
      <c r="CG85" s="272"/>
      <c r="CH85" s="272"/>
      <c r="CI85" s="272"/>
      <c r="CJ85" s="272"/>
      <c r="CK85" s="272"/>
      <c r="CL85" s="272"/>
      <c r="CM85" s="272"/>
      <c r="CN85" s="272"/>
      <c r="CO85" s="272"/>
      <c r="CP85" s="272"/>
      <c r="CQ85" s="272"/>
      <c r="CR85" s="272"/>
      <c r="CS85" s="272"/>
      <c r="CT85" s="272"/>
      <c r="CU85" s="272"/>
      <c r="CV85" s="272"/>
      <c r="CW85" s="272"/>
      <c r="CX85" s="272"/>
      <c r="CY85" s="272"/>
      <c r="CZ85" s="272"/>
      <c r="DA85" s="272"/>
      <c r="DB85" s="272"/>
      <c r="DC85" s="272"/>
      <c r="DD85" s="272"/>
      <c r="DE85" s="272"/>
      <c r="DF85" s="272"/>
      <c r="DG85" s="272"/>
      <c r="DH85" s="272"/>
      <c r="DI85" s="272"/>
      <c r="DJ85" s="272"/>
      <c r="DK85" s="272"/>
      <c r="DL85" s="272"/>
      <c r="DM85" s="272"/>
      <c r="DN85" s="272"/>
      <c r="DO85" s="272"/>
      <c r="DP85" s="272"/>
      <c r="DQ85" s="272"/>
      <c r="DR85" s="272"/>
      <c r="DS85" s="272"/>
      <c r="DT85" s="272"/>
      <c r="DU85" s="272"/>
      <c r="DV85" s="272"/>
      <c r="DW85" s="272"/>
      <c r="DX85" s="272"/>
      <c r="DY85" s="272"/>
      <c r="DZ85" s="272"/>
      <c r="EA85" s="272"/>
      <c r="EB85" s="272"/>
      <c r="EC85" s="272"/>
      <c r="ED85" s="272"/>
      <c r="EE85" s="272"/>
      <c r="EF85" s="272"/>
      <c r="EG85" s="272"/>
      <c r="EH85" s="272"/>
      <c r="EI85" s="272"/>
      <c r="EJ85" s="272"/>
      <c r="EK85" s="272"/>
      <c r="EL85" s="272"/>
      <c r="EM85" s="272"/>
      <c r="EN85" s="272"/>
      <c r="EO85" s="272"/>
      <c r="EP85" s="272"/>
      <c r="EQ85" s="272"/>
      <c r="ER85" s="272"/>
      <c r="ES85" s="272"/>
      <c r="ET85" s="272"/>
      <c r="EU85" s="272"/>
      <c r="EV85" s="272"/>
      <c r="EW85" s="272"/>
      <c r="EX85" s="272"/>
      <c r="EY85" s="272"/>
      <c r="EZ85" s="272"/>
      <c r="FA85" s="272"/>
      <c r="FB85" s="272"/>
      <c r="FC85" s="272"/>
      <c r="FD85" s="272"/>
      <c r="FE85" s="272"/>
      <c r="FF85" s="272"/>
      <c r="FG85" s="272"/>
      <c r="FH85" s="272"/>
      <c r="FI85" s="272"/>
      <c r="FJ85" s="272"/>
      <c r="FK85" s="272"/>
      <c r="FL85" s="272"/>
      <c r="FM85" s="272"/>
      <c r="FN85" s="272"/>
      <c r="FO85" s="272"/>
      <c r="FP85" s="272"/>
      <c r="FQ85" s="272"/>
      <c r="FR85" s="272"/>
      <c r="FS85" s="272"/>
      <c r="FT85" s="272"/>
      <c r="FU85" s="272"/>
      <c r="FV85" s="272"/>
      <c r="FW85" s="272"/>
      <c r="FX85" s="272"/>
      <c r="FY85" s="272"/>
      <c r="FZ85" s="272"/>
      <c r="GA85" s="272"/>
      <c r="GB85" s="272"/>
      <c r="GC85" s="272"/>
      <c r="GD85" s="272"/>
      <c r="GE85" s="272"/>
      <c r="GF85" s="272"/>
      <c r="GG85" s="272"/>
      <c r="GH85" s="272"/>
      <c r="GI85" s="272"/>
      <c r="GJ85" s="272"/>
      <c r="GK85" s="272"/>
      <c r="GL85" s="272"/>
      <c r="GM85" s="272"/>
      <c r="GN85" s="272"/>
      <c r="GO85" s="272"/>
      <c r="GP85" s="272"/>
      <c r="GQ85" s="272"/>
      <c r="GR85" s="272"/>
      <c r="GS85" s="272"/>
      <c r="GT85" s="272"/>
      <c r="GU85" s="272"/>
      <c r="GV85" s="272"/>
      <c r="GW85" s="272"/>
      <c r="GX85" s="272"/>
      <c r="GY85" s="272"/>
      <c r="GZ85" s="272"/>
      <c r="HA85" s="272"/>
      <c r="HB85" s="272"/>
      <c r="HC85" s="272"/>
      <c r="HD85" s="272"/>
      <c r="HE85" s="272"/>
      <c r="HF85" s="272"/>
      <c r="HG85" s="272"/>
      <c r="HH85" s="272"/>
      <c r="HI85" s="272"/>
      <c r="HJ85" s="272"/>
      <c r="HK85" s="272"/>
      <c r="HL85" s="272"/>
      <c r="HM85" s="272"/>
      <c r="HN85" s="272"/>
      <c r="HO85" s="272"/>
      <c r="HP85" s="272"/>
      <c r="HQ85" s="272"/>
      <c r="HR85" s="272"/>
      <c r="HS85" s="272"/>
      <c r="HT85" s="272"/>
      <c r="HU85" s="272"/>
      <c r="HV85" s="272"/>
      <c r="HW85" s="272"/>
      <c r="HX85" s="272"/>
      <c r="HY85" s="272"/>
      <c r="HZ85" s="272"/>
      <c r="IA85" s="272"/>
      <c r="IB85" s="272"/>
      <c r="IC85" s="272"/>
      <c r="ID85" s="272"/>
      <c r="IE85" s="272"/>
      <c r="IF85" s="272"/>
      <c r="IG85" s="272"/>
      <c r="IH85" s="272"/>
      <c r="II85" s="272"/>
      <c r="IJ85" s="272"/>
      <c r="IK85" s="272"/>
      <c r="IL85" s="272"/>
      <c r="IM85" s="272"/>
      <c r="IN85" s="272"/>
      <c r="IO85" s="272"/>
      <c r="IP85" s="272"/>
      <c r="IQ85" s="272"/>
      <c r="IR85" s="272"/>
      <c r="IS85" s="272"/>
      <c r="IT85" s="272"/>
      <c r="IU85" s="272"/>
      <c r="IV85" s="272"/>
      <c r="IW85" s="272"/>
      <c r="IX85" s="272"/>
      <c r="IY85" s="272"/>
      <c r="IZ85" s="272"/>
      <c r="JA85" s="272"/>
      <c r="JB85" s="272"/>
      <c r="JC85" s="272"/>
      <c r="JD85" s="272"/>
      <c r="JE85" s="272"/>
      <c r="JF85" s="272"/>
      <c r="JG85" s="272"/>
      <c r="JH85" s="272"/>
      <c r="JI85" s="272"/>
      <c r="JJ85" s="272"/>
      <c r="JK85" s="272"/>
      <c r="JL85" s="272"/>
      <c r="JM85" s="272"/>
      <c r="JN85" s="272"/>
      <c r="JO85" s="272"/>
      <c r="JP85" s="272"/>
      <c r="JQ85" s="272"/>
      <c r="JR85" s="272"/>
      <c r="JS85" s="272"/>
      <c r="JT85" s="272"/>
      <c r="JU85" s="272"/>
      <c r="JV85" s="272"/>
      <c r="JW85" s="272"/>
      <c r="JX85" s="272"/>
      <c r="JY85" s="272"/>
      <c r="JZ85" s="272"/>
      <c r="KA85" s="272"/>
      <c r="KB85" s="272"/>
      <c r="KC85" s="272"/>
      <c r="KD85" s="272"/>
      <c r="KE85" s="272"/>
      <c r="KF85" s="272"/>
      <c r="KG85" s="272"/>
      <c r="KH85" s="272"/>
      <c r="KI85" s="272"/>
      <c r="KJ85" s="272"/>
      <c r="KK85" s="272"/>
      <c r="KL85" s="272"/>
      <c r="KM85" s="272"/>
      <c r="KN85" s="272"/>
      <c r="KO85" s="272"/>
      <c r="KP85" s="272"/>
      <c r="KQ85" s="272"/>
      <c r="KR85" s="272"/>
      <c r="KS85" s="272"/>
      <c r="KT85" s="272"/>
      <c r="KU85" s="272"/>
      <c r="KV85" s="272"/>
      <c r="KW85" s="272"/>
      <c r="KX85" s="272"/>
      <c r="KY85" s="272"/>
      <c r="KZ85" s="272"/>
      <c r="LA85" s="272"/>
      <c r="LB85" s="272"/>
      <c r="LC85" s="272"/>
      <c r="LD85" s="272"/>
      <c r="LE85" s="272"/>
      <c r="LF85" s="272"/>
      <c r="LG85" s="272"/>
      <c r="LH85" s="272"/>
      <c r="LI85" s="272"/>
      <c r="LJ85" s="272"/>
      <c r="LK85" s="272"/>
      <c r="LL85" s="272"/>
      <c r="LM85" s="272"/>
      <c r="LN85" s="272"/>
      <c r="LO85" s="272"/>
      <c r="LP85" s="272"/>
      <c r="LQ85" s="272"/>
      <c r="LR85" s="272"/>
      <c r="LS85" s="272"/>
      <c r="LT85" s="272"/>
      <c r="LU85" s="272"/>
      <c r="LV85" s="272"/>
      <c r="LW85" s="272"/>
      <c r="LX85" s="272"/>
      <c r="LY85" s="272"/>
      <c r="LZ85" s="272"/>
      <c r="MA85" s="272"/>
      <c r="MB85" s="272"/>
      <c r="MC85" s="272"/>
      <c r="MD85" s="272"/>
      <c r="ME85" s="272"/>
      <c r="MF85" s="272"/>
      <c r="MG85" s="272"/>
      <c r="MH85" s="272"/>
      <c r="MI85" s="272"/>
      <c r="MJ85" s="272"/>
      <c r="MK85" s="272"/>
      <c r="ML85" s="272"/>
      <c r="MM85" s="272"/>
      <c r="MN85" s="272"/>
      <c r="MO85" s="272"/>
      <c r="MP85" s="272"/>
      <c r="MQ85" s="272"/>
      <c r="MR85" s="272"/>
      <c r="MS85" s="272"/>
      <c r="MT85" s="272"/>
      <c r="MU85" s="272"/>
      <c r="MV85" s="272"/>
      <c r="MW85" s="272"/>
      <c r="MX85" s="272"/>
      <c r="MY85" s="272"/>
      <c r="MZ85" s="272"/>
      <c r="NA85" s="272"/>
      <c r="NB85" s="272"/>
      <c r="NC85" s="272"/>
      <c r="ND85" s="272"/>
      <c r="NE85" s="272"/>
      <c r="NF85" s="272"/>
      <c r="NG85" s="272"/>
      <c r="NH85" s="272"/>
      <c r="NI85" s="272"/>
      <c r="NJ85" s="272"/>
      <c r="NK85" s="272"/>
      <c r="NL85" s="272"/>
      <c r="NM85" s="272"/>
      <c r="NN85" s="272"/>
      <c r="NO85" s="272"/>
      <c r="NP85" s="272"/>
      <c r="NQ85" s="272"/>
      <c r="NR85" s="272"/>
      <c r="NS85" s="272"/>
      <c r="NT85" s="272"/>
      <c r="NU85" s="272"/>
      <c r="NV85" s="272"/>
      <c r="NW85" s="272"/>
      <c r="NX85" s="272"/>
      <c r="NY85" s="272"/>
      <c r="NZ85" s="272"/>
      <c r="OA85" s="272"/>
      <c r="OB85" s="272"/>
      <c r="OC85" s="272"/>
      <c r="OD85" s="272"/>
      <c r="OE85" s="272"/>
      <c r="OF85" s="272"/>
      <c r="OG85" s="272"/>
      <c r="OH85" s="272"/>
      <c r="OI85" s="272"/>
      <c r="OJ85" s="272"/>
      <c r="OK85" s="272"/>
      <c r="OL85" s="272"/>
      <c r="OM85" s="272"/>
      <c r="ON85" s="272"/>
      <c r="OO85" s="272"/>
      <c r="OP85" s="272"/>
      <c r="OQ85" s="272"/>
      <c r="OR85" s="272"/>
      <c r="OS85" s="272"/>
      <c r="OT85" s="272"/>
      <c r="OU85" s="272"/>
      <c r="OV85" s="272"/>
      <c r="OW85" s="272"/>
      <c r="OX85" s="272"/>
      <c r="OY85" s="272"/>
      <c r="OZ85" s="272"/>
      <c r="PA85" s="272"/>
      <c r="PB85" s="272"/>
      <c r="PC85" s="272"/>
      <c r="PD85" s="272"/>
      <c r="PE85" s="272"/>
      <c r="PF85" s="272"/>
      <c r="PG85" s="272"/>
      <c r="PH85" s="272"/>
      <c r="PI85" s="272"/>
      <c r="PJ85" s="272"/>
      <c r="PK85" s="272"/>
      <c r="PL85" s="272"/>
      <c r="PM85" s="272"/>
      <c r="PN85" s="272"/>
      <c r="PO85" s="272"/>
      <c r="PP85" s="272"/>
      <c r="PQ85" s="272"/>
      <c r="PR85" s="272"/>
      <c r="PS85" s="272"/>
      <c r="PT85" s="272"/>
      <c r="PU85" s="272"/>
      <c r="PV85" s="272"/>
      <c r="PW85" s="272"/>
      <c r="PX85" s="272"/>
      <c r="PY85" s="272"/>
      <c r="PZ85" s="272"/>
      <c r="QA85" s="272"/>
      <c r="QB85" s="272"/>
      <c r="QC85" s="272"/>
      <c r="QD85" s="272"/>
      <c r="QE85" s="272"/>
      <c r="QF85" s="272"/>
      <c r="QG85" s="272"/>
      <c r="QH85" s="272"/>
      <c r="QI85" s="272"/>
      <c r="QJ85" s="272"/>
      <c r="QK85" s="272"/>
      <c r="QL85" s="272"/>
      <c r="QM85" s="272"/>
      <c r="QN85" s="272"/>
      <c r="QO85" s="272"/>
      <c r="QP85" s="272"/>
      <c r="QQ85" s="272"/>
      <c r="QR85" s="272"/>
      <c r="QS85" s="272"/>
      <c r="QT85" s="272"/>
      <c r="QU85" s="272"/>
      <c r="QV85" s="272"/>
      <c r="QW85" s="272"/>
      <c r="QX85" s="272"/>
      <c r="QY85" s="272"/>
      <c r="QZ85" s="272"/>
      <c r="RA85" s="272"/>
      <c r="RB85" s="272"/>
      <c r="RC85" s="272"/>
      <c r="RD85" s="272"/>
      <c r="RE85" s="272"/>
      <c r="RF85" s="272"/>
      <c r="RG85" s="272"/>
      <c r="RH85" s="272"/>
      <c r="RI85" s="272"/>
      <c r="RJ85" s="272"/>
      <c r="RK85" s="272"/>
      <c r="RL85" s="272"/>
      <c r="RM85" s="272"/>
      <c r="RN85" s="272"/>
      <c r="RO85" s="272"/>
      <c r="RP85" s="272"/>
      <c r="RQ85" s="272"/>
      <c r="RR85" s="272"/>
      <c r="RS85" s="272"/>
      <c r="RT85" s="272"/>
      <c r="RU85" s="272"/>
      <c r="RV85" s="272"/>
      <c r="RW85" s="272"/>
      <c r="RX85" s="272"/>
      <c r="RY85" s="272"/>
      <c r="RZ85" s="272"/>
      <c r="SA85" s="272"/>
      <c r="SB85" s="272"/>
      <c r="SC85" s="272"/>
      <c r="SD85" s="272"/>
      <c r="SE85" s="272"/>
      <c r="SF85" s="272"/>
      <c r="SG85" s="272"/>
      <c r="SH85" s="272"/>
      <c r="SI85" s="272"/>
      <c r="SJ85" s="272"/>
      <c r="SK85" s="272"/>
      <c r="SL85" s="272"/>
      <c r="SM85" s="272"/>
      <c r="SN85" s="272"/>
      <c r="SO85" s="272"/>
      <c r="SP85" s="272"/>
      <c r="SQ85" s="272"/>
      <c r="SR85" s="272"/>
      <c r="SS85" s="272"/>
      <c r="ST85" s="272"/>
      <c r="SU85" s="272"/>
      <c r="SV85" s="272"/>
      <c r="SW85" s="272"/>
      <c r="SX85" s="272"/>
      <c r="SY85" s="272"/>
      <c r="SZ85" s="272"/>
      <c r="TA85" s="272"/>
      <c r="TB85" s="272"/>
      <c r="TC85" s="272"/>
      <c r="TD85" s="272"/>
      <c r="TE85" s="272"/>
      <c r="TF85" s="272"/>
      <c r="TG85" s="272"/>
      <c r="TH85" s="272"/>
      <c r="TI85" s="272"/>
      <c r="TJ85" s="272"/>
      <c r="TK85" s="272"/>
      <c r="TL85" s="272"/>
      <c r="TM85" s="272"/>
      <c r="TN85" s="272"/>
      <c r="TO85" s="272"/>
      <c r="TP85" s="272"/>
      <c r="TQ85" s="272"/>
      <c r="TR85" s="272"/>
      <c r="TS85" s="272"/>
      <c r="TT85" s="272"/>
      <c r="TU85" s="272"/>
      <c r="TV85" s="272"/>
      <c r="TW85" s="272"/>
      <c r="TX85" s="272"/>
      <c r="TY85" s="272"/>
      <c r="TZ85" s="272"/>
      <c r="UA85" s="272"/>
      <c r="UB85" s="272"/>
      <c r="UC85" s="272"/>
      <c r="UD85" s="272"/>
      <c r="UE85" s="272"/>
      <c r="UF85" s="272"/>
      <c r="UG85" s="272"/>
      <c r="UH85" s="272"/>
      <c r="UI85" s="272"/>
      <c r="UJ85" s="272"/>
      <c r="UK85" s="272"/>
      <c r="UL85" s="272"/>
      <c r="UM85" s="272"/>
      <c r="UN85" s="272"/>
      <c r="UO85" s="272"/>
      <c r="UP85" s="272"/>
      <c r="UQ85" s="272"/>
      <c r="UR85" s="272"/>
      <c r="US85" s="272"/>
      <c r="UT85" s="272"/>
      <c r="UU85" s="272"/>
      <c r="UV85" s="272"/>
      <c r="UW85" s="272"/>
      <c r="UX85" s="272"/>
      <c r="UY85" s="272"/>
      <c r="UZ85" s="272"/>
      <c r="VA85" s="272"/>
      <c r="VB85" s="272"/>
      <c r="VC85" s="272"/>
      <c r="VD85" s="272"/>
      <c r="VE85" s="272"/>
      <c r="VF85" s="272"/>
      <c r="VG85" s="272"/>
      <c r="VH85" s="272"/>
      <c r="VI85" s="272"/>
      <c r="VJ85" s="272"/>
      <c r="VK85" s="272"/>
      <c r="VL85" s="272"/>
      <c r="VM85" s="272"/>
      <c r="VN85" s="272"/>
      <c r="VO85" s="272"/>
      <c r="VP85" s="272"/>
      <c r="VQ85" s="272"/>
      <c r="VR85" s="272"/>
      <c r="VS85" s="272"/>
      <c r="VT85" s="272"/>
      <c r="VU85" s="272"/>
      <c r="VV85" s="272"/>
      <c r="VW85" s="272"/>
      <c r="VX85" s="272"/>
      <c r="VY85" s="272"/>
      <c r="VZ85" s="272"/>
      <c r="WA85" s="272"/>
      <c r="WB85" s="272"/>
      <c r="WC85" s="272"/>
      <c r="WD85" s="272"/>
      <c r="WE85" s="272"/>
      <c r="WF85" s="272"/>
      <c r="WG85" s="272"/>
      <c r="WH85" s="272"/>
      <c r="WI85" s="272"/>
      <c r="WJ85" s="272"/>
      <c r="WK85" s="272"/>
      <c r="WL85" s="272"/>
      <c r="WM85" s="272"/>
      <c r="WN85" s="272"/>
      <c r="WO85" s="272"/>
      <c r="WP85" s="272"/>
      <c r="WQ85" s="272"/>
      <c r="WR85" s="272"/>
      <c r="WS85" s="272"/>
      <c r="WT85" s="272"/>
      <c r="WU85" s="272"/>
      <c r="WV85" s="272"/>
      <c r="WW85" s="272"/>
      <c r="WX85" s="272"/>
      <c r="WY85" s="272"/>
      <c r="WZ85" s="272"/>
      <c r="XA85" s="272"/>
      <c r="XB85" s="272"/>
      <c r="XC85" s="272"/>
      <c r="XD85" s="272"/>
      <c r="XE85" s="272"/>
      <c r="XF85" s="272"/>
      <c r="XG85" s="272"/>
      <c r="XH85" s="272"/>
      <c r="XI85" s="272"/>
      <c r="XJ85" s="272"/>
      <c r="XK85" s="272"/>
      <c r="XL85" s="272"/>
      <c r="XM85" s="272"/>
      <c r="XN85" s="272"/>
      <c r="XO85" s="272"/>
      <c r="XP85" s="272"/>
      <c r="XQ85" s="272"/>
      <c r="XR85" s="272"/>
      <c r="XS85" s="272"/>
      <c r="XT85" s="272"/>
      <c r="XU85" s="272"/>
      <c r="XV85" s="272"/>
      <c r="XW85" s="272"/>
      <c r="XX85" s="272"/>
      <c r="XY85" s="272"/>
      <c r="XZ85" s="272"/>
      <c r="YA85" s="272"/>
      <c r="YB85" s="272"/>
      <c r="YC85" s="272"/>
      <c r="YD85" s="272"/>
      <c r="YE85" s="272"/>
      <c r="YF85" s="272"/>
      <c r="YG85" s="272"/>
      <c r="YH85" s="272"/>
      <c r="YI85" s="272"/>
      <c r="YJ85" s="272"/>
      <c r="YK85" s="272"/>
      <c r="YL85" s="272"/>
      <c r="YM85" s="272"/>
      <c r="YN85" s="272"/>
      <c r="YO85" s="272"/>
      <c r="YP85" s="272"/>
      <c r="YQ85" s="272"/>
      <c r="YR85" s="272"/>
      <c r="YS85" s="272"/>
      <c r="YT85" s="272"/>
      <c r="YU85" s="272"/>
      <c r="YV85" s="272"/>
      <c r="YW85" s="272"/>
      <c r="YX85" s="272"/>
      <c r="YY85" s="272"/>
      <c r="YZ85" s="272"/>
      <c r="ZA85" s="272"/>
      <c r="ZB85" s="272"/>
      <c r="ZC85" s="272"/>
      <c r="ZD85" s="272"/>
      <c r="ZE85" s="272"/>
      <c r="ZF85" s="272"/>
      <c r="ZG85" s="272"/>
      <c r="ZH85" s="272"/>
      <c r="ZI85" s="272"/>
      <c r="ZJ85" s="272"/>
      <c r="ZK85" s="272"/>
      <c r="ZL85" s="272"/>
      <c r="ZM85" s="272"/>
      <c r="ZN85" s="272"/>
      <c r="ZO85" s="272"/>
      <c r="ZP85" s="272"/>
      <c r="ZQ85" s="272"/>
      <c r="ZR85" s="272"/>
      <c r="ZS85" s="272"/>
      <c r="ZT85" s="272"/>
      <c r="ZU85" s="272"/>
      <c r="ZV85" s="272"/>
      <c r="ZW85" s="272"/>
      <c r="ZX85" s="272"/>
      <c r="ZY85" s="272"/>
      <c r="ZZ85" s="272"/>
      <c r="AAA85" s="272"/>
      <c r="AAB85" s="272"/>
      <c r="AAC85" s="272"/>
      <c r="AAD85" s="272"/>
      <c r="AAE85" s="272"/>
      <c r="AAF85" s="272"/>
      <c r="AAG85" s="272"/>
      <c r="AAH85" s="272"/>
      <c r="AAI85" s="272"/>
      <c r="AAJ85" s="272"/>
      <c r="AAK85" s="272"/>
      <c r="AAL85" s="272"/>
      <c r="AAM85" s="272"/>
      <c r="AAN85" s="272"/>
      <c r="AAO85" s="272"/>
      <c r="AAP85" s="272"/>
      <c r="AAQ85" s="272"/>
      <c r="AAR85" s="272"/>
      <c r="AAS85" s="272"/>
      <c r="AAT85" s="272"/>
      <c r="AAU85" s="272"/>
      <c r="AAV85" s="272"/>
      <c r="AAW85" s="272"/>
      <c r="AAX85" s="272"/>
      <c r="AAY85" s="272"/>
      <c r="AAZ85" s="272"/>
      <c r="ABA85" s="272"/>
      <c r="ABB85" s="272"/>
      <c r="ABC85" s="272"/>
      <c r="ABD85" s="272"/>
      <c r="ABE85" s="272"/>
      <c r="ABF85" s="272"/>
      <c r="ABG85" s="272"/>
    </row>
    <row r="86" spans="1:735" s="61" customFormat="1" ht="63.75">
      <c r="A86" s="67" t="s">
        <v>13</v>
      </c>
      <c r="B86" s="68" t="s">
        <v>33</v>
      </c>
      <c r="C86" s="30" t="s">
        <v>52</v>
      </c>
      <c r="D86" s="518"/>
      <c r="E86" s="518"/>
      <c r="F86" s="503"/>
      <c r="G86" s="504"/>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c r="BP86" s="272"/>
      <c r="BQ86" s="272"/>
      <c r="BR86" s="272"/>
      <c r="BS86" s="272"/>
      <c r="BT86" s="272"/>
      <c r="BU86" s="272"/>
      <c r="BV86" s="272"/>
      <c r="BW86" s="272"/>
      <c r="BX86" s="272"/>
      <c r="BY86" s="272"/>
      <c r="BZ86" s="272"/>
      <c r="CA86" s="272"/>
      <c r="CB86" s="272"/>
      <c r="CC86" s="272"/>
      <c r="CD86" s="272"/>
      <c r="CE86" s="272"/>
      <c r="CF86" s="272"/>
      <c r="CG86" s="272"/>
      <c r="CH86" s="272"/>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2"/>
      <c r="DF86" s="272"/>
      <c r="DG86" s="272"/>
      <c r="DH86" s="272"/>
      <c r="DI86" s="272"/>
      <c r="DJ86" s="272"/>
      <c r="DK86" s="272"/>
      <c r="DL86" s="272"/>
      <c r="DM86" s="272"/>
      <c r="DN86" s="272"/>
      <c r="DO86" s="272"/>
      <c r="DP86" s="272"/>
      <c r="DQ86" s="272"/>
      <c r="DR86" s="272"/>
      <c r="DS86" s="272"/>
      <c r="DT86" s="272"/>
      <c r="DU86" s="272"/>
      <c r="DV86" s="272"/>
      <c r="DW86" s="272"/>
      <c r="DX86" s="272"/>
      <c r="DY86" s="272"/>
      <c r="DZ86" s="272"/>
      <c r="EA86" s="272"/>
      <c r="EB86" s="272"/>
      <c r="EC86" s="272"/>
      <c r="ED86" s="272"/>
      <c r="EE86" s="272"/>
      <c r="EF86" s="272"/>
      <c r="EG86" s="272"/>
      <c r="EH86" s="272"/>
      <c r="EI86" s="272"/>
      <c r="EJ86" s="272"/>
      <c r="EK86" s="272"/>
      <c r="EL86" s="272"/>
      <c r="EM86" s="272"/>
      <c r="EN86" s="272"/>
      <c r="EO86" s="272"/>
      <c r="EP86" s="272"/>
      <c r="EQ86" s="272"/>
      <c r="ER86" s="272"/>
      <c r="ES86" s="272"/>
      <c r="ET86" s="272"/>
      <c r="EU86" s="272"/>
      <c r="EV86" s="272"/>
      <c r="EW86" s="272"/>
      <c r="EX86" s="272"/>
      <c r="EY86" s="272"/>
      <c r="EZ86" s="272"/>
      <c r="FA86" s="272"/>
      <c r="FB86" s="272"/>
      <c r="FC86" s="272"/>
      <c r="FD86" s="272"/>
      <c r="FE86" s="272"/>
      <c r="FF86" s="272"/>
      <c r="FG86" s="272"/>
      <c r="FH86" s="272"/>
      <c r="FI86" s="272"/>
      <c r="FJ86" s="272"/>
      <c r="FK86" s="272"/>
      <c r="FL86" s="272"/>
      <c r="FM86" s="272"/>
      <c r="FN86" s="272"/>
      <c r="FO86" s="272"/>
      <c r="FP86" s="272"/>
      <c r="FQ86" s="272"/>
      <c r="FR86" s="272"/>
      <c r="FS86" s="272"/>
      <c r="FT86" s="272"/>
      <c r="FU86" s="272"/>
      <c r="FV86" s="272"/>
      <c r="FW86" s="272"/>
      <c r="FX86" s="272"/>
      <c r="FY86" s="272"/>
      <c r="FZ86" s="272"/>
      <c r="GA86" s="272"/>
      <c r="GB86" s="272"/>
      <c r="GC86" s="272"/>
      <c r="GD86" s="272"/>
      <c r="GE86" s="272"/>
      <c r="GF86" s="272"/>
      <c r="GG86" s="272"/>
      <c r="GH86" s="272"/>
      <c r="GI86" s="272"/>
      <c r="GJ86" s="272"/>
      <c r="GK86" s="272"/>
      <c r="GL86" s="272"/>
      <c r="GM86" s="272"/>
      <c r="GN86" s="272"/>
      <c r="GO86" s="272"/>
      <c r="GP86" s="272"/>
      <c r="GQ86" s="272"/>
      <c r="GR86" s="272"/>
      <c r="GS86" s="272"/>
      <c r="GT86" s="272"/>
      <c r="GU86" s="272"/>
      <c r="GV86" s="272"/>
      <c r="GW86" s="272"/>
      <c r="GX86" s="272"/>
      <c r="GY86" s="272"/>
      <c r="GZ86" s="272"/>
      <c r="HA86" s="272"/>
      <c r="HB86" s="272"/>
      <c r="HC86" s="272"/>
      <c r="HD86" s="272"/>
      <c r="HE86" s="272"/>
      <c r="HF86" s="272"/>
      <c r="HG86" s="272"/>
      <c r="HH86" s="272"/>
      <c r="HI86" s="272"/>
      <c r="HJ86" s="272"/>
      <c r="HK86" s="272"/>
      <c r="HL86" s="272"/>
      <c r="HM86" s="272"/>
      <c r="HN86" s="272"/>
      <c r="HO86" s="272"/>
      <c r="HP86" s="272"/>
      <c r="HQ86" s="272"/>
      <c r="HR86" s="272"/>
      <c r="HS86" s="272"/>
      <c r="HT86" s="272"/>
      <c r="HU86" s="272"/>
      <c r="HV86" s="272"/>
      <c r="HW86" s="272"/>
      <c r="HX86" s="272"/>
      <c r="HY86" s="272"/>
      <c r="HZ86" s="272"/>
      <c r="IA86" s="272"/>
      <c r="IB86" s="272"/>
      <c r="IC86" s="272"/>
      <c r="ID86" s="272"/>
      <c r="IE86" s="272"/>
      <c r="IF86" s="272"/>
      <c r="IG86" s="272"/>
      <c r="IH86" s="272"/>
      <c r="II86" s="272"/>
      <c r="IJ86" s="272"/>
      <c r="IK86" s="272"/>
      <c r="IL86" s="272"/>
      <c r="IM86" s="272"/>
      <c r="IN86" s="272"/>
      <c r="IO86" s="272"/>
      <c r="IP86" s="272"/>
      <c r="IQ86" s="272"/>
      <c r="IR86" s="272"/>
      <c r="IS86" s="272"/>
      <c r="IT86" s="272"/>
      <c r="IU86" s="272"/>
      <c r="IV86" s="272"/>
      <c r="IW86" s="272"/>
      <c r="IX86" s="272"/>
      <c r="IY86" s="272"/>
      <c r="IZ86" s="272"/>
      <c r="JA86" s="272"/>
      <c r="JB86" s="272"/>
      <c r="JC86" s="272"/>
      <c r="JD86" s="272"/>
      <c r="JE86" s="272"/>
      <c r="JF86" s="272"/>
      <c r="JG86" s="272"/>
      <c r="JH86" s="272"/>
      <c r="JI86" s="272"/>
      <c r="JJ86" s="272"/>
      <c r="JK86" s="272"/>
      <c r="JL86" s="272"/>
      <c r="JM86" s="272"/>
      <c r="JN86" s="272"/>
      <c r="JO86" s="272"/>
      <c r="JP86" s="272"/>
      <c r="JQ86" s="272"/>
      <c r="JR86" s="272"/>
      <c r="JS86" s="272"/>
      <c r="JT86" s="272"/>
      <c r="JU86" s="272"/>
      <c r="JV86" s="272"/>
      <c r="JW86" s="272"/>
      <c r="JX86" s="272"/>
      <c r="JY86" s="272"/>
      <c r="JZ86" s="272"/>
      <c r="KA86" s="272"/>
      <c r="KB86" s="272"/>
      <c r="KC86" s="272"/>
      <c r="KD86" s="272"/>
      <c r="KE86" s="272"/>
      <c r="KF86" s="272"/>
      <c r="KG86" s="272"/>
      <c r="KH86" s="272"/>
      <c r="KI86" s="272"/>
      <c r="KJ86" s="272"/>
      <c r="KK86" s="272"/>
      <c r="KL86" s="272"/>
      <c r="KM86" s="272"/>
      <c r="KN86" s="272"/>
      <c r="KO86" s="272"/>
      <c r="KP86" s="272"/>
      <c r="KQ86" s="272"/>
      <c r="KR86" s="272"/>
      <c r="KS86" s="272"/>
      <c r="KT86" s="272"/>
      <c r="KU86" s="272"/>
      <c r="KV86" s="272"/>
      <c r="KW86" s="272"/>
      <c r="KX86" s="272"/>
      <c r="KY86" s="272"/>
      <c r="KZ86" s="272"/>
      <c r="LA86" s="272"/>
      <c r="LB86" s="272"/>
      <c r="LC86" s="272"/>
      <c r="LD86" s="272"/>
      <c r="LE86" s="272"/>
      <c r="LF86" s="272"/>
      <c r="LG86" s="272"/>
      <c r="LH86" s="272"/>
      <c r="LI86" s="272"/>
      <c r="LJ86" s="272"/>
      <c r="LK86" s="272"/>
      <c r="LL86" s="272"/>
      <c r="LM86" s="272"/>
      <c r="LN86" s="272"/>
      <c r="LO86" s="272"/>
      <c r="LP86" s="272"/>
      <c r="LQ86" s="272"/>
      <c r="LR86" s="272"/>
      <c r="LS86" s="272"/>
      <c r="LT86" s="272"/>
      <c r="LU86" s="272"/>
      <c r="LV86" s="272"/>
      <c r="LW86" s="272"/>
      <c r="LX86" s="272"/>
      <c r="LY86" s="272"/>
      <c r="LZ86" s="272"/>
      <c r="MA86" s="272"/>
      <c r="MB86" s="272"/>
      <c r="MC86" s="272"/>
      <c r="MD86" s="272"/>
      <c r="ME86" s="272"/>
      <c r="MF86" s="272"/>
      <c r="MG86" s="272"/>
      <c r="MH86" s="272"/>
      <c r="MI86" s="272"/>
      <c r="MJ86" s="272"/>
      <c r="MK86" s="272"/>
      <c r="ML86" s="272"/>
      <c r="MM86" s="272"/>
      <c r="MN86" s="272"/>
      <c r="MO86" s="272"/>
      <c r="MP86" s="272"/>
      <c r="MQ86" s="272"/>
      <c r="MR86" s="272"/>
      <c r="MS86" s="272"/>
      <c r="MT86" s="272"/>
      <c r="MU86" s="272"/>
      <c r="MV86" s="272"/>
      <c r="MW86" s="272"/>
      <c r="MX86" s="272"/>
      <c r="MY86" s="272"/>
      <c r="MZ86" s="272"/>
      <c r="NA86" s="272"/>
      <c r="NB86" s="272"/>
      <c r="NC86" s="272"/>
      <c r="ND86" s="272"/>
      <c r="NE86" s="272"/>
      <c r="NF86" s="272"/>
      <c r="NG86" s="272"/>
      <c r="NH86" s="272"/>
      <c r="NI86" s="272"/>
      <c r="NJ86" s="272"/>
      <c r="NK86" s="272"/>
      <c r="NL86" s="272"/>
      <c r="NM86" s="272"/>
      <c r="NN86" s="272"/>
      <c r="NO86" s="272"/>
      <c r="NP86" s="272"/>
      <c r="NQ86" s="272"/>
      <c r="NR86" s="272"/>
      <c r="NS86" s="272"/>
      <c r="NT86" s="272"/>
      <c r="NU86" s="272"/>
      <c r="NV86" s="272"/>
      <c r="NW86" s="272"/>
      <c r="NX86" s="272"/>
      <c r="NY86" s="272"/>
      <c r="NZ86" s="272"/>
      <c r="OA86" s="272"/>
      <c r="OB86" s="272"/>
      <c r="OC86" s="272"/>
      <c r="OD86" s="272"/>
      <c r="OE86" s="272"/>
      <c r="OF86" s="272"/>
      <c r="OG86" s="272"/>
      <c r="OH86" s="272"/>
      <c r="OI86" s="272"/>
      <c r="OJ86" s="272"/>
      <c r="OK86" s="272"/>
      <c r="OL86" s="272"/>
      <c r="OM86" s="272"/>
      <c r="ON86" s="272"/>
      <c r="OO86" s="272"/>
      <c r="OP86" s="272"/>
      <c r="OQ86" s="272"/>
      <c r="OR86" s="272"/>
      <c r="OS86" s="272"/>
      <c r="OT86" s="272"/>
      <c r="OU86" s="272"/>
      <c r="OV86" s="272"/>
      <c r="OW86" s="272"/>
      <c r="OX86" s="272"/>
      <c r="OY86" s="272"/>
      <c r="OZ86" s="272"/>
      <c r="PA86" s="272"/>
      <c r="PB86" s="272"/>
      <c r="PC86" s="272"/>
      <c r="PD86" s="272"/>
      <c r="PE86" s="272"/>
      <c r="PF86" s="272"/>
      <c r="PG86" s="272"/>
      <c r="PH86" s="272"/>
      <c r="PI86" s="272"/>
      <c r="PJ86" s="272"/>
      <c r="PK86" s="272"/>
      <c r="PL86" s="272"/>
      <c r="PM86" s="272"/>
      <c r="PN86" s="272"/>
      <c r="PO86" s="272"/>
      <c r="PP86" s="272"/>
      <c r="PQ86" s="272"/>
      <c r="PR86" s="272"/>
      <c r="PS86" s="272"/>
      <c r="PT86" s="272"/>
      <c r="PU86" s="272"/>
      <c r="PV86" s="272"/>
      <c r="PW86" s="272"/>
      <c r="PX86" s="272"/>
      <c r="PY86" s="272"/>
      <c r="PZ86" s="272"/>
      <c r="QA86" s="272"/>
      <c r="QB86" s="272"/>
      <c r="QC86" s="272"/>
      <c r="QD86" s="272"/>
      <c r="QE86" s="272"/>
      <c r="QF86" s="272"/>
      <c r="QG86" s="272"/>
      <c r="QH86" s="272"/>
      <c r="QI86" s="272"/>
      <c r="QJ86" s="272"/>
      <c r="QK86" s="272"/>
      <c r="QL86" s="272"/>
      <c r="QM86" s="272"/>
      <c r="QN86" s="272"/>
      <c r="QO86" s="272"/>
      <c r="QP86" s="272"/>
      <c r="QQ86" s="272"/>
      <c r="QR86" s="272"/>
      <c r="QS86" s="272"/>
      <c r="QT86" s="272"/>
      <c r="QU86" s="272"/>
      <c r="QV86" s="272"/>
      <c r="QW86" s="272"/>
      <c r="QX86" s="272"/>
      <c r="QY86" s="272"/>
      <c r="QZ86" s="272"/>
      <c r="RA86" s="272"/>
      <c r="RB86" s="272"/>
      <c r="RC86" s="272"/>
      <c r="RD86" s="272"/>
      <c r="RE86" s="272"/>
      <c r="RF86" s="272"/>
      <c r="RG86" s="272"/>
      <c r="RH86" s="272"/>
      <c r="RI86" s="272"/>
      <c r="RJ86" s="272"/>
      <c r="RK86" s="272"/>
      <c r="RL86" s="272"/>
      <c r="RM86" s="272"/>
      <c r="RN86" s="272"/>
      <c r="RO86" s="272"/>
      <c r="RP86" s="272"/>
      <c r="RQ86" s="272"/>
      <c r="RR86" s="272"/>
      <c r="RS86" s="272"/>
      <c r="RT86" s="272"/>
      <c r="RU86" s="272"/>
      <c r="RV86" s="272"/>
      <c r="RW86" s="272"/>
      <c r="RX86" s="272"/>
      <c r="RY86" s="272"/>
      <c r="RZ86" s="272"/>
      <c r="SA86" s="272"/>
      <c r="SB86" s="272"/>
      <c r="SC86" s="272"/>
      <c r="SD86" s="272"/>
      <c r="SE86" s="272"/>
      <c r="SF86" s="272"/>
      <c r="SG86" s="272"/>
      <c r="SH86" s="272"/>
      <c r="SI86" s="272"/>
      <c r="SJ86" s="272"/>
      <c r="SK86" s="272"/>
      <c r="SL86" s="272"/>
      <c r="SM86" s="272"/>
      <c r="SN86" s="272"/>
      <c r="SO86" s="272"/>
      <c r="SP86" s="272"/>
      <c r="SQ86" s="272"/>
      <c r="SR86" s="272"/>
      <c r="SS86" s="272"/>
      <c r="ST86" s="272"/>
      <c r="SU86" s="272"/>
      <c r="SV86" s="272"/>
      <c r="SW86" s="272"/>
      <c r="SX86" s="272"/>
      <c r="SY86" s="272"/>
      <c r="SZ86" s="272"/>
      <c r="TA86" s="272"/>
      <c r="TB86" s="272"/>
      <c r="TC86" s="272"/>
      <c r="TD86" s="272"/>
      <c r="TE86" s="272"/>
      <c r="TF86" s="272"/>
      <c r="TG86" s="272"/>
      <c r="TH86" s="272"/>
      <c r="TI86" s="272"/>
      <c r="TJ86" s="272"/>
      <c r="TK86" s="272"/>
      <c r="TL86" s="272"/>
      <c r="TM86" s="272"/>
      <c r="TN86" s="272"/>
      <c r="TO86" s="272"/>
      <c r="TP86" s="272"/>
      <c r="TQ86" s="272"/>
      <c r="TR86" s="272"/>
      <c r="TS86" s="272"/>
      <c r="TT86" s="272"/>
      <c r="TU86" s="272"/>
      <c r="TV86" s="272"/>
      <c r="TW86" s="272"/>
      <c r="TX86" s="272"/>
      <c r="TY86" s="272"/>
      <c r="TZ86" s="272"/>
      <c r="UA86" s="272"/>
      <c r="UB86" s="272"/>
      <c r="UC86" s="272"/>
      <c r="UD86" s="272"/>
      <c r="UE86" s="272"/>
      <c r="UF86" s="272"/>
      <c r="UG86" s="272"/>
      <c r="UH86" s="272"/>
      <c r="UI86" s="272"/>
      <c r="UJ86" s="272"/>
      <c r="UK86" s="272"/>
      <c r="UL86" s="272"/>
      <c r="UM86" s="272"/>
      <c r="UN86" s="272"/>
      <c r="UO86" s="272"/>
      <c r="UP86" s="272"/>
      <c r="UQ86" s="272"/>
      <c r="UR86" s="272"/>
      <c r="US86" s="272"/>
      <c r="UT86" s="272"/>
      <c r="UU86" s="272"/>
      <c r="UV86" s="272"/>
      <c r="UW86" s="272"/>
      <c r="UX86" s="272"/>
      <c r="UY86" s="272"/>
      <c r="UZ86" s="272"/>
      <c r="VA86" s="272"/>
      <c r="VB86" s="272"/>
      <c r="VC86" s="272"/>
      <c r="VD86" s="272"/>
      <c r="VE86" s="272"/>
      <c r="VF86" s="272"/>
      <c r="VG86" s="272"/>
      <c r="VH86" s="272"/>
      <c r="VI86" s="272"/>
      <c r="VJ86" s="272"/>
      <c r="VK86" s="272"/>
      <c r="VL86" s="272"/>
      <c r="VM86" s="272"/>
      <c r="VN86" s="272"/>
      <c r="VO86" s="272"/>
      <c r="VP86" s="272"/>
      <c r="VQ86" s="272"/>
      <c r="VR86" s="272"/>
      <c r="VS86" s="272"/>
      <c r="VT86" s="272"/>
      <c r="VU86" s="272"/>
      <c r="VV86" s="272"/>
      <c r="VW86" s="272"/>
      <c r="VX86" s="272"/>
      <c r="VY86" s="272"/>
      <c r="VZ86" s="272"/>
      <c r="WA86" s="272"/>
      <c r="WB86" s="272"/>
      <c r="WC86" s="272"/>
      <c r="WD86" s="272"/>
      <c r="WE86" s="272"/>
      <c r="WF86" s="272"/>
      <c r="WG86" s="272"/>
      <c r="WH86" s="272"/>
      <c r="WI86" s="272"/>
      <c r="WJ86" s="272"/>
      <c r="WK86" s="272"/>
      <c r="WL86" s="272"/>
      <c r="WM86" s="272"/>
      <c r="WN86" s="272"/>
      <c r="WO86" s="272"/>
      <c r="WP86" s="272"/>
      <c r="WQ86" s="272"/>
      <c r="WR86" s="272"/>
      <c r="WS86" s="272"/>
      <c r="WT86" s="272"/>
      <c r="WU86" s="272"/>
      <c r="WV86" s="272"/>
      <c r="WW86" s="272"/>
      <c r="WX86" s="272"/>
      <c r="WY86" s="272"/>
      <c r="WZ86" s="272"/>
      <c r="XA86" s="272"/>
      <c r="XB86" s="272"/>
      <c r="XC86" s="272"/>
      <c r="XD86" s="272"/>
      <c r="XE86" s="272"/>
      <c r="XF86" s="272"/>
      <c r="XG86" s="272"/>
      <c r="XH86" s="272"/>
      <c r="XI86" s="272"/>
      <c r="XJ86" s="272"/>
      <c r="XK86" s="272"/>
      <c r="XL86" s="272"/>
      <c r="XM86" s="272"/>
      <c r="XN86" s="272"/>
      <c r="XO86" s="272"/>
      <c r="XP86" s="272"/>
      <c r="XQ86" s="272"/>
      <c r="XR86" s="272"/>
      <c r="XS86" s="272"/>
      <c r="XT86" s="272"/>
      <c r="XU86" s="272"/>
      <c r="XV86" s="272"/>
      <c r="XW86" s="272"/>
      <c r="XX86" s="272"/>
      <c r="XY86" s="272"/>
      <c r="XZ86" s="272"/>
      <c r="YA86" s="272"/>
      <c r="YB86" s="272"/>
      <c r="YC86" s="272"/>
      <c r="YD86" s="272"/>
      <c r="YE86" s="272"/>
      <c r="YF86" s="272"/>
      <c r="YG86" s="272"/>
      <c r="YH86" s="272"/>
      <c r="YI86" s="272"/>
      <c r="YJ86" s="272"/>
      <c r="YK86" s="272"/>
      <c r="YL86" s="272"/>
      <c r="YM86" s="272"/>
      <c r="YN86" s="272"/>
      <c r="YO86" s="272"/>
      <c r="YP86" s="272"/>
      <c r="YQ86" s="272"/>
      <c r="YR86" s="272"/>
      <c r="YS86" s="272"/>
      <c r="YT86" s="272"/>
      <c r="YU86" s="272"/>
      <c r="YV86" s="272"/>
      <c r="YW86" s="272"/>
      <c r="YX86" s="272"/>
      <c r="YY86" s="272"/>
      <c r="YZ86" s="272"/>
      <c r="ZA86" s="272"/>
      <c r="ZB86" s="272"/>
      <c r="ZC86" s="272"/>
      <c r="ZD86" s="272"/>
      <c r="ZE86" s="272"/>
      <c r="ZF86" s="272"/>
      <c r="ZG86" s="272"/>
      <c r="ZH86" s="272"/>
      <c r="ZI86" s="272"/>
      <c r="ZJ86" s="272"/>
      <c r="ZK86" s="272"/>
      <c r="ZL86" s="272"/>
      <c r="ZM86" s="272"/>
      <c r="ZN86" s="272"/>
      <c r="ZO86" s="272"/>
      <c r="ZP86" s="272"/>
      <c r="ZQ86" s="272"/>
      <c r="ZR86" s="272"/>
      <c r="ZS86" s="272"/>
      <c r="ZT86" s="272"/>
      <c r="ZU86" s="272"/>
      <c r="ZV86" s="272"/>
      <c r="ZW86" s="272"/>
      <c r="ZX86" s="272"/>
      <c r="ZY86" s="272"/>
      <c r="ZZ86" s="272"/>
      <c r="AAA86" s="272"/>
      <c r="AAB86" s="272"/>
      <c r="AAC86" s="272"/>
      <c r="AAD86" s="272"/>
      <c r="AAE86" s="272"/>
      <c r="AAF86" s="272"/>
      <c r="AAG86" s="272"/>
      <c r="AAH86" s="272"/>
      <c r="AAI86" s="272"/>
      <c r="AAJ86" s="272"/>
      <c r="AAK86" s="272"/>
      <c r="AAL86" s="272"/>
      <c r="AAM86" s="272"/>
      <c r="AAN86" s="272"/>
      <c r="AAO86" s="272"/>
      <c r="AAP86" s="272"/>
      <c r="AAQ86" s="272"/>
      <c r="AAR86" s="272"/>
      <c r="AAS86" s="272"/>
      <c r="AAT86" s="272"/>
      <c r="AAU86" s="272"/>
      <c r="AAV86" s="272"/>
      <c r="AAW86" s="272"/>
      <c r="AAX86" s="272"/>
      <c r="AAY86" s="272"/>
      <c r="AAZ86" s="272"/>
      <c r="ABA86" s="272"/>
      <c r="ABB86" s="272"/>
      <c r="ABC86" s="272"/>
      <c r="ABD86" s="272"/>
      <c r="ABE86" s="272"/>
      <c r="ABF86" s="272"/>
      <c r="ABG86" s="272"/>
    </row>
    <row r="87" spans="1:735" s="19" customFormat="1" ht="27" customHeight="1">
      <c r="A87" s="39"/>
      <c r="B87" s="40"/>
      <c r="C87" s="55" t="s">
        <v>53</v>
      </c>
      <c r="D87" s="55"/>
      <c r="E87" s="64"/>
      <c r="F87" s="263"/>
      <c r="G87" s="388"/>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2"/>
      <c r="CC87" s="272"/>
      <c r="CD87" s="272"/>
      <c r="CE87" s="272"/>
      <c r="CF87" s="272"/>
      <c r="CG87" s="272"/>
      <c r="CH87" s="272"/>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2"/>
      <c r="DF87" s="272"/>
      <c r="DG87" s="272"/>
      <c r="DH87" s="272"/>
      <c r="DI87" s="272"/>
      <c r="DJ87" s="272"/>
      <c r="DK87" s="272"/>
      <c r="DL87" s="272"/>
      <c r="DM87" s="272"/>
      <c r="DN87" s="272"/>
      <c r="DO87" s="272"/>
      <c r="DP87" s="272"/>
      <c r="DQ87" s="272"/>
      <c r="DR87" s="272"/>
      <c r="DS87" s="272"/>
      <c r="DT87" s="272"/>
      <c r="DU87" s="272"/>
      <c r="DV87" s="272"/>
      <c r="DW87" s="272"/>
      <c r="DX87" s="272"/>
      <c r="DY87" s="272"/>
      <c r="DZ87" s="272"/>
      <c r="EA87" s="272"/>
      <c r="EB87" s="272"/>
      <c r="EC87" s="272"/>
      <c r="ED87" s="272"/>
      <c r="EE87" s="272"/>
      <c r="EF87" s="272"/>
      <c r="EG87" s="272"/>
      <c r="EH87" s="272"/>
      <c r="EI87" s="272"/>
      <c r="EJ87" s="272"/>
      <c r="EK87" s="272"/>
      <c r="EL87" s="272"/>
      <c r="EM87" s="272"/>
      <c r="EN87" s="272"/>
      <c r="EO87" s="272"/>
      <c r="EP87" s="272"/>
      <c r="EQ87" s="272"/>
      <c r="ER87" s="272"/>
      <c r="ES87" s="272"/>
      <c r="ET87" s="272"/>
      <c r="EU87" s="272"/>
      <c r="EV87" s="272"/>
      <c r="EW87" s="272"/>
      <c r="EX87" s="272"/>
      <c r="EY87" s="272"/>
      <c r="EZ87" s="272"/>
      <c r="FA87" s="272"/>
      <c r="FB87" s="272"/>
      <c r="FC87" s="272"/>
      <c r="FD87" s="272"/>
      <c r="FE87" s="272"/>
      <c r="FF87" s="272"/>
      <c r="FG87" s="272"/>
      <c r="FH87" s="272"/>
      <c r="FI87" s="272"/>
      <c r="FJ87" s="272"/>
      <c r="FK87" s="272"/>
      <c r="FL87" s="272"/>
      <c r="FM87" s="272"/>
      <c r="FN87" s="272"/>
      <c r="FO87" s="272"/>
      <c r="FP87" s="272"/>
      <c r="FQ87" s="272"/>
      <c r="FR87" s="272"/>
      <c r="FS87" s="272"/>
      <c r="FT87" s="272"/>
      <c r="FU87" s="272"/>
      <c r="FV87" s="272"/>
      <c r="FW87" s="272"/>
      <c r="FX87" s="272"/>
      <c r="FY87" s="272"/>
      <c r="FZ87" s="272"/>
      <c r="GA87" s="272"/>
      <c r="GB87" s="272"/>
      <c r="GC87" s="272"/>
      <c r="GD87" s="272"/>
      <c r="GE87" s="272"/>
      <c r="GF87" s="272"/>
      <c r="GG87" s="272"/>
      <c r="GH87" s="272"/>
      <c r="GI87" s="272"/>
      <c r="GJ87" s="272"/>
      <c r="GK87" s="272"/>
      <c r="GL87" s="272"/>
      <c r="GM87" s="272"/>
      <c r="GN87" s="272"/>
      <c r="GO87" s="272"/>
      <c r="GP87" s="272"/>
      <c r="GQ87" s="272"/>
      <c r="GR87" s="272"/>
      <c r="GS87" s="272"/>
      <c r="GT87" s="272"/>
      <c r="GU87" s="272"/>
      <c r="GV87" s="272"/>
      <c r="GW87" s="272"/>
      <c r="GX87" s="272"/>
      <c r="GY87" s="272"/>
      <c r="GZ87" s="272"/>
      <c r="HA87" s="272"/>
      <c r="HB87" s="272"/>
      <c r="HC87" s="272"/>
      <c r="HD87" s="272"/>
      <c r="HE87" s="272"/>
      <c r="HF87" s="272"/>
      <c r="HG87" s="272"/>
      <c r="HH87" s="272"/>
      <c r="HI87" s="272"/>
      <c r="HJ87" s="272"/>
      <c r="HK87" s="272"/>
      <c r="HL87" s="272"/>
      <c r="HM87" s="272"/>
      <c r="HN87" s="272"/>
      <c r="HO87" s="272"/>
      <c r="HP87" s="272"/>
      <c r="HQ87" s="272"/>
      <c r="HR87" s="272"/>
      <c r="HS87" s="272"/>
      <c r="HT87" s="272"/>
      <c r="HU87" s="272"/>
      <c r="HV87" s="272"/>
      <c r="HW87" s="272"/>
      <c r="HX87" s="272"/>
      <c r="HY87" s="272"/>
      <c r="HZ87" s="272"/>
      <c r="IA87" s="272"/>
      <c r="IB87" s="272"/>
      <c r="IC87" s="272"/>
      <c r="ID87" s="272"/>
      <c r="IE87" s="272"/>
      <c r="IF87" s="272"/>
      <c r="IG87" s="272"/>
      <c r="IH87" s="272"/>
      <c r="II87" s="272"/>
      <c r="IJ87" s="272"/>
      <c r="IK87" s="272"/>
      <c r="IL87" s="272"/>
      <c r="IM87" s="272"/>
      <c r="IN87" s="272"/>
      <c r="IO87" s="272"/>
      <c r="IP87" s="272"/>
      <c r="IQ87" s="272"/>
      <c r="IR87" s="272"/>
      <c r="IS87" s="272"/>
      <c r="IT87" s="272"/>
      <c r="IU87" s="272"/>
      <c r="IV87" s="272"/>
      <c r="IW87" s="272"/>
      <c r="IX87" s="272"/>
      <c r="IY87" s="272"/>
      <c r="IZ87" s="272"/>
      <c r="JA87" s="272"/>
      <c r="JB87" s="272"/>
      <c r="JC87" s="272"/>
      <c r="JD87" s="272"/>
      <c r="JE87" s="272"/>
      <c r="JF87" s="272"/>
      <c r="JG87" s="272"/>
      <c r="JH87" s="272"/>
      <c r="JI87" s="272"/>
      <c r="JJ87" s="272"/>
      <c r="JK87" s="272"/>
      <c r="JL87" s="272"/>
      <c r="JM87" s="272"/>
      <c r="JN87" s="272"/>
      <c r="JO87" s="272"/>
      <c r="JP87" s="272"/>
      <c r="JQ87" s="272"/>
      <c r="JR87" s="272"/>
      <c r="JS87" s="272"/>
      <c r="JT87" s="272"/>
      <c r="JU87" s="272"/>
      <c r="JV87" s="272"/>
      <c r="JW87" s="272"/>
      <c r="JX87" s="272"/>
      <c r="JY87" s="272"/>
      <c r="JZ87" s="272"/>
      <c r="KA87" s="272"/>
      <c r="KB87" s="272"/>
      <c r="KC87" s="272"/>
      <c r="KD87" s="272"/>
      <c r="KE87" s="272"/>
      <c r="KF87" s="272"/>
      <c r="KG87" s="272"/>
      <c r="KH87" s="272"/>
      <c r="KI87" s="272"/>
      <c r="KJ87" s="272"/>
      <c r="KK87" s="272"/>
      <c r="KL87" s="272"/>
      <c r="KM87" s="272"/>
      <c r="KN87" s="272"/>
      <c r="KO87" s="272"/>
      <c r="KP87" s="272"/>
      <c r="KQ87" s="272"/>
      <c r="KR87" s="272"/>
      <c r="KS87" s="272"/>
      <c r="KT87" s="272"/>
      <c r="KU87" s="272"/>
      <c r="KV87" s="272"/>
      <c r="KW87" s="272"/>
      <c r="KX87" s="272"/>
      <c r="KY87" s="272"/>
      <c r="KZ87" s="272"/>
      <c r="LA87" s="272"/>
      <c r="LB87" s="272"/>
      <c r="LC87" s="272"/>
      <c r="LD87" s="272"/>
      <c r="LE87" s="272"/>
      <c r="LF87" s="272"/>
      <c r="LG87" s="272"/>
      <c r="LH87" s="272"/>
      <c r="LI87" s="272"/>
      <c r="LJ87" s="272"/>
      <c r="LK87" s="272"/>
      <c r="LL87" s="272"/>
      <c r="LM87" s="272"/>
      <c r="LN87" s="272"/>
      <c r="LO87" s="272"/>
      <c r="LP87" s="272"/>
      <c r="LQ87" s="272"/>
      <c r="LR87" s="272"/>
      <c r="LS87" s="272"/>
      <c r="LT87" s="272"/>
      <c r="LU87" s="272"/>
      <c r="LV87" s="272"/>
      <c r="LW87" s="272"/>
      <c r="LX87" s="272"/>
      <c r="LY87" s="272"/>
      <c r="LZ87" s="272"/>
      <c r="MA87" s="272"/>
      <c r="MB87" s="272"/>
      <c r="MC87" s="272"/>
      <c r="MD87" s="272"/>
      <c r="ME87" s="272"/>
      <c r="MF87" s="272"/>
      <c r="MG87" s="272"/>
      <c r="MH87" s="272"/>
      <c r="MI87" s="272"/>
      <c r="MJ87" s="272"/>
      <c r="MK87" s="272"/>
      <c r="ML87" s="272"/>
      <c r="MM87" s="272"/>
      <c r="MN87" s="272"/>
      <c r="MO87" s="272"/>
      <c r="MP87" s="272"/>
      <c r="MQ87" s="272"/>
      <c r="MR87" s="272"/>
      <c r="MS87" s="272"/>
      <c r="MT87" s="272"/>
      <c r="MU87" s="272"/>
      <c r="MV87" s="272"/>
      <c r="MW87" s="272"/>
      <c r="MX87" s="272"/>
      <c r="MY87" s="272"/>
      <c r="MZ87" s="272"/>
      <c r="NA87" s="272"/>
      <c r="NB87" s="272"/>
      <c r="NC87" s="272"/>
      <c r="ND87" s="272"/>
      <c r="NE87" s="272"/>
      <c r="NF87" s="272"/>
      <c r="NG87" s="272"/>
      <c r="NH87" s="272"/>
      <c r="NI87" s="272"/>
      <c r="NJ87" s="272"/>
      <c r="NK87" s="272"/>
      <c r="NL87" s="272"/>
      <c r="NM87" s="272"/>
      <c r="NN87" s="272"/>
      <c r="NO87" s="272"/>
      <c r="NP87" s="272"/>
      <c r="NQ87" s="272"/>
      <c r="NR87" s="272"/>
      <c r="NS87" s="272"/>
      <c r="NT87" s="272"/>
      <c r="NU87" s="272"/>
      <c r="NV87" s="272"/>
      <c r="NW87" s="272"/>
      <c r="NX87" s="272"/>
      <c r="NY87" s="272"/>
      <c r="NZ87" s="272"/>
      <c r="OA87" s="272"/>
      <c r="OB87" s="272"/>
      <c r="OC87" s="272"/>
      <c r="OD87" s="272"/>
      <c r="OE87" s="272"/>
      <c r="OF87" s="272"/>
      <c r="OG87" s="272"/>
      <c r="OH87" s="272"/>
      <c r="OI87" s="272"/>
      <c r="OJ87" s="272"/>
      <c r="OK87" s="272"/>
      <c r="OL87" s="272"/>
      <c r="OM87" s="272"/>
      <c r="ON87" s="272"/>
      <c r="OO87" s="272"/>
      <c r="OP87" s="272"/>
      <c r="OQ87" s="272"/>
      <c r="OR87" s="272"/>
      <c r="OS87" s="272"/>
      <c r="OT87" s="272"/>
      <c r="OU87" s="272"/>
      <c r="OV87" s="272"/>
      <c r="OW87" s="272"/>
      <c r="OX87" s="272"/>
      <c r="OY87" s="272"/>
      <c r="OZ87" s="272"/>
      <c r="PA87" s="272"/>
      <c r="PB87" s="272"/>
      <c r="PC87" s="272"/>
      <c r="PD87" s="272"/>
      <c r="PE87" s="272"/>
      <c r="PF87" s="272"/>
      <c r="PG87" s="272"/>
      <c r="PH87" s="272"/>
      <c r="PI87" s="272"/>
      <c r="PJ87" s="272"/>
      <c r="PK87" s="272"/>
      <c r="PL87" s="272"/>
      <c r="PM87" s="272"/>
      <c r="PN87" s="272"/>
      <c r="PO87" s="272"/>
      <c r="PP87" s="272"/>
      <c r="PQ87" s="272"/>
      <c r="PR87" s="272"/>
      <c r="PS87" s="272"/>
      <c r="PT87" s="272"/>
      <c r="PU87" s="272"/>
      <c r="PV87" s="272"/>
      <c r="PW87" s="272"/>
      <c r="PX87" s="272"/>
      <c r="PY87" s="272"/>
      <c r="PZ87" s="272"/>
      <c r="QA87" s="272"/>
      <c r="QB87" s="272"/>
      <c r="QC87" s="272"/>
      <c r="QD87" s="272"/>
      <c r="QE87" s="272"/>
      <c r="QF87" s="272"/>
      <c r="QG87" s="272"/>
      <c r="QH87" s="272"/>
      <c r="QI87" s="272"/>
      <c r="QJ87" s="272"/>
      <c r="QK87" s="272"/>
      <c r="QL87" s="272"/>
      <c r="QM87" s="272"/>
      <c r="QN87" s="272"/>
      <c r="QO87" s="272"/>
      <c r="QP87" s="272"/>
      <c r="QQ87" s="272"/>
      <c r="QR87" s="272"/>
      <c r="QS87" s="272"/>
      <c r="QT87" s="272"/>
      <c r="QU87" s="272"/>
      <c r="QV87" s="272"/>
      <c r="QW87" s="272"/>
      <c r="QX87" s="272"/>
      <c r="QY87" s="272"/>
      <c r="QZ87" s="272"/>
      <c r="RA87" s="272"/>
      <c r="RB87" s="272"/>
      <c r="RC87" s="272"/>
      <c r="RD87" s="272"/>
      <c r="RE87" s="272"/>
      <c r="RF87" s="272"/>
      <c r="RG87" s="272"/>
      <c r="RH87" s="272"/>
      <c r="RI87" s="272"/>
      <c r="RJ87" s="272"/>
      <c r="RK87" s="272"/>
      <c r="RL87" s="272"/>
      <c r="RM87" s="272"/>
      <c r="RN87" s="272"/>
      <c r="RO87" s="272"/>
      <c r="RP87" s="272"/>
      <c r="RQ87" s="272"/>
      <c r="RR87" s="272"/>
      <c r="RS87" s="272"/>
      <c r="RT87" s="272"/>
      <c r="RU87" s="272"/>
      <c r="RV87" s="272"/>
      <c r="RW87" s="272"/>
      <c r="RX87" s="272"/>
      <c r="RY87" s="272"/>
      <c r="RZ87" s="272"/>
      <c r="SA87" s="272"/>
      <c r="SB87" s="272"/>
      <c r="SC87" s="272"/>
      <c r="SD87" s="272"/>
      <c r="SE87" s="272"/>
      <c r="SF87" s="272"/>
      <c r="SG87" s="272"/>
      <c r="SH87" s="272"/>
      <c r="SI87" s="272"/>
      <c r="SJ87" s="272"/>
      <c r="SK87" s="272"/>
      <c r="SL87" s="272"/>
      <c r="SM87" s="272"/>
      <c r="SN87" s="272"/>
      <c r="SO87" s="272"/>
      <c r="SP87" s="272"/>
      <c r="SQ87" s="272"/>
      <c r="SR87" s="272"/>
      <c r="SS87" s="272"/>
      <c r="ST87" s="272"/>
      <c r="SU87" s="272"/>
      <c r="SV87" s="272"/>
      <c r="SW87" s="272"/>
      <c r="SX87" s="272"/>
      <c r="SY87" s="272"/>
      <c r="SZ87" s="272"/>
      <c r="TA87" s="272"/>
      <c r="TB87" s="272"/>
      <c r="TC87" s="272"/>
      <c r="TD87" s="272"/>
      <c r="TE87" s="272"/>
      <c r="TF87" s="272"/>
      <c r="TG87" s="272"/>
      <c r="TH87" s="272"/>
      <c r="TI87" s="272"/>
      <c r="TJ87" s="272"/>
      <c r="TK87" s="272"/>
      <c r="TL87" s="272"/>
      <c r="TM87" s="272"/>
      <c r="TN87" s="272"/>
      <c r="TO87" s="272"/>
      <c r="TP87" s="272"/>
      <c r="TQ87" s="272"/>
      <c r="TR87" s="272"/>
      <c r="TS87" s="272"/>
      <c r="TT87" s="272"/>
      <c r="TU87" s="272"/>
      <c r="TV87" s="272"/>
      <c r="TW87" s="272"/>
      <c r="TX87" s="272"/>
      <c r="TY87" s="272"/>
      <c r="TZ87" s="272"/>
      <c r="UA87" s="272"/>
      <c r="UB87" s="272"/>
      <c r="UC87" s="272"/>
      <c r="UD87" s="272"/>
      <c r="UE87" s="272"/>
      <c r="UF87" s="272"/>
      <c r="UG87" s="272"/>
      <c r="UH87" s="272"/>
      <c r="UI87" s="272"/>
      <c r="UJ87" s="272"/>
      <c r="UK87" s="272"/>
      <c r="UL87" s="272"/>
      <c r="UM87" s="272"/>
      <c r="UN87" s="272"/>
      <c r="UO87" s="272"/>
      <c r="UP87" s="272"/>
      <c r="UQ87" s="272"/>
      <c r="UR87" s="272"/>
      <c r="US87" s="272"/>
      <c r="UT87" s="272"/>
      <c r="UU87" s="272"/>
      <c r="UV87" s="272"/>
      <c r="UW87" s="272"/>
      <c r="UX87" s="272"/>
      <c r="UY87" s="272"/>
      <c r="UZ87" s="272"/>
      <c r="VA87" s="272"/>
      <c r="VB87" s="272"/>
      <c r="VC87" s="272"/>
      <c r="VD87" s="272"/>
      <c r="VE87" s="272"/>
      <c r="VF87" s="272"/>
      <c r="VG87" s="272"/>
      <c r="VH87" s="272"/>
      <c r="VI87" s="272"/>
      <c r="VJ87" s="272"/>
      <c r="VK87" s="272"/>
      <c r="VL87" s="272"/>
      <c r="VM87" s="272"/>
      <c r="VN87" s="272"/>
      <c r="VO87" s="272"/>
      <c r="VP87" s="272"/>
      <c r="VQ87" s="272"/>
      <c r="VR87" s="272"/>
      <c r="VS87" s="272"/>
      <c r="VT87" s="272"/>
      <c r="VU87" s="272"/>
      <c r="VV87" s="272"/>
      <c r="VW87" s="272"/>
      <c r="VX87" s="272"/>
      <c r="VY87" s="272"/>
      <c r="VZ87" s="272"/>
      <c r="WA87" s="272"/>
      <c r="WB87" s="272"/>
      <c r="WC87" s="272"/>
      <c r="WD87" s="272"/>
      <c r="WE87" s="272"/>
      <c r="WF87" s="272"/>
      <c r="WG87" s="272"/>
      <c r="WH87" s="272"/>
      <c r="WI87" s="272"/>
      <c r="WJ87" s="272"/>
      <c r="WK87" s="272"/>
      <c r="WL87" s="272"/>
      <c r="WM87" s="272"/>
      <c r="WN87" s="272"/>
      <c r="WO87" s="272"/>
      <c r="WP87" s="272"/>
      <c r="WQ87" s="272"/>
      <c r="WR87" s="272"/>
      <c r="WS87" s="272"/>
      <c r="WT87" s="272"/>
      <c r="WU87" s="272"/>
      <c r="WV87" s="272"/>
      <c r="WW87" s="272"/>
      <c r="WX87" s="272"/>
      <c r="WY87" s="272"/>
      <c r="WZ87" s="272"/>
      <c r="XA87" s="272"/>
      <c r="XB87" s="272"/>
      <c r="XC87" s="272"/>
      <c r="XD87" s="272"/>
      <c r="XE87" s="272"/>
      <c r="XF87" s="272"/>
      <c r="XG87" s="272"/>
      <c r="XH87" s="272"/>
      <c r="XI87" s="272"/>
      <c r="XJ87" s="272"/>
      <c r="XK87" s="272"/>
      <c r="XL87" s="272"/>
      <c r="XM87" s="272"/>
      <c r="XN87" s="272"/>
      <c r="XO87" s="272"/>
      <c r="XP87" s="272"/>
      <c r="XQ87" s="272"/>
      <c r="XR87" s="272"/>
      <c r="XS87" s="272"/>
      <c r="XT87" s="272"/>
      <c r="XU87" s="272"/>
      <c r="XV87" s="272"/>
      <c r="XW87" s="272"/>
      <c r="XX87" s="272"/>
      <c r="XY87" s="272"/>
      <c r="XZ87" s="272"/>
      <c r="YA87" s="272"/>
      <c r="YB87" s="272"/>
      <c r="YC87" s="272"/>
      <c r="YD87" s="272"/>
      <c r="YE87" s="272"/>
      <c r="YF87" s="272"/>
      <c r="YG87" s="272"/>
      <c r="YH87" s="272"/>
      <c r="YI87" s="272"/>
      <c r="YJ87" s="272"/>
      <c r="YK87" s="272"/>
      <c r="YL87" s="272"/>
      <c r="YM87" s="272"/>
      <c r="YN87" s="272"/>
      <c r="YO87" s="272"/>
      <c r="YP87" s="272"/>
      <c r="YQ87" s="272"/>
      <c r="YR87" s="272"/>
      <c r="YS87" s="272"/>
      <c r="YT87" s="272"/>
      <c r="YU87" s="272"/>
      <c r="YV87" s="272"/>
      <c r="YW87" s="272"/>
      <c r="YX87" s="272"/>
      <c r="YY87" s="272"/>
      <c r="YZ87" s="272"/>
      <c r="ZA87" s="272"/>
      <c r="ZB87" s="272"/>
      <c r="ZC87" s="272"/>
      <c r="ZD87" s="272"/>
      <c r="ZE87" s="272"/>
      <c r="ZF87" s="272"/>
      <c r="ZG87" s="272"/>
      <c r="ZH87" s="272"/>
      <c r="ZI87" s="272"/>
      <c r="ZJ87" s="272"/>
      <c r="ZK87" s="272"/>
      <c r="ZL87" s="272"/>
      <c r="ZM87" s="272"/>
      <c r="ZN87" s="272"/>
      <c r="ZO87" s="272"/>
      <c r="ZP87" s="272"/>
      <c r="ZQ87" s="272"/>
      <c r="ZR87" s="272"/>
      <c r="ZS87" s="272"/>
      <c r="ZT87" s="272"/>
      <c r="ZU87" s="272"/>
      <c r="ZV87" s="272"/>
      <c r="ZW87" s="272"/>
      <c r="ZX87" s="272"/>
      <c r="ZY87" s="272"/>
      <c r="ZZ87" s="272"/>
      <c r="AAA87" s="272"/>
      <c r="AAB87" s="272"/>
      <c r="AAC87" s="272"/>
      <c r="AAD87" s="272"/>
      <c r="AAE87" s="272"/>
      <c r="AAF87" s="272"/>
      <c r="AAG87" s="272"/>
      <c r="AAH87" s="272"/>
      <c r="AAI87" s="272"/>
      <c r="AAJ87" s="272"/>
      <c r="AAK87" s="272"/>
      <c r="AAL87" s="272"/>
      <c r="AAM87" s="272"/>
      <c r="AAN87" s="272"/>
      <c r="AAO87" s="272"/>
      <c r="AAP87" s="272"/>
      <c r="AAQ87" s="272"/>
      <c r="AAR87" s="272"/>
      <c r="AAS87" s="272"/>
      <c r="AAT87" s="272"/>
      <c r="AAU87" s="272"/>
      <c r="AAV87" s="272"/>
      <c r="AAW87" s="272"/>
      <c r="AAX87" s="272"/>
      <c r="AAY87" s="272"/>
      <c r="AAZ87" s="272"/>
      <c r="ABA87" s="272"/>
      <c r="ABB87" s="272"/>
      <c r="ABC87" s="272"/>
      <c r="ABD87" s="272"/>
      <c r="ABE87" s="272"/>
      <c r="ABF87" s="272"/>
      <c r="ABG87" s="272"/>
    </row>
    <row r="88" spans="1:735" s="62" customFormat="1" ht="13.5" thickBot="1">
      <c r="A88" s="48"/>
      <c r="B88" s="75"/>
      <c r="C88" s="32" t="s">
        <v>54</v>
      </c>
      <c r="D88" s="513"/>
      <c r="E88" s="514"/>
      <c r="F88" s="515"/>
      <c r="G88" s="516"/>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2"/>
      <c r="ED88" s="272"/>
      <c r="EE88" s="272"/>
      <c r="EF88" s="272"/>
      <c r="EG88" s="272"/>
      <c r="EH88" s="272"/>
      <c r="EI88" s="272"/>
      <c r="EJ88" s="272"/>
      <c r="EK88" s="272"/>
      <c r="EL88" s="272"/>
      <c r="EM88" s="272"/>
      <c r="EN88" s="272"/>
      <c r="EO88" s="272"/>
      <c r="EP88" s="272"/>
      <c r="EQ88" s="272"/>
      <c r="ER88" s="272"/>
      <c r="ES88" s="272"/>
      <c r="ET88" s="272"/>
      <c r="EU88" s="272"/>
      <c r="EV88" s="272"/>
      <c r="EW88" s="272"/>
      <c r="EX88" s="272"/>
      <c r="EY88" s="272"/>
      <c r="EZ88" s="272"/>
      <c r="FA88" s="272"/>
      <c r="FB88" s="272"/>
      <c r="FC88" s="272"/>
      <c r="FD88" s="272"/>
      <c r="FE88" s="272"/>
      <c r="FF88" s="272"/>
      <c r="FG88" s="272"/>
      <c r="FH88" s="272"/>
      <c r="FI88" s="272"/>
      <c r="FJ88" s="272"/>
      <c r="FK88" s="272"/>
      <c r="FL88" s="272"/>
      <c r="FM88" s="272"/>
      <c r="FN88" s="272"/>
      <c r="FO88" s="272"/>
      <c r="FP88" s="272"/>
      <c r="FQ88" s="272"/>
      <c r="FR88" s="272"/>
      <c r="FS88" s="272"/>
      <c r="FT88" s="272"/>
      <c r="FU88" s="272"/>
      <c r="FV88" s="272"/>
      <c r="FW88" s="272"/>
      <c r="FX88" s="272"/>
      <c r="FY88" s="272"/>
      <c r="FZ88" s="272"/>
      <c r="GA88" s="272"/>
      <c r="GB88" s="272"/>
      <c r="GC88" s="272"/>
      <c r="GD88" s="272"/>
      <c r="GE88" s="272"/>
      <c r="GF88" s="272"/>
      <c r="GG88" s="272"/>
      <c r="GH88" s="272"/>
      <c r="GI88" s="272"/>
      <c r="GJ88" s="272"/>
      <c r="GK88" s="272"/>
      <c r="GL88" s="272"/>
      <c r="GM88" s="272"/>
      <c r="GN88" s="272"/>
      <c r="GO88" s="272"/>
      <c r="GP88" s="272"/>
      <c r="GQ88" s="272"/>
      <c r="GR88" s="272"/>
      <c r="GS88" s="272"/>
      <c r="GT88" s="272"/>
      <c r="GU88" s="272"/>
      <c r="GV88" s="272"/>
      <c r="GW88" s="272"/>
      <c r="GX88" s="272"/>
      <c r="GY88" s="272"/>
      <c r="GZ88" s="272"/>
      <c r="HA88" s="272"/>
      <c r="HB88" s="272"/>
      <c r="HC88" s="272"/>
      <c r="HD88" s="272"/>
      <c r="HE88" s="272"/>
      <c r="HF88" s="272"/>
      <c r="HG88" s="272"/>
      <c r="HH88" s="272"/>
      <c r="HI88" s="272"/>
      <c r="HJ88" s="272"/>
      <c r="HK88" s="272"/>
      <c r="HL88" s="272"/>
      <c r="HM88" s="272"/>
      <c r="HN88" s="272"/>
      <c r="HO88" s="272"/>
      <c r="HP88" s="272"/>
      <c r="HQ88" s="272"/>
      <c r="HR88" s="272"/>
      <c r="HS88" s="272"/>
      <c r="HT88" s="272"/>
      <c r="HU88" s="272"/>
      <c r="HV88" s="272"/>
      <c r="HW88" s="272"/>
      <c r="HX88" s="272"/>
      <c r="HY88" s="272"/>
      <c r="HZ88" s="272"/>
      <c r="IA88" s="272"/>
      <c r="IB88" s="272"/>
      <c r="IC88" s="272"/>
      <c r="ID88" s="272"/>
      <c r="IE88" s="272"/>
      <c r="IF88" s="272"/>
      <c r="IG88" s="272"/>
      <c r="IH88" s="272"/>
      <c r="II88" s="272"/>
      <c r="IJ88" s="272"/>
      <c r="IK88" s="272"/>
      <c r="IL88" s="272"/>
      <c r="IM88" s="272"/>
      <c r="IN88" s="272"/>
      <c r="IO88" s="272"/>
      <c r="IP88" s="272"/>
      <c r="IQ88" s="272"/>
      <c r="IR88" s="272"/>
      <c r="IS88" s="272"/>
      <c r="IT88" s="272"/>
      <c r="IU88" s="272"/>
      <c r="IV88" s="272"/>
      <c r="IW88" s="272"/>
      <c r="IX88" s="272"/>
      <c r="IY88" s="272"/>
      <c r="IZ88" s="272"/>
      <c r="JA88" s="272"/>
      <c r="JB88" s="272"/>
      <c r="JC88" s="272"/>
      <c r="JD88" s="272"/>
      <c r="JE88" s="272"/>
      <c r="JF88" s="272"/>
      <c r="JG88" s="272"/>
      <c r="JH88" s="272"/>
      <c r="JI88" s="272"/>
      <c r="JJ88" s="272"/>
      <c r="JK88" s="272"/>
      <c r="JL88" s="272"/>
      <c r="JM88" s="272"/>
      <c r="JN88" s="272"/>
      <c r="JO88" s="272"/>
      <c r="JP88" s="272"/>
      <c r="JQ88" s="272"/>
      <c r="JR88" s="272"/>
      <c r="JS88" s="272"/>
      <c r="JT88" s="272"/>
      <c r="JU88" s="272"/>
      <c r="JV88" s="272"/>
      <c r="JW88" s="272"/>
      <c r="JX88" s="272"/>
      <c r="JY88" s="272"/>
      <c r="JZ88" s="272"/>
      <c r="KA88" s="272"/>
      <c r="KB88" s="272"/>
      <c r="KC88" s="272"/>
      <c r="KD88" s="272"/>
      <c r="KE88" s="272"/>
      <c r="KF88" s="272"/>
      <c r="KG88" s="272"/>
      <c r="KH88" s="272"/>
      <c r="KI88" s="272"/>
      <c r="KJ88" s="272"/>
      <c r="KK88" s="272"/>
      <c r="KL88" s="272"/>
      <c r="KM88" s="272"/>
      <c r="KN88" s="272"/>
      <c r="KO88" s="272"/>
      <c r="KP88" s="272"/>
      <c r="KQ88" s="272"/>
      <c r="KR88" s="272"/>
      <c r="KS88" s="272"/>
      <c r="KT88" s="272"/>
      <c r="KU88" s="272"/>
      <c r="KV88" s="272"/>
      <c r="KW88" s="272"/>
      <c r="KX88" s="272"/>
      <c r="KY88" s="272"/>
      <c r="KZ88" s="272"/>
      <c r="LA88" s="272"/>
      <c r="LB88" s="272"/>
      <c r="LC88" s="272"/>
      <c r="LD88" s="272"/>
      <c r="LE88" s="272"/>
      <c r="LF88" s="272"/>
      <c r="LG88" s="272"/>
      <c r="LH88" s="272"/>
      <c r="LI88" s="272"/>
      <c r="LJ88" s="272"/>
      <c r="LK88" s="272"/>
      <c r="LL88" s="272"/>
      <c r="LM88" s="272"/>
      <c r="LN88" s="272"/>
      <c r="LO88" s="272"/>
      <c r="LP88" s="272"/>
      <c r="LQ88" s="272"/>
      <c r="LR88" s="272"/>
      <c r="LS88" s="272"/>
      <c r="LT88" s="272"/>
      <c r="LU88" s="272"/>
      <c r="LV88" s="272"/>
      <c r="LW88" s="272"/>
      <c r="LX88" s="272"/>
      <c r="LY88" s="272"/>
      <c r="LZ88" s="272"/>
      <c r="MA88" s="272"/>
      <c r="MB88" s="272"/>
      <c r="MC88" s="272"/>
      <c r="MD88" s="272"/>
      <c r="ME88" s="272"/>
      <c r="MF88" s="272"/>
      <c r="MG88" s="272"/>
      <c r="MH88" s="272"/>
      <c r="MI88" s="272"/>
      <c r="MJ88" s="272"/>
      <c r="MK88" s="272"/>
      <c r="ML88" s="272"/>
      <c r="MM88" s="272"/>
      <c r="MN88" s="272"/>
      <c r="MO88" s="272"/>
      <c r="MP88" s="272"/>
      <c r="MQ88" s="272"/>
      <c r="MR88" s="272"/>
      <c r="MS88" s="272"/>
      <c r="MT88" s="272"/>
      <c r="MU88" s="272"/>
      <c r="MV88" s="272"/>
      <c r="MW88" s="272"/>
      <c r="MX88" s="272"/>
      <c r="MY88" s="272"/>
      <c r="MZ88" s="272"/>
      <c r="NA88" s="272"/>
      <c r="NB88" s="272"/>
      <c r="NC88" s="272"/>
      <c r="ND88" s="272"/>
      <c r="NE88" s="272"/>
      <c r="NF88" s="272"/>
      <c r="NG88" s="272"/>
      <c r="NH88" s="272"/>
      <c r="NI88" s="272"/>
      <c r="NJ88" s="272"/>
      <c r="NK88" s="272"/>
      <c r="NL88" s="272"/>
      <c r="NM88" s="272"/>
      <c r="NN88" s="272"/>
      <c r="NO88" s="272"/>
      <c r="NP88" s="272"/>
      <c r="NQ88" s="272"/>
      <c r="NR88" s="272"/>
      <c r="NS88" s="272"/>
      <c r="NT88" s="272"/>
      <c r="NU88" s="272"/>
      <c r="NV88" s="272"/>
      <c r="NW88" s="272"/>
      <c r="NX88" s="272"/>
      <c r="NY88" s="272"/>
      <c r="NZ88" s="272"/>
      <c r="OA88" s="272"/>
      <c r="OB88" s="272"/>
      <c r="OC88" s="272"/>
      <c r="OD88" s="272"/>
      <c r="OE88" s="272"/>
      <c r="OF88" s="272"/>
      <c r="OG88" s="272"/>
      <c r="OH88" s="272"/>
      <c r="OI88" s="272"/>
      <c r="OJ88" s="272"/>
      <c r="OK88" s="272"/>
      <c r="OL88" s="272"/>
      <c r="OM88" s="272"/>
      <c r="ON88" s="272"/>
      <c r="OO88" s="272"/>
      <c r="OP88" s="272"/>
      <c r="OQ88" s="272"/>
      <c r="OR88" s="272"/>
      <c r="OS88" s="272"/>
      <c r="OT88" s="272"/>
      <c r="OU88" s="272"/>
      <c r="OV88" s="272"/>
      <c r="OW88" s="272"/>
      <c r="OX88" s="272"/>
      <c r="OY88" s="272"/>
      <c r="OZ88" s="272"/>
      <c r="PA88" s="272"/>
      <c r="PB88" s="272"/>
      <c r="PC88" s="272"/>
      <c r="PD88" s="272"/>
      <c r="PE88" s="272"/>
      <c r="PF88" s="272"/>
      <c r="PG88" s="272"/>
      <c r="PH88" s="272"/>
      <c r="PI88" s="272"/>
      <c r="PJ88" s="272"/>
      <c r="PK88" s="272"/>
      <c r="PL88" s="272"/>
      <c r="PM88" s="272"/>
      <c r="PN88" s="272"/>
      <c r="PO88" s="272"/>
      <c r="PP88" s="272"/>
      <c r="PQ88" s="272"/>
      <c r="PR88" s="272"/>
      <c r="PS88" s="272"/>
      <c r="PT88" s="272"/>
      <c r="PU88" s="272"/>
      <c r="PV88" s="272"/>
      <c r="PW88" s="272"/>
      <c r="PX88" s="272"/>
      <c r="PY88" s="272"/>
      <c r="PZ88" s="272"/>
      <c r="QA88" s="272"/>
      <c r="QB88" s="272"/>
      <c r="QC88" s="272"/>
      <c r="QD88" s="272"/>
      <c r="QE88" s="272"/>
      <c r="QF88" s="272"/>
      <c r="QG88" s="272"/>
      <c r="QH88" s="272"/>
      <c r="QI88" s="272"/>
      <c r="QJ88" s="272"/>
      <c r="QK88" s="272"/>
      <c r="QL88" s="272"/>
      <c r="QM88" s="272"/>
      <c r="QN88" s="272"/>
      <c r="QO88" s="272"/>
      <c r="QP88" s="272"/>
      <c r="QQ88" s="272"/>
      <c r="QR88" s="272"/>
      <c r="QS88" s="272"/>
      <c r="QT88" s="272"/>
      <c r="QU88" s="272"/>
      <c r="QV88" s="272"/>
      <c r="QW88" s="272"/>
      <c r="QX88" s="272"/>
      <c r="QY88" s="272"/>
      <c r="QZ88" s="272"/>
      <c r="RA88" s="272"/>
      <c r="RB88" s="272"/>
      <c r="RC88" s="272"/>
      <c r="RD88" s="272"/>
      <c r="RE88" s="272"/>
      <c r="RF88" s="272"/>
      <c r="RG88" s="272"/>
      <c r="RH88" s="272"/>
      <c r="RI88" s="272"/>
      <c r="RJ88" s="272"/>
      <c r="RK88" s="272"/>
      <c r="RL88" s="272"/>
      <c r="RM88" s="272"/>
      <c r="RN88" s="272"/>
      <c r="RO88" s="272"/>
      <c r="RP88" s="272"/>
      <c r="RQ88" s="272"/>
      <c r="RR88" s="272"/>
      <c r="RS88" s="272"/>
      <c r="RT88" s="272"/>
      <c r="RU88" s="272"/>
      <c r="RV88" s="272"/>
      <c r="RW88" s="272"/>
      <c r="RX88" s="272"/>
      <c r="RY88" s="272"/>
      <c r="RZ88" s="272"/>
      <c r="SA88" s="272"/>
      <c r="SB88" s="272"/>
      <c r="SC88" s="272"/>
      <c r="SD88" s="272"/>
      <c r="SE88" s="272"/>
      <c r="SF88" s="272"/>
      <c r="SG88" s="272"/>
      <c r="SH88" s="272"/>
      <c r="SI88" s="272"/>
      <c r="SJ88" s="272"/>
      <c r="SK88" s="272"/>
      <c r="SL88" s="272"/>
      <c r="SM88" s="272"/>
      <c r="SN88" s="272"/>
      <c r="SO88" s="272"/>
      <c r="SP88" s="272"/>
      <c r="SQ88" s="272"/>
      <c r="SR88" s="272"/>
      <c r="SS88" s="272"/>
      <c r="ST88" s="272"/>
      <c r="SU88" s="272"/>
      <c r="SV88" s="272"/>
      <c r="SW88" s="272"/>
      <c r="SX88" s="272"/>
      <c r="SY88" s="272"/>
      <c r="SZ88" s="272"/>
      <c r="TA88" s="272"/>
      <c r="TB88" s="272"/>
      <c r="TC88" s="272"/>
      <c r="TD88" s="272"/>
      <c r="TE88" s="272"/>
      <c r="TF88" s="272"/>
      <c r="TG88" s="272"/>
      <c r="TH88" s="272"/>
      <c r="TI88" s="272"/>
      <c r="TJ88" s="272"/>
      <c r="TK88" s="272"/>
      <c r="TL88" s="272"/>
      <c r="TM88" s="272"/>
      <c r="TN88" s="272"/>
      <c r="TO88" s="272"/>
      <c r="TP88" s="272"/>
      <c r="TQ88" s="272"/>
      <c r="TR88" s="272"/>
      <c r="TS88" s="272"/>
      <c r="TT88" s="272"/>
      <c r="TU88" s="272"/>
      <c r="TV88" s="272"/>
      <c r="TW88" s="272"/>
      <c r="TX88" s="272"/>
      <c r="TY88" s="272"/>
      <c r="TZ88" s="272"/>
      <c r="UA88" s="272"/>
      <c r="UB88" s="272"/>
      <c r="UC88" s="272"/>
      <c r="UD88" s="272"/>
      <c r="UE88" s="272"/>
      <c r="UF88" s="272"/>
      <c r="UG88" s="272"/>
      <c r="UH88" s="272"/>
      <c r="UI88" s="272"/>
      <c r="UJ88" s="272"/>
      <c r="UK88" s="272"/>
      <c r="UL88" s="272"/>
      <c r="UM88" s="272"/>
      <c r="UN88" s="272"/>
      <c r="UO88" s="272"/>
      <c r="UP88" s="272"/>
      <c r="UQ88" s="272"/>
      <c r="UR88" s="272"/>
      <c r="US88" s="272"/>
      <c r="UT88" s="272"/>
      <c r="UU88" s="272"/>
      <c r="UV88" s="272"/>
      <c r="UW88" s="272"/>
      <c r="UX88" s="272"/>
      <c r="UY88" s="272"/>
      <c r="UZ88" s="272"/>
      <c r="VA88" s="272"/>
      <c r="VB88" s="272"/>
      <c r="VC88" s="272"/>
      <c r="VD88" s="272"/>
      <c r="VE88" s="272"/>
      <c r="VF88" s="272"/>
      <c r="VG88" s="272"/>
      <c r="VH88" s="272"/>
      <c r="VI88" s="272"/>
      <c r="VJ88" s="272"/>
      <c r="VK88" s="272"/>
      <c r="VL88" s="272"/>
      <c r="VM88" s="272"/>
      <c r="VN88" s="272"/>
      <c r="VO88" s="272"/>
      <c r="VP88" s="272"/>
      <c r="VQ88" s="272"/>
      <c r="VR88" s="272"/>
      <c r="VS88" s="272"/>
      <c r="VT88" s="272"/>
      <c r="VU88" s="272"/>
      <c r="VV88" s="272"/>
      <c r="VW88" s="272"/>
      <c r="VX88" s="272"/>
      <c r="VY88" s="272"/>
      <c r="VZ88" s="272"/>
      <c r="WA88" s="272"/>
      <c r="WB88" s="272"/>
      <c r="WC88" s="272"/>
      <c r="WD88" s="272"/>
      <c r="WE88" s="272"/>
      <c r="WF88" s="272"/>
      <c r="WG88" s="272"/>
      <c r="WH88" s="272"/>
      <c r="WI88" s="272"/>
      <c r="WJ88" s="272"/>
      <c r="WK88" s="272"/>
      <c r="WL88" s="272"/>
      <c r="WM88" s="272"/>
      <c r="WN88" s="272"/>
      <c r="WO88" s="272"/>
      <c r="WP88" s="272"/>
      <c r="WQ88" s="272"/>
      <c r="WR88" s="272"/>
      <c r="WS88" s="272"/>
      <c r="WT88" s="272"/>
      <c r="WU88" s="272"/>
      <c r="WV88" s="272"/>
      <c r="WW88" s="272"/>
      <c r="WX88" s="272"/>
      <c r="WY88" s="272"/>
      <c r="WZ88" s="272"/>
      <c r="XA88" s="272"/>
      <c r="XB88" s="272"/>
      <c r="XC88" s="272"/>
      <c r="XD88" s="272"/>
      <c r="XE88" s="272"/>
      <c r="XF88" s="272"/>
      <c r="XG88" s="272"/>
      <c r="XH88" s="272"/>
      <c r="XI88" s="272"/>
      <c r="XJ88" s="272"/>
      <c r="XK88" s="272"/>
      <c r="XL88" s="272"/>
      <c r="XM88" s="272"/>
      <c r="XN88" s="272"/>
      <c r="XO88" s="272"/>
      <c r="XP88" s="272"/>
      <c r="XQ88" s="272"/>
      <c r="XR88" s="272"/>
      <c r="XS88" s="272"/>
      <c r="XT88" s="272"/>
      <c r="XU88" s="272"/>
      <c r="XV88" s="272"/>
      <c r="XW88" s="272"/>
      <c r="XX88" s="272"/>
      <c r="XY88" s="272"/>
      <c r="XZ88" s="272"/>
      <c r="YA88" s="272"/>
      <c r="YB88" s="272"/>
      <c r="YC88" s="272"/>
      <c r="YD88" s="272"/>
      <c r="YE88" s="272"/>
      <c r="YF88" s="272"/>
      <c r="YG88" s="272"/>
      <c r="YH88" s="272"/>
      <c r="YI88" s="272"/>
      <c r="YJ88" s="272"/>
      <c r="YK88" s="272"/>
      <c r="YL88" s="272"/>
      <c r="YM88" s="272"/>
      <c r="YN88" s="272"/>
      <c r="YO88" s="272"/>
      <c r="YP88" s="272"/>
      <c r="YQ88" s="272"/>
      <c r="YR88" s="272"/>
      <c r="YS88" s="272"/>
      <c r="YT88" s="272"/>
      <c r="YU88" s="272"/>
      <c r="YV88" s="272"/>
      <c r="YW88" s="272"/>
      <c r="YX88" s="272"/>
      <c r="YY88" s="272"/>
      <c r="YZ88" s="272"/>
      <c r="ZA88" s="272"/>
      <c r="ZB88" s="272"/>
      <c r="ZC88" s="272"/>
      <c r="ZD88" s="272"/>
      <c r="ZE88" s="272"/>
      <c r="ZF88" s="272"/>
      <c r="ZG88" s="272"/>
      <c r="ZH88" s="272"/>
      <c r="ZI88" s="272"/>
      <c r="ZJ88" s="272"/>
      <c r="ZK88" s="272"/>
      <c r="ZL88" s="272"/>
      <c r="ZM88" s="272"/>
      <c r="ZN88" s="272"/>
      <c r="ZO88" s="272"/>
      <c r="ZP88" s="272"/>
      <c r="ZQ88" s="272"/>
      <c r="ZR88" s="272"/>
      <c r="ZS88" s="272"/>
      <c r="ZT88" s="272"/>
      <c r="ZU88" s="272"/>
      <c r="ZV88" s="272"/>
      <c r="ZW88" s="272"/>
      <c r="ZX88" s="272"/>
      <c r="ZY88" s="272"/>
      <c r="ZZ88" s="272"/>
      <c r="AAA88" s="272"/>
      <c r="AAB88" s="272"/>
      <c r="AAC88" s="272"/>
      <c r="AAD88" s="272"/>
      <c r="AAE88" s="272"/>
      <c r="AAF88" s="272"/>
      <c r="AAG88" s="272"/>
      <c r="AAH88" s="272"/>
      <c r="AAI88" s="272"/>
      <c r="AAJ88" s="272"/>
      <c r="AAK88" s="272"/>
      <c r="AAL88" s="272"/>
      <c r="AAM88" s="272"/>
      <c r="AAN88" s="272"/>
      <c r="AAO88" s="272"/>
      <c r="AAP88" s="272"/>
      <c r="AAQ88" s="272"/>
      <c r="AAR88" s="272"/>
      <c r="AAS88" s="272"/>
      <c r="AAT88" s="272"/>
      <c r="AAU88" s="272"/>
      <c r="AAV88" s="272"/>
      <c r="AAW88" s="272"/>
      <c r="AAX88" s="272"/>
      <c r="AAY88" s="272"/>
      <c r="AAZ88" s="272"/>
      <c r="ABA88" s="272"/>
      <c r="ABB88" s="272"/>
      <c r="ABC88" s="272"/>
      <c r="ABD88" s="272"/>
      <c r="ABE88" s="272"/>
      <c r="ABF88" s="272"/>
      <c r="ABG88" s="272"/>
    </row>
    <row r="89" spans="1:735" s="61" customFormat="1" ht="25.5">
      <c r="A89" s="67" t="s">
        <v>14</v>
      </c>
      <c r="B89" s="68" t="s">
        <v>34</v>
      </c>
      <c r="C89" s="30" t="s">
        <v>52</v>
      </c>
      <c r="D89" s="501"/>
      <c r="E89" s="502"/>
      <c r="F89" s="503"/>
      <c r="G89" s="504"/>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272"/>
      <c r="BL89" s="272"/>
      <c r="BM89" s="272"/>
      <c r="BN89" s="272"/>
      <c r="BO89" s="272"/>
      <c r="BP89" s="272"/>
      <c r="BQ89" s="272"/>
      <c r="BR89" s="272"/>
      <c r="BS89" s="272"/>
      <c r="BT89" s="272"/>
      <c r="BU89" s="272"/>
      <c r="BV89" s="272"/>
      <c r="BW89" s="272"/>
      <c r="BX89" s="272"/>
      <c r="BY89" s="272"/>
      <c r="BZ89" s="272"/>
      <c r="CA89" s="272"/>
      <c r="CB89" s="272"/>
      <c r="CC89" s="272"/>
      <c r="CD89" s="272"/>
      <c r="CE89" s="272"/>
      <c r="CF89" s="272"/>
      <c r="CG89" s="272"/>
      <c r="CH89" s="272"/>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2"/>
      <c r="DF89" s="272"/>
      <c r="DG89" s="272"/>
      <c r="DH89" s="272"/>
      <c r="DI89" s="272"/>
      <c r="DJ89" s="272"/>
      <c r="DK89" s="272"/>
      <c r="DL89" s="272"/>
      <c r="DM89" s="272"/>
      <c r="DN89" s="272"/>
      <c r="DO89" s="272"/>
      <c r="DP89" s="272"/>
      <c r="DQ89" s="272"/>
      <c r="DR89" s="272"/>
      <c r="DS89" s="272"/>
      <c r="DT89" s="272"/>
      <c r="DU89" s="272"/>
      <c r="DV89" s="272"/>
      <c r="DW89" s="272"/>
      <c r="DX89" s="272"/>
      <c r="DY89" s="272"/>
      <c r="DZ89" s="272"/>
      <c r="EA89" s="272"/>
      <c r="EB89" s="272"/>
      <c r="EC89" s="272"/>
      <c r="ED89" s="272"/>
      <c r="EE89" s="272"/>
      <c r="EF89" s="272"/>
      <c r="EG89" s="272"/>
      <c r="EH89" s="272"/>
      <c r="EI89" s="272"/>
      <c r="EJ89" s="272"/>
      <c r="EK89" s="272"/>
      <c r="EL89" s="272"/>
      <c r="EM89" s="272"/>
      <c r="EN89" s="272"/>
      <c r="EO89" s="272"/>
      <c r="EP89" s="272"/>
      <c r="EQ89" s="272"/>
      <c r="ER89" s="272"/>
      <c r="ES89" s="272"/>
      <c r="ET89" s="272"/>
      <c r="EU89" s="272"/>
      <c r="EV89" s="272"/>
      <c r="EW89" s="272"/>
      <c r="EX89" s="272"/>
      <c r="EY89" s="272"/>
      <c r="EZ89" s="272"/>
      <c r="FA89" s="272"/>
      <c r="FB89" s="272"/>
      <c r="FC89" s="272"/>
      <c r="FD89" s="272"/>
      <c r="FE89" s="272"/>
      <c r="FF89" s="272"/>
      <c r="FG89" s="272"/>
      <c r="FH89" s="272"/>
      <c r="FI89" s="272"/>
      <c r="FJ89" s="272"/>
      <c r="FK89" s="272"/>
      <c r="FL89" s="272"/>
      <c r="FM89" s="272"/>
      <c r="FN89" s="272"/>
      <c r="FO89" s="272"/>
      <c r="FP89" s="272"/>
      <c r="FQ89" s="272"/>
      <c r="FR89" s="272"/>
      <c r="FS89" s="272"/>
      <c r="FT89" s="272"/>
      <c r="FU89" s="272"/>
      <c r="FV89" s="272"/>
      <c r="FW89" s="272"/>
      <c r="FX89" s="272"/>
      <c r="FY89" s="272"/>
      <c r="FZ89" s="272"/>
      <c r="GA89" s="272"/>
      <c r="GB89" s="272"/>
      <c r="GC89" s="272"/>
      <c r="GD89" s="272"/>
      <c r="GE89" s="272"/>
      <c r="GF89" s="272"/>
      <c r="GG89" s="272"/>
      <c r="GH89" s="272"/>
      <c r="GI89" s="272"/>
      <c r="GJ89" s="272"/>
      <c r="GK89" s="272"/>
      <c r="GL89" s="272"/>
      <c r="GM89" s="272"/>
      <c r="GN89" s="272"/>
      <c r="GO89" s="272"/>
      <c r="GP89" s="272"/>
      <c r="GQ89" s="272"/>
      <c r="GR89" s="272"/>
      <c r="GS89" s="272"/>
      <c r="GT89" s="272"/>
      <c r="GU89" s="272"/>
      <c r="GV89" s="272"/>
      <c r="GW89" s="272"/>
      <c r="GX89" s="272"/>
      <c r="GY89" s="272"/>
      <c r="GZ89" s="272"/>
      <c r="HA89" s="272"/>
      <c r="HB89" s="272"/>
      <c r="HC89" s="272"/>
      <c r="HD89" s="272"/>
      <c r="HE89" s="272"/>
      <c r="HF89" s="272"/>
      <c r="HG89" s="272"/>
      <c r="HH89" s="272"/>
      <c r="HI89" s="272"/>
      <c r="HJ89" s="272"/>
      <c r="HK89" s="272"/>
      <c r="HL89" s="272"/>
      <c r="HM89" s="272"/>
      <c r="HN89" s="272"/>
      <c r="HO89" s="272"/>
      <c r="HP89" s="272"/>
      <c r="HQ89" s="272"/>
      <c r="HR89" s="272"/>
      <c r="HS89" s="272"/>
      <c r="HT89" s="272"/>
      <c r="HU89" s="272"/>
      <c r="HV89" s="272"/>
      <c r="HW89" s="272"/>
      <c r="HX89" s="272"/>
      <c r="HY89" s="272"/>
      <c r="HZ89" s="272"/>
      <c r="IA89" s="272"/>
      <c r="IB89" s="272"/>
      <c r="IC89" s="272"/>
      <c r="ID89" s="272"/>
      <c r="IE89" s="272"/>
      <c r="IF89" s="272"/>
      <c r="IG89" s="272"/>
      <c r="IH89" s="272"/>
      <c r="II89" s="272"/>
      <c r="IJ89" s="272"/>
      <c r="IK89" s="272"/>
      <c r="IL89" s="272"/>
      <c r="IM89" s="272"/>
      <c r="IN89" s="272"/>
      <c r="IO89" s="272"/>
      <c r="IP89" s="272"/>
      <c r="IQ89" s="272"/>
      <c r="IR89" s="272"/>
      <c r="IS89" s="272"/>
      <c r="IT89" s="272"/>
      <c r="IU89" s="272"/>
      <c r="IV89" s="272"/>
      <c r="IW89" s="272"/>
      <c r="IX89" s="272"/>
      <c r="IY89" s="272"/>
      <c r="IZ89" s="272"/>
      <c r="JA89" s="272"/>
      <c r="JB89" s="272"/>
      <c r="JC89" s="272"/>
      <c r="JD89" s="272"/>
      <c r="JE89" s="272"/>
      <c r="JF89" s="272"/>
      <c r="JG89" s="272"/>
      <c r="JH89" s="272"/>
      <c r="JI89" s="272"/>
      <c r="JJ89" s="272"/>
      <c r="JK89" s="272"/>
      <c r="JL89" s="272"/>
      <c r="JM89" s="272"/>
      <c r="JN89" s="272"/>
      <c r="JO89" s="272"/>
      <c r="JP89" s="272"/>
      <c r="JQ89" s="272"/>
      <c r="JR89" s="272"/>
      <c r="JS89" s="272"/>
      <c r="JT89" s="272"/>
      <c r="JU89" s="272"/>
      <c r="JV89" s="272"/>
      <c r="JW89" s="272"/>
      <c r="JX89" s="272"/>
      <c r="JY89" s="272"/>
      <c r="JZ89" s="272"/>
      <c r="KA89" s="272"/>
      <c r="KB89" s="272"/>
      <c r="KC89" s="272"/>
      <c r="KD89" s="272"/>
      <c r="KE89" s="272"/>
      <c r="KF89" s="272"/>
      <c r="KG89" s="272"/>
      <c r="KH89" s="272"/>
      <c r="KI89" s="272"/>
      <c r="KJ89" s="272"/>
      <c r="KK89" s="272"/>
      <c r="KL89" s="272"/>
      <c r="KM89" s="272"/>
      <c r="KN89" s="272"/>
      <c r="KO89" s="272"/>
      <c r="KP89" s="272"/>
      <c r="KQ89" s="272"/>
      <c r="KR89" s="272"/>
      <c r="KS89" s="272"/>
      <c r="KT89" s="272"/>
      <c r="KU89" s="272"/>
      <c r="KV89" s="272"/>
      <c r="KW89" s="272"/>
      <c r="KX89" s="272"/>
      <c r="KY89" s="272"/>
      <c r="KZ89" s="272"/>
      <c r="LA89" s="272"/>
      <c r="LB89" s="272"/>
      <c r="LC89" s="272"/>
      <c r="LD89" s="272"/>
      <c r="LE89" s="272"/>
      <c r="LF89" s="272"/>
      <c r="LG89" s="272"/>
      <c r="LH89" s="272"/>
      <c r="LI89" s="272"/>
      <c r="LJ89" s="272"/>
      <c r="LK89" s="272"/>
      <c r="LL89" s="272"/>
      <c r="LM89" s="272"/>
      <c r="LN89" s="272"/>
      <c r="LO89" s="272"/>
      <c r="LP89" s="272"/>
      <c r="LQ89" s="272"/>
      <c r="LR89" s="272"/>
      <c r="LS89" s="272"/>
      <c r="LT89" s="272"/>
      <c r="LU89" s="272"/>
      <c r="LV89" s="272"/>
      <c r="LW89" s="272"/>
      <c r="LX89" s="272"/>
      <c r="LY89" s="272"/>
      <c r="LZ89" s="272"/>
      <c r="MA89" s="272"/>
      <c r="MB89" s="272"/>
      <c r="MC89" s="272"/>
      <c r="MD89" s="272"/>
      <c r="ME89" s="272"/>
      <c r="MF89" s="272"/>
      <c r="MG89" s="272"/>
      <c r="MH89" s="272"/>
      <c r="MI89" s="272"/>
      <c r="MJ89" s="272"/>
      <c r="MK89" s="272"/>
      <c r="ML89" s="272"/>
      <c r="MM89" s="272"/>
      <c r="MN89" s="272"/>
      <c r="MO89" s="272"/>
      <c r="MP89" s="272"/>
      <c r="MQ89" s="272"/>
      <c r="MR89" s="272"/>
      <c r="MS89" s="272"/>
      <c r="MT89" s="272"/>
      <c r="MU89" s="272"/>
      <c r="MV89" s="272"/>
      <c r="MW89" s="272"/>
      <c r="MX89" s="272"/>
      <c r="MY89" s="272"/>
      <c r="MZ89" s="272"/>
      <c r="NA89" s="272"/>
      <c r="NB89" s="272"/>
      <c r="NC89" s="272"/>
      <c r="ND89" s="272"/>
      <c r="NE89" s="272"/>
      <c r="NF89" s="272"/>
      <c r="NG89" s="272"/>
      <c r="NH89" s="272"/>
      <c r="NI89" s="272"/>
      <c r="NJ89" s="272"/>
      <c r="NK89" s="272"/>
      <c r="NL89" s="272"/>
      <c r="NM89" s="272"/>
      <c r="NN89" s="272"/>
      <c r="NO89" s="272"/>
      <c r="NP89" s="272"/>
      <c r="NQ89" s="272"/>
      <c r="NR89" s="272"/>
      <c r="NS89" s="272"/>
      <c r="NT89" s="272"/>
      <c r="NU89" s="272"/>
      <c r="NV89" s="272"/>
      <c r="NW89" s="272"/>
      <c r="NX89" s="272"/>
      <c r="NY89" s="272"/>
      <c r="NZ89" s="272"/>
      <c r="OA89" s="272"/>
      <c r="OB89" s="272"/>
      <c r="OC89" s="272"/>
      <c r="OD89" s="272"/>
      <c r="OE89" s="272"/>
      <c r="OF89" s="272"/>
      <c r="OG89" s="272"/>
      <c r="OH89" s="272"/>
      <c r="OI89" s="272"/>
      <c r="OJ89" s="272"/>
      <c r="OK89" s="272"/>
      <c r="OL89" s="272"/>
      <c r="OM89" s="272"/>
      <c r="ON89" s="272"/>
      <c r="OO89" s="272"/>
      <c r="OP89" s="272"/>
      <c r="OQ89" s="272"/>
      <c r="OR89" s="272"/>
      <c r="OS89" s="272"/>
      <c r="OT89" s="272"/>
      <c r="OU89" s="272"/>
      <c r="OV89" s="272"/>
      <c r="OW89" s="272"/>
      <c r="OX89" s="272"/>
      <c r="OY89" s="272"/>
      <c r="OZ89" s="272"/>
      <c r="PA89" s="272"/>
      <c r="PB89" s="272"/>
      <c r="PC89" s="272"/>
      <c r="PD89" s="272"/>
      <c r="PE89" s="272"/>
      <c r="PF89" s="272"/>
      <c r="PG89" s="272"/>
      <c r="PH89" s="272"/>
      <c r="PI89" s="272"/>
      <c r="PJ89" s="272"/>
      <c r="PK89" s="272"/>
      <c r="PL89" s="272"/>
      <c r="PM89" s="272"/>
      <c r="PN89" s="272"/>
      <c r="PO89" s="272"/>
      <c r="PP89" s="272"/>
      <c r="PQ89" s="272"/>
      <c r="PR89" s="272"/>
      <c r="PS89" s="272"/>
      <c r="PT89" s="272"/>
      <c r="PU89" s="272"/>
      <c r="PV89" s="272"/>
      <c r="PW89" s="272"/>
      <c r="PX89" s="272"/>
      <c r="PY89" s="272"/>
      <c r="PZ89" s="272"/>
      <c r="QA89" s="272"/>
      <c r="QB89" s="272"/>
      <c r="QC89" s="272"/>
      <c r="QD89" s="272"/>
      <c r="QE89" s="272"/>
      <c r="QF89" s="272"/>
      <c r="QG89" s="272"/>
      <c r="QH89" s="272"/>
      <c r="QI89" s="272"/>
      <c r="QJ89" s="272"/>
      <c r="QK89" s="272"/>
      <c r="QL89" s="272"/>
      <c r="QM89" s="272"/>
      <c r="QN89" s="272"/>
      <c r="QO89" s="272"/>
      <c r="QP89" s="272"/>
      <c r="QQ89" s="272"/>
      <c r="QR89" s="272"/>
      <c r="QS89" s="272"/>
      <c r="QT89" s="272"/>
      <c r="QU89" s="272"/>
      <c r="QV89" s="272"/>
      <c r="QW89" s="272"/>
      <c r="QX89" s="272"/>
      <c r="QY89" s="272"/>
      <c r="QZ89" s="272"/>
      <c r="RA89" s="272"/>
      <c r="RB89" s="272"/>
      <c r="RC89" s="272"/>
      <c r="RD89" s="272"/>
      <c r="RE89" s="272"/>
      <c r="RF89" s="272"/>
      <c r="RG89" s="272"/>
      <c r="RH89" s="272"/>
      <c r="RI89" s="272"/>
      <c r="RJ89" s="272"/>
      <c r="RK89" s="272"/>
      <c r="RL89" s="272"/>
      <c r="RM89" s="272"/>
      <c r="RN89" s="272"/>
      <c r="RO89" s="272"/>
      <c r="RP89" s="272"/>
      <c r="RQ89" s="272"/>
      <c r="RR89" s="272"/>
      <c r="RS89" s="272"/>
      <c r="RT89" s="272"/>
      <c r="RU89" s="272"/>
      <c r="RV89" s="272"/>
      <c r="RW89" s="272"/>
      <c r="RX89" s="272"/>
      <c r="RY89" s="272"/>
      <c r="RZ89" s="272"/>
      <c r="SA89" s="272"/>
      <c r="SB89" s="272"/>
      <c r="SC89" s="272"/>
      <c r="SD89" s="272"/>
      <c r="SE89" s="272"/>
      <c r="SF89" s="272"/>
      <c r="SG89" s="272"/>
      <c r="SH89" s="272"/>
      <c r="SI89" s="272"/>
      <c r="SJ89" s="272"/>
      <c r="SK89" s="272"/>
      <c r="SL89" s="272"/>
      <c r="SM89" s="272"/>
      <c r="SN89" s="272"/>
      <c r="SO89" s="272"/>
      <c r="SP89" s="272"/>
      <c r="SQ89" s="272"/>
      <c r="SR89" s="272"/>
      <c r="SS89" s="272"/>
      <c r="ST89" s="272"/>
      <c r="SU89" s="272"/>
      <c r="SV89" s="272"/>
      <c r="SW89" s="272"/>
      <c r="SX89" s="272"/>
      <c r="SY89" s="272"/>
      <c r="SZ89" s="272"/>
      <c r="TA89" s="272"/>
      <c r="TB89" s="272"/>
      <c r="TC89" s="272"/>
      <c r="TD89" s="272"/>
      <c r="TE89" s="272"/>
      <c r="TF89" s="272"/>
      <c r="TG89" s="272"/>
      <c r="TH89" s="272"/>
      <c r="TI89" s="272"/>
      <c r="TJ89" s="272"/>
      <c r="TK89" s="272"/>
      <c r="TL89" s="272"/>
      <c r="TM89" s="272"/>
      <c r="TN89" s="272"/>
      <c r="TO89" s="272"/>
      <c r="TP89" s="272"/>
      <c r="TQ89" s="272"/>
      <c r="TR89" s="272"/>
      <c r="TS89" s="272"/>
      <c r="TT89" s="272"/>
      <c r="TU89" s="272"/>
      <c r="TV89" s="272"/>
      <c r="TW89" s="272"/>
      <c r="TX89" s="272"/>
      <c r="TY89" s="272"/>
      <c r="TZ89" s="272"/>
      <c r="UA89" s="272"/>
      <c r="UB89" s="272"/>
      <c r="UC89" s="272"/>
      <c r="UD89" s="272"/>
      <c r="UE89" s="272"/>
      <c r="UF89" s="272"/>
      <c r="UG89" s="272"/>
      <c r="UH89" s="272"/>
      <c r="UI89" s="272"/>
      <c r="UJ89" s="272"/>
      <c r="UK89" s="272"/>
      <c r="UL89" s="272"/>
      <c r="UM89" s="272"/>
      <c r="UN89" s="272"/>
      <c r="UO89" s="272"/>
      <c r="UP89" s="272"/>
      <c r="UQ89" s="272"/>
      <c r="UR89" s="272"/>
      <c r="US89" s="272"/>
      <c r="UT89" s="272"/>
      <c r="UU89" s="272"/>
      <c r="UV89" s="272"/>
      <c r="UW89" s="272"/>
      <c r="UX89" s="272"/>
      <c r="UY89" s="272"/>
      <c r="UZ89" s="272"/>
      <c r="VA89" s="272"/>
      <c r="VB89" s="272"/>
      <c r="VC89" s="272"/>
      <c r="VD89" s="272"/>
      <c r="VE89" s="272"/>
      <c r="VF89" s="272"/>
      <c r="VG89" s="272"/>
      <c r="VH89" s="272"/>
      <c r="VI89" s="272"/>
      <c r="VJ89" s="272"/>
      <c r="VK89" s="272"/>
      <c r="VL89" s="272"/>
      <c r="VM89" s="272"/>
      <c r="VN89" s="272"/>
      <c r="VO89" s="272"/>
      <c r="VP89" s="272"/>
      <c r="VQ89" s="272"/>
      <c r="VR89" s="272"/>
      <c r="VS89" s="272"/>
      <c r="VT89" s="272"/>
      <c r="VU89" s="272"/>
      <c r="VV89" s="272"/>
      <c r="VW89" s="272"/>
      <c r="VX89" s="272"/>
      <c r="VY89" s="272"/>
      <c r="VZ89" s="272"/>
      <c r="WA89" s="272"/>
      <c r="WB89" s="272"/>
      <c r="WC89" s="272"/>
      <c r="WD89" s="272"/>
      <c r="WE89" s="272"/>
      <c r="WF89" s="272"/>
      <c r="WG89" s="272"/>
      <c r="WH89" s="272"/>
      <c r="WI89" s="272"/>
      <c r="WJ89" s="272"/>
      <c r="WK89" s="272"/>
      <c r="WL89" s="272"/>
      <c r="WM89" s="272"/>
      <c r="WN89" s="272"/>
      <c r="WO89" s="272"/>
      <c r="WP89" s="272"/>
      <c r="WQ89" s="272"/>
      <c r="WR89" s="272"/>
      <c r="WS89" s="272"/>
      <c r="WT89" s="272"/>
      <c r="WU89" s="272"/>
      <c r="WV89" s="272"/>
      <c r="WW89" s="272"/>
      <c r="WX89" s="272"/>
      <c r="WY89" s="272"/>
      <c r="WZ89" s="272"/>
      <c r="XA89" s="272"/>
      <c r="XB89" s="272"/>
      <c r="XC89" s="272"/>
      <c r="XD89" s="272"/>
      <c r="XE89" s="272"/>
      <c r="XF89" s="272"/>
      <c r="XG89" s="272"/>
      <c r="XH89" s="272"/>
      <c r="XI89" s="272"/>
      <c r="XJ89" s="272"/>
      <c r="XK89" s="272"/>
      <c r="XL89" s="272"/>
      <c r="XM89" s="272"/>
      <c r="XN89" s="272"/>
      <c r="XO89" s="272"/>
      <c r="XP89" s="272"/>
      <c r="XQ89" s="272"/>
      <c r="XR89" s="272"/>
      <c r="XS89" s="272"/>
      <c r="XT89" s="272"/>
      <c r="XU89" s="272"/>
      <c r="XV89" s="272"/>
      <c r="XW89" s="272"/>
      <c r="XX89" s="272"/>
      <c r="XY89" s="272"/>
      <c r="XZ89" s="272"/>
      <c r="YA89" s="272"/>
      <c r="YB89" s="272"/>
      <c r="YC89" s="272"/>
      <c r="YD89" s="272"/>
      <c r="YE89" s="272"/>
      <c r="YF89" s="272"/>
      <c r="YG89" s="272"/>
      <c r="YH89" s="272"/>
      <c r="YI89" s="272"/>
      <c r="YJ89" s="272"/>
      <c r="YK89" s="272"/>
      <c r="YL89" s="272"/>
      <c r="YM89" s="272"/>
      <c r="YN89" s="272"/>
      <c r="YO89" s="272"/>
      <c r="YP89" s="272"/>
      <c r="YQ89" s="272"/>
      <c r="YR89" s="272"/>
      <c r="YS89" s="272"/>
      <c r="YT89" s="272"/>
      <c r="YU89" s="272"/>
      <c r="YV89" s="272"/>
      <c r="YW89" s="272"/>
      <c r="YX89" s="272"/>
      <c r="YY89" s="272"/>
      <c r="YZ89" s="272"/>
      <c r="ZA89" s="272"/>
      <c r="ZB89" s="272"/>
      <c r="ZC89" s="272"/>
      <c r="ZD89" s="272"/>
      <c r="ZE89" s="272"/>
      <c r="ZF89" s="272"/>
      <c r="ZG89" s="272"/>
      <c r="ZH89" s="272"/>
      <c r="ZI89" s="272"/>
      <c r="ZJ89" s="272"/>
      <c r="ZK89" s="272"/>
      <c r="ZL89" s="272"/>
      <c r="ZM89" s="272"/>
      <c r="ZN89" s="272"/>
      <c r="ZO89" s="272"/>
      <c r="ZP89" s="272"/>
      <c r="ZQ89" s="272"/>
      <c r="ZR89" s="272"/>
      <c r="ZS89" s="272"/>
      <c r="ZT89" s="272"/>
      <c r="ZU89" s="272"/>
      <c r="ZV89" s="272"/>
      <c r="ZW89" s="272"/>
      <c r="ZX89" s="272"/>
      <c r="ZY89" s="272"/>
      <c r="ZZ89" s="272"/>
      <c r="AAA89" s="272"/>
      <c r="AAB89" s="272"/>
      <c r="AAC89" s="272"/>
      <c r="AAD89" s="272"/>
      <c r="AAE89" s="272"/>
      <c r="AAF89" s="272"/>
      <c r="AAG89" s="272"/>
      <c r="AAH89" s="272"/>
      <c r="AAI89" s="272"/>
      <c r="AAJ89" s="272"/>
      <c r="AAK89" s="272"/>
      <c r="AAL89" s="272"/>
      <c r="AAM89" s="272"/>
      <c r="AAN89" s="272"/>
      <c r="AAO89" s="272"/>
      <c r="AAP89" s="272"/>
      <c r="AAQ89" s="272"/>
      <c r="AAR89" s="272"/>
      <c r="AAS89" s="272"/>
      <c r="AAT89" s="272"/>
      <c r="AAU89" s="272"/>
      <c r="AAV89" s="272"/>
      <c r="AAW89" s="272"/>
      <c r="AAX89" s="272"/>
      <c r="AAY89" s="272"/>
      <c r="AAZ89" s="272"/>
      <c r="ABA89" s="272"/>
      <c r="ABB89" s="272"/>
      <c r="ABC89" s="272"/>
      <c r="ABD89" s="272"/>
      <c r="ABE89" s="272"/>
      <c r="ABF89" s="272"/>
      <c r="ABG89" s="272"/>
    </row>
    <row r="90" spans="1:735" s="19" customFormat="1" ht="15">
      <c r="A90" s="47"/>
      <c r="B90" s="74"/>
      <c r="C90" s="55" t="s">
        <v>53</v>
      </c>
      <c r="D90" s="55"/>
      <c r="E90" s="57"/>
      <c r="F90" s="263"/>
      <c r="G90" s="388"/>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c r="BJ90" s="272"/>
      <c r="BK90" s="272"/>
      <c r="BL90" s="272"/>
      <c r="BM90" s="272"/>
      <c r="BN90" s="272"/>
      <c r="BO90" s="272"/>
      <c r="BP90" s="272"/>
      <c r="BQ90" s="272"/>
      <c r="BR90" s="272"/>
      <c r="BS90" s="272"/>
      <c r="BT90" s="272"/>
      <c r="BU90" s="272"/>
      <c r="BV90" s="272"/>
      <c r="BW90" s="272"/>
      <c r="BX90" s="272"/>
      <c r="BY90" s="272"/>
      <c r="BZ90" s="272"/>
      <c r="CA90" s="272"/>
      <c r="CB90" s="272"/>
      <c r="CC90" s="272"/>
      <c r="CD90" s="272"/>
      <c r="CE90" s="272"/>
      <c r="CF90" s="272"/>
      <c r="CG90" s="272"/>
      <c r="CH90" s="272"/>
      <c r="CI90" s="272"/>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2"/>
      <c r="EE90" s="272"/>
      <c r="EF90" s="272"/>
      <c r="EG90" s="272"/>
      <c r="EH90" s="272"/>
      <c r="EI90" s="272"/>
      <c r="EJ90" s="272"/>
      <c r="EK90" s="272"/>
      <c r="EL90" s="272"/>
      <c r="EM90" s="272"/>
      <c r="EN90" s="272"/>
      <c r="EO90" s="272"/>
      <c r="EP90" s="272"/>
      <c r="EQ90" s="272"/>
      <c r="ER90" s="272"/>
      <c r="ES90" s="272"/>
      <c r="ET90" s="272"/>
      <c r="EU90" s="272"/>
      <c r="EV90" s="272"/>
      <c r="EW90" s="272"/>
      <c r="EX90" s="272"/>
      <c r="EY90" s="272"/>
      <c r="EZ90" s="272"/>
      <c r="FA90" s="272"/>
      <c r="FB90" s="272"/>
      <c r="FC90" s="272"/>
      <c r="FD90" s="272"/>
      <c r="FE90" s="272"/>
      <c r="FF90" s="272"/>
      <c r="FG90" s="272"/>
      <c r="FH90" s="272"/>
      <c r="FI90" s="272"/>
      <c r="FJ90" s="272"/>
      <c r="FK90" s="272"/>
      <c r="FL90" s="272"/>
      <c r="FM90" s="272"/>
      <c r="FN90" s="272"/>
      <c r="FO90" s="272"/>
      <c r="FP90" s="272"/>
      <c r="FQ90" s="272"/>
      <c r="FR90" s="272"/>
      <c r="FS90" s="272"/>
      <c r="FT90" s="272"/>
      <c r="FU90" s="272"/>
      <c r="FV90" s="272"/>
      <c r="FW90" s="272"/>
      <c r="FX90" s="272"/>
      <c r="FY90" s="272"/>
      <c r="FZ90" s="272"/>
      <c r="GA90" s="272"/>
      <c r="GB90" s="272"/>
      <c r="GC90" s="272"/>
      <c r="GD90" s="272"/>
      <c r="GE90" s="272"/>
      <c r="GF90" s="272"/>
      <c r="GG90" s="272"/>
      <c r="GH90" s="272"/>
      <c r="GI90" s="272"/>
      <c r="GJ90" s="272"/>
      <c r="GK90" s="272"/>
      <c r="GL90" s="272"/>
      <c r="GM90" s="272"/>
      <c r="GN90" s="272"/>
      <c r="GO90" s="272"/>
      <c r="GP90" s="272"/>
      <c r="GQ90" s="272"/>
      <c r="GR90" s="272"/>
      <c r="GS90" s="272"/>
      <c r="GT90" s="272"/>
      <c r="GU90" s="272"/>
      <c r="GV90" s="272"/>
      <c r="GW90" s="272"/>
      <c r="GX90" s="272"/>
      <c r="GY90" s="272"/>
      <c r="GZ90" s="272"/>
      <c r="HA90" s="272"/>
      <c r="HB90" s="272"/>
      <c r="HC90" s="272"/>
      <c r="HD90" s="272"/>
      <c r="HE90" s="272"/>
      <c r="HF90" s="272"/>
      <c r="HG90" s="272"/>
      <c r="HH90" s="272"/>
      <c r="HI90" s="272"/>
      <c r="HJ90" s="272"/>
      <c r="HK90" s="272"/>
      <c r="HL90" s="272"/>
      <c r="HM90" s="272"/>
      <c r="HN90" s="272"/>
      <c r="HO90" s="272"/>
      <c r="HP90" s="272"/>
      <c r="HQ90" s="272"/>
      <c r="HR90" s="272"/>
      <c r="HS90" s="272"/>
      <c r="HT90" s="272"/>
      <c r="HU90" s="272"/>
      <c r="HV90" s="272"/>
      <c r="HW90" s="272"/>
      <c r="HX90" s="272"/>
      <c r="HY90" s="272"/>
      <c r="HZ90" s="272"/>
      <c r="IA90" s="272"/>
      <c r="IB90" s="272"/>
      <c r="IC90" s="272"/>
      <c r="ID90" s="272"/>
      <c r="IE90" s="272"/>
      <c r="IF90" s="272"/>
      <c r="IG90" s="272"/>
      <c r="IH90" s="272"/>
      <c r="II90" s="272"/>
      <c r="IJ90" s="272"/>
      <c r="IK90" s="272"/>
      <c r="IL90" s="272"/>
      <c r="IM90" s="272"/>
      <c r="IN90" s="272"/>
      <c r="IO90" s="272"/>
      <c r="IP90" s="272"/>
      <c r="IQ90" s="272"/>
      <c r="IR90" s="272"/>
      <c r="IS90" s="272"/>
      <c r="IT90" s="272"/>
      <c r="IU90" s="272"/>
      <c r="IV90" s="272"/>
      <c r="IW90" s="272"/>
      <c r="IX90" s="272"/>
      <c r="IY90" s="272"/>
      <c r="IZ90" s="272"/>
      <c r="JA90" s="272"/>
      <c r="JB90" s="272"/>
      <c r="JC90" s="272"/>
      <c r="JD90" s="272"/>
      <c r="JE90" s="272"/>
      <c r="JF90" s="272"/>
      <c r="JG90" s="272"/>
      <c r="JH90" s="272"/>
      <c r="JI90" s="272"/>
      <c r="JJ90" s="272"/>
      <c r="JK90" s="272"/>
      <c r="JL90" s="272"/>
      <c r="JM90" s="272"/>
      <c r="JN90" s="272"/>
      <c r="JO90" s="272"/>
      <c r="JP90" s="272"/>
      <c r="JQ90" s="272"/>
      <c r="JR90" s="272"/>
      <c r="JS90" s="272"/>
      <c r="JT90" s="272"/>
      <c r="JU90" s="272"/>
      <c r="JV90" s="272"/>
      <c r="JW90" s="272"/>
      <c r="JX90" s="272"/>
      <c r="JY90" s="272"/>
      <c r="JZ90" s="272"/>
      <c r="KA90" s="272"/>
      <c r="KB90" s="272"/>
      <c r="KC90" s="272"/>
      <c r="KD90" s="272"/>
      <c r="KE90" s="272"/>
      <c r="KF90" s="272"/>
      <c r="KG90" s="272"/>
      <c r="KH90" s="272"/>
      <c r="KI90" s="272"/>
      <c r="KJ90" s="272"/>
      <c r="KK90" s="272"/>
      <c r="KL90" s="272"/>
      <c r="KM90" s="272"/>
      <c r="KN90" s="272"/>
      <c r="KO90" s="272"/>
      <c r="KP90" s="272"/>
      <c r="KQ90" s="272"/>
      <c r="KR90" s="272"/>
      <c r="KS90" s="272"/>
      <c r="KT90" s="272"/>
      <c r="KU90" s="272"/>
      <c r="KV90" s="272"/>
      <c r="KW90" s="272"/>
      <c r="KX90" s="272"/>
      <c r="KY90" s="272"/>
      <c r="KZ90" s="272"/>
      <c r="LA90" s="272"/>
      <c r="LB90" s="272"/>
      <c r="LC90" s="272"/>
      <c r="LD90" s="272"/>
      <c r="LE90" s="272"/>
      <c r="LF90" s="272"/>
      <c r="LG90" s="272"/>
      <c r="LH90" s="272"/>
      <c r="LI90" s="272"/>
      <c r="LJ90" s="272"/>
      <c r="LK90" s="272"/>
      <c r="LL90" s="272"/>
      <c r="LM90" s="272"/>
      <c r="LN90" s="272"/>
      <c r="LO90" s="272"/>
      <c r="LP90" s="272"/>
      <c r="LQ90" s="272"/>
      <c r="LR90" s="272"/>
      <c r="LS90" s="272"/>
      <c r="LT90" s="272"/>
      <c r="LU90" s="272"/>
      <c r="LV90" s="272"/>
      <c r="LW90" s="272"/>
      <c r="LX90" s="272"/>
      <c r="LY90" s="272"/>
      <c r="LZ90" s="272"/>
      <c r="MA90" s="272"/>
      <c r="MB90" s="272"/>
      <c r="MC90" s="272"/>
      <c r="MD90" s="272"/>
      <c r="ME90" s="272"/>
      <c r="MF90" s="272"/>
      <c r="MG90" s="272"/>
      <c r="MH90" s="272"/>
      <c r="MI90" s="272"/>
      <c r="MJ90" s="272"/>
      <c r="MK90" s="272"/>
      <c r="ML90" s="272"/>
      <c r="MM90" s="272"/>
      <c r="MN90" s="272"/>
      <c r="MO90" s="272"/>
      <c r="MP90" s="272"/>
      <c r="MQ90" s="272"/>
      <c r="MR90" s="272"/>
      <c r="MS90" s="272"/>
      <c r="MT90" s="272"/>
      <c r="MU90" s="272"/>
      <c r="MV90" s="272"/>
      <c r="MW90" s="272"/>
      <c r="MX90" s="272"/>
      <c r="MY90" s="272"/>
      <c r="MZ90" s="272"/>
      <c r="NA90" s="272"/>
      <c r="NB90" s="272"/>
      <c r="NC90" s="272"/>
      <c r="ND90" s="272"/>
      <c r="NE90" s="272"/>
      <c r="NF90" s="272"/>
      <c r="NG90" s="272"/>
      <c r="NH90" s="272"/>
      <c r="NI90" s="272"/>
      <c r="NJ90" s="272"/>
      <c r="NK90" s="272"/>
      <c r="NL90" s="272"/>
      <c r="NM90" s="272"/>
      <c r="NN90" s="272"/>
      <c r="NO90" s="272"/>
      <c r="NP90" s="272"/>
      <c r="NQ90" s="272"/>
      <c r="NR90" s="272"/>
      <c r="NS90" s="272"/>
      <c r="NT90" s="272"/>
      <c r="NU90" s="272"/>
      <c r="NV90" s="272"/>
      <c r="NW90" s="272"/>
      <c r="NX90" s="272"/>
      <c r="NY90" s="272"/>
      <c r="NZ90" s="272"/>
      <c r="OA90" s="272"/>
      <c r="OB90" s="272"/>
      <c r="OC90" s="272"/>
      <c r="OD90" s="272"/>
      <c r="OE90" s="272"/>
      <c r="OF90" s="272"/>
      <c r="OG90" s="272"/>
      <c r="OH90" s="272"/>
      <c r="OI90" s="272"/>
      <c r="OJ90" s="272"/>
      <c r="OK90" s="272"/>
      <c r="OL90" s="272"/>
      <c r="OM90" s="272"/>
      <c r="ON90" s="272"/>
      <c r="OO90" s="272"/>
      <c r="OP90" s="272"/>
      <c r="OQ90" s="272"/>
      <c r="OR90" s="272"/>
      <c r="OS90" s="272"/>
      <c r="OT90" s="272"/>
      <c r="OU90" s="272"/>
      <c r="OV90" s="272"/>
      <c r="OW90" s="272"/>
      <c r="OX90" s="272"/>
      <c r="OY90" s="272"/>
      <c r="OZ90" s="272"/>
      <c r="PA90" s="272"/>
      <c r="PB90" s="272"/>
      <c r="PC90" s="272"/>
      <c r="PD90" s="272"/>
      <c r="PE90" s="272"/>
      <c r="PF90" s="272"/>
      <c r="PG90" s="272"/>
      <c r="PH90" s="272"/>
      <c r="PI90" s="272"/>
      <c r="PJ90" s="272"/>
      <c r="PK90" s="272"/>
      <c r="PL90" s="272"/>
      <c r="PM90" s="272"/>
      <c r="PN90" s="272"/>
      <c r="PO90" s="272"/>
      <c r="PP90" s="272"/>
      <c r="PQ90" s="272"/>
      <c r="PR90" s="272"/>
      <c r="PS90" s="272"/>
      <c r="PT90" s="272"/>
      <c r="PU90" s="272"/>
      <c r="PV90" s="272"/>
      <c r="PW90" s="272"/>
      <c r="PX90" s="272"/>
      <c r="PY90" s="272"/>
      <c r="PZ90" s="272"/>
      <c r="QA90" s="272"/>
      <c r="QB90" s="272"/>
      <c r="QC90" s="272"/>
      <c r="QD90" s="272"/>
      <c r="QE90" s="272"/>
      <c r="QF90" s="272"/>
      <c r="QG90" s="272"/>
      <c r="QH90" s="272"/>
      <c r="QI90" s="272"/>
      <c r="QJ90" s="272"/>
      <c r="QK90" s="272"/>
      <c r="QL90" s="272"/>
      <c r="QM90" s="272"/>
      <c r="QN90" s="272"/>
      <c r="QO90" s="272"/>
      <c r="QP90" s="272"/>
      <c r="QQ90" s="272"/>
      <c r="QR90" s="272"/>
      <c r="QS90" s="272"/>
      <c r="QT90" s="272"/>
      <c r="QU90" s="272"/>
      <c r="QV90" s="272"/>
      <c r="QW90" s="272"/>
      <c r="QX90" s="272"/>
      <c r="QY90" s="272"/>
      <c r="QZ90" s="272"/>
      <c r="RA90" s="272"/>
      <c r="RB90" s="272"/>
      <c r="RC90" s="272"/>
      <c r="RD90" s="272"/>
      <c r="RE90" s="272"/>
      <c r="RF90" s="272"/>
      <c r="RG90" s="272"/>
      <c r="RH90" s="272"/>
      <c r="RI90" s="272"/>
      <c r="RJ90" s="272"/>
      <c r="RK90" s="272"/>
      <c r="RL90" s="272"/>
      <c r="RM90" s="272"/>
      <c r="RN90" s="272"/>
      <c r="RO90" s="272"/>
      <c r="RP90" s="272"/>
      <c r="RQ90" s="272"/>
      <c r="RR90" s="272"/>
      <c r="RS90" s="272"/>
      <c r="RT90" s="272"/>
      <c r="RU90" s="272"/>
      <c r="RV90" s="272"/>
      <c r="RW90" s="272"/>
      <c r="RX90" s="272"/>
      <c r="RY90" s="272"/>
      <c r="RZ90" s="272"/>
      <c r="SA90" s="272"/>
      <c r="SB90" s="272"/>
      <c r="SC90" s="272"/>
      <c r="SD90" s="272"/>
      <c r="SE90" s="272"/>
      <c r="SF90" s="272"/>
      <c r="SG90" s="272"/>
      <c r="SH90" s="272"/>
      <c r="SI90" s="272"/>
      <c r="SJ90" s="272"/>
      <c r="SK90" s="272"/>
      <c r="SL90" s="272"/>
      <c r="SM90" s="272"/>
      <c r="SN90" s="272"/>
      <c r="SO90" s="272"/>
      <c r="SP90" s="272"/>
      <c r="SQ90" s="272"/>
      <c r="SR90" s="272"/>
      <c r="SS90" s="272"/>
      <c r="ST90" s="272"/>
      <c r="SU90" s="272"/>
      <c r="SV90" s="272"/>
      <c r="SW90" s="272"/>
      <c r="SX90" s="272"/>
      <c r="SY90" s="272"/>
      <c r="SZ90" s="272"/>
      <c r="TA90" s="272"/>
      <c r="TB90" s="272"/>
      <c r="TC90" s="272"/>
      <c r="TD90" s="272"/>
      <c r="TE90" s="272"/>
      <c r="TF90" s="272"/>
      <c r="TG90" s="272"/>
      <c r="TH90" s="272"/>
      <c r="TI90" s="272"/>
      <c r="TJ90" s="272"/>
      <c r="TK90" s="272"/>
      <c r="TL90" s="272"/>
      <c r="TM90" s="272"/>
      <c r="TN90" s="272"/>
      <c r="TO90" s="272"/>
      <c r="TP90" s="272"/>
      <c r="TQ90" s="272"/>
      <c r="TR90" s="272"/>
      <c r="TS90" s="272"/>
      <c r="TT90" s="272"/>
      <c r="TU90" s="272"/>
      <c r="TV90" s="272"/>
      <c r="TW90" s="272"/>
      <c r="TX90" s="272"/>
      <c r="TY90" s="272"/>
      <c r="TZ90" s="272"/>
      <c r="UA90" s="272"/>
      <c r="UB90" s="272"/>
      <c r="UC90" s="272"/>
      <c r="UD90" s="272"/>
      <c r="UE90" s="272"/>
      <c r="UF90" s="272"/>
      <c r="UG90" s="272"/>
      <c r="UH90" s="272"/>
      <c r="UI90" s="272"/>
      <c r="UJ90" s="272"/>
      <c r="UK90" s="272"/>
      <c r="UL90" s="272"/>
      <c r="UM90" s="272"/>
      <c r="UN90" s="272"/>
      <c r="UO90" s="272"/>
      <c r="UP90" s="272"/>
      <c r="UQ90" s="272"/>
      <c r="UR90" s="272"/>
      <c r="US90" s="272"/>
      <c r="UT90" s="272"/>
      <c r="UU90" s="272"/>
      <c r="UV90" s="272"/>
      <c r="UW90" s="272"/>
      <c r="UX90" s="272"/>
      <c r="UY90" s="272"/>
      <c r="UZ90" s="272"/>
      <c r="VA90" s="272"/>
      <c r="VB90" s="272"/>
      <c r="VC90" s="272"/>
      <c r="VD90" s="272"/>
      <c r="VE90" s="272"/>
      <c r="VF90" s="272"/>
      <c r="VG90" s="272"/>
      <c r="VH90" s="272"/>
      <c r="VI90" s="272"/>
      <c r="VJ90" s="272"/>
      <c r="VK90" s="272"/>
      <c r="VL90" s="272"/>
      <c r="VM90" s="272"/>
      <c r="VN90" s="272"/>
      <c r="VO90" s="272"/>
      <c r="VP90" s="272"/>
      <c r="VQ90" s="272"/>
      <c r="VR90" s="272"/>
      <c r="VS90" s="272"/>
      <c r="VT90" s="272"/>
      <c r="VU90" s="272"/>
      <c r="VV90" s="272"/>
      <c r="VW90" s="272"/>
      <c r="VX90" s="272"/>
      <c r="VY90" s="272"/>
      <c r="VZ90" s="272"/>
      <c r="WA90" s="272"/>
      <c r="WB90" s="272"/>
      <c r="WC90" s="272"/>
      <c r="WD90" s="272"/>
      <c r="WE90" s="272"/>
      <c r="WF90" s="272"/>
      <c r="WG90" s="272"/>
      <c r="WH90" s="272"/>
      <c r="WI90" s="272"/>
      <c r="WJ90" s="272"/>
      <c r="WK90" s="272"/>
      <c r="WL90" s="272"/>
      <c r="WM90" s="272"/>
      <c r="WN90" s="272"/>
      <c r="WO90" s="272"/>
      <c r="WP90" s="272"/>
      <c r="WQ90" s="272"/>
      <c r="WR90" s="272"/>
      <c r="WS90" s="272"/>
      <c r="WT90" s="272"/>
      <c r="WU90" s="272"/>
      <c r="WV90" s="272"/>
      <c r="WW90" s="272"/>
      <c r="WX90" s="272"/>
      <c r="WY90" s="272"/>
      <c r="WZ90" s="272"/>
      <c r="XA90" s="272"/>
      <c r="XB90" s="272"/>
      <c r="XC90" s="272"/>
      <c r="XD90" s="272"/>
      <c r="XE90" s="272"/>
      <c r="XF90" s="272"/>
      <c r="XG90" s="272"/>
      <c r="XH90" s="272"/>
      <c r="XI90" s="272"/>
      <c r="XJ90" s="272"/>
      <c r="XK90" s="272"/>
      <c r="XL90" s="272"/>
      <c r="XM90" s="272"/>
      <c r="XN90" s="272"/>
      <c r="XO90" s="272"/>
      <c r="XP90" s="272"/>
      <c r="XQ90" s="272"/>
      <c r="XR90" s="272"/>
      <c r="XS90" s="272"/>
      <c r="XT90" s="272"/>
      <c r="XU90" s="272"/>
      <c r="XV90" s="272"/>
      <c r="XW90" s="272"/>
      <c r="XX90" s="272"/>
      <c r="XY90" s="272"/>
      <c r="XZ90" s="272"/>
      <c r="YA90" s="272"/>
      <c r="YB90" s="272"/>
      <c r="YC90" s="272"/>
      <c r="YD90" s="272"/>
      <c r="YE90" s="272"/>
      <c r="YF90" s="272"/>
      <c r="YG90" s="272"/>
      <c r="YH90" s="272"/>
      <c r="YI90" s="272"/>
      <c r="YJ90" s="272"/>
      <c r="YK90" s="272"/>
      <c r="YL90" s="272"/>
      <c r="YM90" s="272"/>
      <c r="YN90" s="272"/>
      <c r="YO90" s="272"/>
      <c r="YP90" s="272"/>
      <c r="YQ90" s="272"/>
      <c r="YR90" s="272"/>
      <c r="YS90" s="272"/>
      <c r="YT90" s="272"/>
      <c r="YU90" s="272"/>
      <c r="YV90" s="272"/>
      <c r="YW90" s="272"/>
      <c r="YX90" s="272"/>
      <c r="YY90" s="272"/>
      <c r="YZ90" s="272"/>
      <c r="ZA90" s="272"/>
      <c r="ZB90" s="272"/>
      <c r="ZC90" s="272"/>
      <c r="ZD90" s="272"/>
      <c r="ZE90" s="272"/>
      <c r="ZF90" s="272"/>
      <c r="ZG90" s="272"/>
      <c r="ZH90" s="272"/>
      <c r="ZI90" s="272"/>
      <c r="ZJ90" s="272"/>
      <c r="ZK90" s="272"/>
      <c r="ZL90" s="272"/>
      <c r="ZM90" s="272"/>
      <c r="ZN90" s="272"/>
      <c r="ZO90" s="272"/>
      <c r="ZP90" s="272"/>
      <c r="ZQ90" s="272"/>
      <c r="ZR90" s="272"/>
      <c r="ZS90" s="272"/>
      <c r="ZT90" s="272"/>
      <c r="ZU90" s="272"/>
      <c r="ZV90" s="272"/>
      <c r="ZW90" s="272"/>
      <c r="ZX90" s="272"/>
      <c r="ZY90" s="272"/>
      <c r="ZZ90" s="272"/>
      <c r="AAA90" s="272"/>
      <c r="AAB90" s="272"/>
      <c r="AAC90" s="272"/>
      <c r="AAD90" s="272"/>
      <c r="AAE90" s="272"/>
      <c r="AAF90" s="272"/>
      <c r="AAG90" s="272"/>
      <c r="AAH90" s="272"/>
      <c r="AAI90" s="272"/>
      <c r="AAJ90" s="272"/>
      <c r="AAK90" s="272"/>
      <c r="AAL90" s="272"/>
      <c r="AAM90" s="272"/>
      <c r="AAN90" s="272"/>
      <c r="AAO90" s="272"/>
      <c r="AAP90" s="272"/>
      <c r="AAQ90" s="272"/>
      <c r="AAR90" s="272"/>
      <c r="AAS90" s="272"/>
      <c r="AAT90" s="272"/>
      <c r="AAU90" s="272"/>
      <c r="AAV90" s="272"/>
      <c r="AAW90" s="272"/>
      <c r="AAX90" s="272"/>
      <c r="AAY90" s="272"/>
      <c r="AAZ90" s="272"/>
      <c r="ABA90" s="272"/>
      <c r="ABB90" s="272"/>
      <c r="ABC90" s="272"/>
      <c r="ABD90" s="272"/>
      <c r="ABE90" s="272"/>
      <c r="ABF90" s="272"/>
      <c r="ABG90" s="272"/>
    </row>
    <row r="91" spans="1:735" s="62" customFormat="1" ht="13.5" thickBot="1">
      <c r="A91" s="48"/>
      <c r="B91" s="75"/>
      <c r="C91" s="58" t="s">
        <v>54</v>
      </c>
      <c r="D91" s="58"/>
      <c r="E91" s="60"/>
      <c r="F91" s="264"/>
      <c r="G91" s="389"/>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2"/>
      <c r="CC91" s="272"/>
      <c r="CD91" s="272"/>
      <c r="CE91" s="272"/>
      <c r="CF91" s="272"/>
      <c r="CG91" s="272"/>
      <c r="CH91" s="272"/>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2"/>
      <c r="EB91" s="272"/>
      <c r="EC91" s="272"/>
      <c r="ED91" s="272"/>
      <c r="EE91" s="272"/>
      <c r="EF91" s="272"/>
      <c r="EG91" s="272"/>
      <c r="EH91" s="272"/>
      <c r="EI91" s="272"/>
      <c r="EJ91" s="272"/>
      <c r="EK91" s="272"/>
      <c r="EL91" s="272"/>
      <c r="EM91" s="272"/>
      <c r="EN91" s="272"/>
      <c r="EO91" s="272"/>
      <c r="EP91" s="272"/>
      <c r="EQ91" s="272"/>
      <c r="ER91" s="272"/>
      <c r="ES91" s="272"/>
      <c r="ET91" s="272"/>
      <c r="EU91" s="272"/>
      <c r="EV91" s="272"/>
      <c r="EW91" s="272"/>
      <c r="EX91" s="272"/>
      <c r="EY91" s="272"/>
      <c r="EZ91" s="272"/>
      <c r="FA91" s="272"/>
      <c r="FB91" s="272"/>
      <c r="FC91" s="272"/>
      <c r="FD91" s="272"/>
      <c r="FE91" s="272"/>
      <c r="FF91" s="272"/>
      <c r="FG91" s="272"/>
      <c r="FH91" s="272"/>
      <c r="FI91" s="272"/>
      <c r="FJ91" s="272"/>
      <c r="FK91" s="272"/>
      <c r="FL91" s="272"/>
      <c r="FM91" s="272"/>
      <c r="FN91" s="272"/>
      <c r="FO91" s="272"/>
      <c r="FP91" s="272"/>
      <c r="FQ91" s="272"/>
      <c r="FR91" s="272"/>
      <c r="FS91" s="272"/>
      <c r="FT91" s="272"/>
      <c r="FU91" s="272"/>
      <c r="FV91" s="272"/>
      <c r="FW91" s="272"/>
      <c r="FX91" s="272"/>
      <c r="FY91" s="272"/>
      <c r="FZ91" s="272"/>
      <c r="GA91" s="272"/>
      <c r="GB91" s="272"/>
      <c r="GC91" s="272"/>
      <c r="GD91" s="272"/>
      <c r="GE91" s="272"/>
      <c r="GF91" s="272"/>
      <c r="GG91" s="272"/>
      <c r="GH91" s="272"/>
      <c r="GI91" s="272"/>
      <c r="GJ91" s="272"/>
      <c r="GK91" s="272"/>
      <c r="GL91" s="272"/>
      <c r="GM91" s="272"/>
      <c r="GN91" s="272"/>
      <c r="GO91" s="272"/>
      <c r="GP91" s="272"/>
      <c r="GQ91" s="272"/>
      <c r="GR91" s="272"/>
      <c r="GS91" s="272"/>
      <c r="GT91" s="272"/>
      <c r="GU91" s="272"/>
      <c r="GV91" s="272"/>
      <c r="GW91" s="272"/>
      <c r="GX91" s="272"/>
      <c r="GY91" s="272"/>
      <c r="GZ91" s="272"/>
      <c r="HA91" s="272"/>
      <c r="HB91" s="272"/>
      <c r="HC91" s="272"/>
      <c r="HD91" s="272"/>
      <c r="HE91" s="272"/>
      <c r="HF91" s="272"/>
      <c r="HG91" s="272"/>
      <c r="HH91" s="272"/>
      <c r="HI91" s="272"/>
      <c r="HJ91" s="272"/>
      <c r="HK91" s="272"/>
      <c r="HL91" s="272"/>
      <c r="HM91" s="272"/>
      <c r="HN91" s="272"/>
      <c r="HO91" s="272"/>
      <c r="HP91" s="272"/>
      <c r="HQ91" s="272"/>
      <c r="HR91" s="272"/>
      <c r="HS91" s="272"/>
      <c r="HT91" s="272"/>
      <c r="HU91" s="272"/>
      <c r="HV91" s="272"/>
      <c r="HW91" s="272"/>
      <c r="HX91" s="272"/>
      <c r="HY91" s="272"/>
      <c r="HZ91" s="272"/>
      <c r="IA91" s="272"/>
      <c r="IB91" s="272"/>
      <c r="IC91" s="272"/>
      <c r="ID91" s="272"/>
      <c r="IE91" s="272"/>
      <c r="IF91" s="272"/>
      <c r="IG91" s="272"/>
      <c r="IH91" s="272"/>
      <c r="II91" s="272"/>
      <c r="IJ91" s="272"/>
      <c r="IK91" s="272"/>
      <c r="IL91" s="272"/>
      <c r="IM91" s="272"/>
      <c r="IN91" s="272"/>
      <c r="IO91" s="272"/>
      <c r="IP91" s="272"/>
      <c r="IQ91" s="272"/>
      <c r="IR91" s="272"/>
      <c r="IS91" s="272"/>
      <c r="IT91" s="272"/>
      <c r="IU91" s="272"/>
      <c r="IV91" s="272"/>
      <c r="IW91" s="272"/>
      <c r="IX91" s="272"/>
      <c r="IY91" s="272"/>
      <c r="IZ91" s="272"/>
      <c r="JA91" s="272"/>
      <c r="JB91" s="272"/>
      <c r="JC91" s="272"/>
      <c r="JD91" s="272"/>
      <c r="JE91" s="272"/>
      <c r="JF91" s="272"/>
      <c r="JG91" s="272"/>
      <c r="JH91" s="272"/>
      <c r="JI91" s="272"/>
      <c r="JJ91" s="272"/>
      <c r="JK91" s="272"/>
      <c r="JL91" s="272"/>
      <c r="JM91" s="272"/>
      <c r="JN91" s="272"/>
      <c r="JO91" s="272"/>
      <c r="JP91" s="272"/>
      <c r="JQ91" s="272"/>
      <c r="JR91" s="272"/>
      <c r="JS91" s="272"/>
      <c r="JT91" s="272"/>
      <c r="JU91" s="272"/>
      <c r="JV91" s="272"/>
      <c r="JW91" s="272"/>
      <c r="JX91" s="272"/>
      <c r="JY91" s="272"/>
      <c r="JZ91" s="272"/>
      <c r="KA91" s="272"/>
      <c r="KB91" s="272"/>
      <c r="KC91" s="272"/>
      <c r="KD91" s="272"/>
      <c r="KE91" s="272"/>
      <c r="KF91" s="272"/>
      <c r="KG91" s="272"/>
      <c r="KH91" s="272"/>
      <c r="KI91" s="272"/>
      <c r="KJ91" s="272"/>
      <c r="KK91" s="272"/>
      <c r="KL91" s="272"/>
      <c r="KM91" s="272"/>
      <c r="KN91" s="272"/>
      <c r="KO91" s="272"/>
      <c r="KP91" s="272"/>
      <c r="KQ91" s="272"/>
      <c r="KR91" s="272"/>
      <c r="KS91" s="272"/>
      <c r="KT91" s="272"/>
      <c r="KU91" s="272"/>
      <c r="KV91" s="272"/>
      <c r="KW91" s="272"/>
      <c r="KX91" s="272"/>
      <c r="KY91" s="272"/>
      <c r="KZ91" s="272"/>
      <c r="LA91" s="272"/>
      <c r="LB91" s="272"/>
      <c r="LC91" s="272"/>
      <c r="LD91" s="272"/>
      <c r="LE91" s="272"/>
      <c r="LF91" s="272"/>
      <c r="LG91" s="272"/>
      <c r="LH91" s="272"/>
      <c r="LI91" s="272"/>
      <c r="LJ91" s="272"/>
      <c r="LK91" s="272"/>
      <c r="LL91" s="272"/>
      <c r="LM91" s="272"/>
      <c r="LN91" s="272"/>
      <c r="LO91" s="272"/>
      <c r="LP91" s="272"/>
      <c r="LQ91" s="272"/>
      <c r="LR91" s="272"/>
      <c r="LS91" s="272"/>
      <c r="LT91" s="272"/>
      <c r="LU91" s="272"/>
      <c r="LV91" s="272"/>
      <c r="LW91" s="272"/>
      <c r="LX91" s="272"/>
      <c r="LY91" s="272"/>
      <c r="LZ91" s="272"/>
      <c r="MA91" s="272"/>
      <c r="MB91" s="272"/>
      <c r="MC91" s="272"/>
      <c r="MD91" s="272"/>
      <c r="ME91" s="272"/>
      <c r="MF91" s="272"/>
      <c r="MG91" s="272"/>
      <c r="MH91" s="272"/>
      <c r="MI91" s="272"/>
      <c r="MJ91" s="272"/>
      <c r="MK91" s="272"/>
      <c r="ML91" s="272"/>
      <c r="MM91" s="272"/>
      <c r="MN91" s="272"/>
      <c r="MO91" s="272"/>
      <c r="MP91" s="272"/>
      <c r="MQ91" s="272"/>
      <c r="MR91" s="272"/>
      <c r="MS91" s="272"/>
      <c r="MT91" s="272"/>
      <c r="MU91" s="272"/>
      <c r="MV91" s="272"/>
      <c r="MW91" s="272"/>
      <c r="MX91" s="272"/>
      <c r="MY91" s="272"/>
      <c r="MZ91" s="272"/>
      <c r="NA91" s="272"/>
      <c r="NB91" s="272"/>
      <c r="NC91" s="272"/>
      <c r="ND91" s="272"/>
      <c r="NE91" s="272"/>
      <c r="NF91" s="272"/>
      <c r="NG91" s="272"/>
      <c r="NH91" s="272"/>
      <c r="NI91" s="272"/>
      <c r="NJ91" s="272"/>
      <c r="NK91" s="272"/>
      <c r="NL91" s="272"/>
      <c r="NM91" s="272"/>
      <c r="NN91" s="272"/>
      <c r="NO91" s="272"/>
      <c r="NP91" s="272"/>
      <c r="NQ91" s="272"/>
      <c r="NR91" s="272"/>
      <c r="NS91" s="272"/>
      <c r="NT91" s="272"/>
      <c r="NU91" s="272"/>
      <c r="NV91" s="272"/>
      <c r="NW91" s="272"/>
      <c r="NX91" s="272"/>
      <c r="NY91" s="272"/>
      <c r="NZ91" s="272"/>
      <c r="OA91" s="272"/>
      <c r="OB91" s="272"/>
      <c r="OC91" s="272"/>
      <c r="OD91" s="272"/>
      <c r="OE91" s="272"/>
      <c r="OF91" s="272"/>
      <c r="OG91" s="272"/>
      <c r="OH91" s="272"/>
      <c r="OI91" s="272"/>
      <c r="OJ91" s="272"/>
      <c r="OK91" s="272"/>
      <c r="OL91" s="272"/>
      <c r="OM91" s="272"/>
      <c r="ON91" s="272"/>
      <c r="OO91" s="272"/>
      <c r="OP91" s="272"/>
      <c r="OQ91" s="272"/>
      <c r="OR91" s="272"/>
      <c r="OS91" s="272"/>
      <c r="OT91" s="272"/>
      <c r="OU91" s="272"/>
      <c r="OV91" s="272"/>
      <c r="OW91" s="272"/>
      <c r="OX91" s="272"/>
      <c r="OY91" s="272"/>
      <c r="OZ91" s="272"/>
      <c r="PA91" s="272"/>
      <c r="PB91" s="272"/>
      <c r="PC91" s="272"/>
      <c r="PD91" s="272"/>
      <c r="PE91" s="272"/>
      <c r="PF91" s="272"/>
      <c r="PG91" s="272"/>
      <c r="PH91" s="272"/>
      <c r="PI91" s="272"/>
      <c r="PJ91" s="272"/>
      <c r="PK91" s="272"/>
      <c r="PL91" s="272"/>
      <c r="PM91" s="272"/>
      <c r="PN91" s="272"/>
      <c r="PO91" s="272"/>
      <c r="PP91" s="272"/>
      <c r="PQ91" s="272"/>
      <c r="PR91" s="272"/>
      <c r="PS91" s="272"/>
      <c r="PT91" s="272"/>
      <c r="PU91" s="272"/>
      <c r="PV91" s="272"/>
      <c r="PW91" s="272"/>
      <c r="PX91" s="272"/>
      <c r="PY91" s="272"/>
      <c r="PZ91" s="272"/>
      <c r="QA91" s="272"/>
      <c r="QB91" s="272"/>
      <c r="QC91" s="272"/>
      <c r="QD91" s="272"/>
      <c r="QE91" s="272"/>
      <c r="QF91" s="272"/>
      <c r="QG91" s="272"/>
      <c r="QH91" s="272"/>
      <c r="QI91" s="272"/>
      <c r="QJ91" s="272"/>
      <c r="QK91" s="272"/>
      <c r="QL91" s="272"/>
      <c r="QM91" s="272"/>
      <c r="QN91" s="272"/>
      <c r="QO91" s="272"/>
      <c r="QP91" s="272"/>
      <c r="QQ91" s="272"/>
      <c r="QR91" s="272"/>
      <c r="QS91" s="272"/>
      <c r="QT91" s="272"/>
      <c r="QU91" s="272"/>
      <c r="QV91" s="272"/>
      <c r="QW91" s="272"/>
      <c r="QX91" s="272"/>
      <c r="QY91" s="272"/>
      <c r="QZ91" s="272"/>
      <c r="RA91" s="272"/>
      <c r="RB91" s="272"/>
      <c r="RC91" s="272"/>
      <c r="RD91" s="272"/>
      <c r="RE91" s="272"/>
      <c r="RF91" s="272"/>
      <c r="RG91" s="272"/>
      <c r="RH91" s="272"/>
      <c r="RI91" s="272"/>
      <c r="RJ91" s="272"/>
      <c r="RK91" s="272"/>
      <c r="RL91" s="272"/>
      <c r="RM91" s="272"/>
      <c r="RN91" s="272"/>
      <c r="RO91" s="272"/>
      <c r="RP91" s="272"/>
      <c r="RQ91" s="272"/>
      <c r="RR91" s="272"/>
      <c r="RS91" s="272"/>
      <c r="RT91" s="272"/>
      <c r="RU91" s="272"/>
      <c r="RV91" s="272"/>
      <c r="RW91" s="272"/>
      <c r="RX91" s="272"/>
      <c r="RY91" s="272"/>
      <c r="RZ91" s="272"/>
      <c r="SA91" s="272"/>
      <c r="SB91" s="272"/>
      <c r="SC91" s="272"/>
      <c r="SD91" s="272"/>
      <c r="SE91" s="272"/>
      <c r="SF91" s="272"/>
      <c r="SG91" s="272"/>
      <c r="SH91" s="272"/>
      <c r="SI91" s="272"/>
      <c r="SJ91" s="272"/>
      <c r="SK91" s="272"/>
      <c r="SL91" s="272"/>
      <c r="SM91" s="272"/>
      <c r="SN91" s="272"/>
      <c r="SO91" s="272"/>
      <c r="SP91" s="272"/>
      <c r="SQ91" s="272"/>
      <c r="SR91" s="272"/>
      <c r="SS91" s="272"/>
      <c r="ST91" s="272"/>
      <c r="SU91" s="272"/>
      <c r="SV91" s="272"/>
      <c r="SW91" s="272"/>
      <c r="SX91" s="272"/>
      <c r="SY91" s="272"/>
      <c r="SZ91" s="272"/>
      <c r="TA91" s="272"/>
      <c r="TB91" s="272"/>
      <c r="TC91" s="272"/>
      <c r="TD91" s="272"/>
      <c r="TE91" s="272"/>
      <c r="TF91" s="272"/>
      <c r="TG91" s="272"/>
      <c r="TH91" s="272"/>
      <c r="TI91" s="272"/>
      <c r="TJ91" s="272"/>
      <c r="TK91" s="272"/>
      <c r="TL91" s="272"/>
      <c r="TM91" s="272"/>
      <c r="TN91" s="272"/>
      <c r="TO91" s="272"/>
      <c r="TP91" s="272"/>
      <c r="TQ91" s="272"/>
      <c r="TR91" s="272"/>
      <c r="TS91" s="272"/>
      <c r="TT91" s="272"/>
      <c r="TU91" s="272"/>
      <c r="TV91" s="272"/>
      <c r="TW91" s="272"/>
      <c r="TX91" s="272"/>
      <c r="TY91" s="272"/>
      <c r="TZ91" s="272"/>
      <c r="UA91" s="272"/>
      <c r="UB91" s="272"/>
      <c r="UC91" s="272"/>
      <c r="UD91" s="272"/>
      <c r="UE91" s="272"/>
      <c r="UF91" s="272"/>
      <c r="UG91" s="272"/>
      <c r="UH91" s="272"/>
      <c r="UI91" s="272"/>
      <c r="UJ91" s="272"/>
      <c r="UK91" s="272"/>
      <c r="UL91" s="272"/>
      <c r="UM91" s="272"/>
      <c r="UN91" s="272"/>
      <c r="UO91" s="272"/>
      <c r="UP91" s="272"/>
      <c r="UQ91" s="272"/>
      <c r="UR91" s="272"/>
      <c r="US91" s="272"/>
      <c r="UT91" s="272"/>
      <c r="UU91" s="272"/>
      <c r="UV91" s="272"/>
      <c r="UW91" s="272"/>
      <c r="UX91" s="272"/>
      <c r="UY91" s="272"/>
      <c r="UZ91" s="272"/>
      <c r="VA91" s="272"/>
      <c r="VB91" s="272"/>
      <c r="VC91" s="272"/>
      <c r="VD91" s="272"/>
      <c r="VE91" s="272"/>
      <c r="VF91" s="272"/>
      <c r="VG91" s="272"/>
      <c r="VH91" s="272"/>
      <c r="VI91" s="272"/>
      <c r="VJ91" s="272"/>
      <c r="VK91" s="272"/>
      <c r="VL91" s="272"/>
      <c r="VM91" s="272"/>
      <c r="VN91" s="272"/>
      <c r="VO91" s="272"/>
      <c r="VP91" s="272"/>
      <c r="VQ91" s="272"/>
      <c r="VR91" s="272"/>
      <c r="VS91" s="272"/>
      <c r="VT91" s="272"/>
      <c r="VU91" s="272"/>
      <c r="VV91" s="272"/>
      <c r="VW91" s="272"/>
      <c r="VX91" s="272"/>
      <c r="VY91" s="272"/>
      <c r="VZ91" s="272"/>
      <c r="WA91" s="272"/>
      <c r="WB91" s="272"/>
      <c r="WC91" s="272"/>
      <c r="WD91" s="272"/>
      <c r="WE91" s="272"/>
      <c r="WF91" s="272"/>
      <c r="WG91" s="272"/>
      <c r="WH91" s="272"/>
      <c r="WI91" s="272"/>
      <c r="WJ91" s="272"/>
      <c r="WK91" s="272"/>
      <c r="WL91" s="272"/>
      <c r="WM91" s="272"/>
      <c r="WN91" s="272"/>
      <c r="WO91" s="272"/>
      <c r="WP91" s="272"/>
      <c r="WQ91" s="272"/>
      <c r="WR91" s="272"/>
      <c r="WS91" s="272"/>
      <c r="WT91" s="272"/>
      <c r="WU91" s="272"/>
      <c r="WV91" s="272"/>
      <c r="WW91" s="272"/>
      <c r="WX91" s="272"/>
      <c r="WY91" s="272"/>
      <c r="WZ91" s="272"/>
      <c r="XA91" s="272"/>
      <c r="XB91" s="272"/>
      <c r="XC91" s="272"/>
      <c r="XD91" s="272"/>
      <c r="XE91" s="272"/>
      <c r="XF91" s="272"/>
      <c r="XG91" s="272"/>
      <c r="XH91" s="272"/>
      <c r="XI91" s="272"/>
      <c r="XJ91" s="272"/>
      <c r="XK91" s="272"/>
      <c r="XL91" s="272"/>
      <c r="XM91" s="272"/>
      <c r="XN91" s="272"/>
      <c r="XO91" s="272"/>
      <c r="XP91" s="272"/>
      <c r="XQ91" s="272"/>
      <c r="XR91" s="272"/>
      <c r="XS91" s="272"/>
      <c r="XT91" s="272"/>
      <c r="XU91" s="272"/>
      <c r="XV91" s="272"/>
      <c r="XW91" s="272"/>
      <c r="XX91" s="272"/>
      <c r="XY91" s="272"/>
      <c r="XZ91" s="272"/>
      <c r="YA91" s="272"/>
      <c r="YB91" s="272"/>
      <c r="YC91" s="272"/>
      <c r="YD91" s="272"/>
      <c r="YE91" s="272"/>
      <c r="YF91" s="272"/>
      <c r="YG91" s="272"/>
      <c r="YH91" s="272"/>
      <c r="YI91" s="272"/>
      <c r="YJ91" s="272"/>
      <c r="YK91" s="272"/>
      <c r="YL91" s="272"/>
      <c r="YM91" s="272"/>
      <c r="YN91" s="272"/>
      <c r="YO91" s="272"/>
      <c r="YP91" s="272"/>
      <c r="YQ91" s="272"/>
      <c r="YR91" s="272"/>
      <c r="YS91" s="272"/>
      <c r="YT91" s="272"/>
      <c r="YU91" s="272"/>
      <c r="YV91" s="272"/>
      <c r="YW91" s="272"/>
      <c r="YX91" s="272"/>
      <c r="YY91" s="272"/>
      <c r="YZ91" s="272"/>
      <c r="ZA91" s="272"/>
      <c r="ZB91" s="272"/>
      <c r="ZC91" s="272"/>
      <c r="ZD91" s="272"/>
      <c r="ZE91" s="272"/>
      <c r="ZF91" s="272"/>
      <c r="ZG91" s="272"/>
      <c r="ZH91" s="272"/>
      <c r="ZI91" s="272"/>
      <c r="ZJ91" s="272"/>
      <c r="ZK91" s="272"/>
      <c r="ZL91" s="272"/>
      <c r="ZM91" s="272"/>
      <c r="ZN91" s="272"/>
      <c r="ZO91" s="272"/>
      <c r="ZP91" s="272"/>
      <c r="ZQ91" s="272"/>
      <c r="ZR91" s="272"/>
      <c r="ZS91" s="272"/>
      <c r="ZT91" s="272"/>
      <c r="ZU91" s="272"/>
      <c r="ZV91" s="272"/>
      <c r="ZW91" s="272"/>
      <c r="ZX91" s="272"/>
      <c r="ZY91" s="272"/>
      <c r="ZZ91" s="272"/>
      <c r="AAA91" s="272"/>
      <c r="AAB91" s="272"/>
      <c r="AAC91" s="272"/>
      <c r="AAD91" s="272"/>
      <c r="AAE91" s="272"/>
      <c r="AAF91" s="272"/>
      <c r="AAG91" s="272"/>
      <c r="AAH91" s="272"/>
      <c r="AAI91" s="272"/>
      <c r="AAJ91" s="272"/>
      <c r="AAK91" s="272"/>
      <c r="AAL91" s="272"/>
      <c r="AAM91" s="272"/>
      <c r="AAN91" s="272"/>
      <c r="AAO91" s="272"/>
      <c r="AAP91" s="272"/>
      <c r="AAQ91" s="272"/>
      <c r="AAR91" s="272"/>
      <c r="AAS91" s="272"/>
      <c r="AAT91" s="272"/>
      <c r="AAU91" s="272"/>
      <c r="AAV91" s="272"/>
      <c r="AAW91" s="272"/>
      <c r="AAX91" s="272"/>
      <c r="AAY91" s="272"/>
      <c r="AAZ91" s="272"/>
      <c r="ABA91" s="272"/>
      <c r="ABB91" s="272"/>
      <c r="ABC91" s="272"/>
      <c r="ABD91" s="272"/>
      <c r="ABE91" s="272"/>
      <c r="ABF91" s="272"/>
      <c r="ABG91" s="272"/>
    </row>
    <row r="92" spans="1:735" s="61" customFormat="1" ht="51.75" hidden="1" thickBot="1">
      <c r="A92" s="46" t="s">
        <v>15</v>
      </c>
      <c r="B92" s="52" t="s">
        <v>67</v>
      </c>
      <c r="C92" s="30" t="s">
        <v>52</v>
      </c>
      <c r="D92" s="34"/>
      <c r="E92" s="53"/>
      <c r="F92" s="267"/>
      <c r="G92" s="39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2"/>
      <c r="BX92" s="272"/>
      <c r="BY92" s="272"/>
      <c r="BZ92" s="272"/>
      <c r="CA92" s="272"/>
      <c r="CB92" s="272"/>
      <c r="CC92" s="272"/>
      <c r="CD92" s="272"/>
      <c r="CE92" s="272"/>
      <c r="CF92" s="272"/>
      <c r="CG92" s="272"/>
      <c r="CH92" s="272"/>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272"/>
      <c r="DJ92" s="272"/>
      <c r="DK92" s="272"/>
      <c r="DL92" s="272"/>
      <c r="DM92" s="272"/>
      <c r="DN92" s="272"/>
      <c r="DO92" s="272"/>
      <c r="DP92" s="272"/>
      <c r="DQ92" s="272"/>
      <c r="DR92" s="272"/>
      <c r="DS92" s="272"/>
      <c r="DT92" s="272"/>
      <c r="DU92" s="272"/>
      <c r="DV92" s="272"/>
      <c r="DW92" s="272"/>
      <c r="DX92" s="272"/>
      <c r="DY92" s="272"/>
      <c r="DZ92" s="272"/>
      <c r="EA92" s="272"/>
      <c r="EB92" s="272"/>
      <c r="EC92" s="272"/>
      <c r="ED92" s="272"/>
      <c r="EE92" s="272"/>
      <c r="EF92" s="272"/>
      <c r="EG92" s="272"/>
      <c r="EH92" s="272"/>
      <c r="EI92" s="272"/>
      <c r="EJ92" s="272"/>
      <c r="EK92" s="272"/>
      <c r="EL92" s="272"/>
      <c r="EM92" s="272"/>
      <c r="EN92" s="272"/>
      <c r="EO92" s="272"/>
      <c r="EP92" s="272"/>
      <c r="EQ92" s="272"/>
      <c r="ER92" s="272"/>
      <c r="ES92" s="272"/>
      <c r="ET92" s="272"/>
      <c r="EU92" s="272"/>
      <c r="EV92" s="272"/>
      <c r="EW92" s="272"/>
      <c r="EX92" s="272"/>
      <c r="EY92" s="272"/>
      <c r="EZ92" s="272"/>
      <c r="FA92" s="272"/>
      <c r="FB92" s="272"/>
      <c r="FC92" s="272"/>
      <c r="FD92" s="272"/>
      <c r="FE92" s="272"/>
      <c r="FF92" s="272"/>
      <c r="FG92" s="272"/>
      <c r="FH92" s="272"/>
      <c r="FI92" s="272"/>
      <c r="FJ92" s="272"/>
      <c r="FK92" s="272"/>
      <c r="FL92" s="272"/>
      <c r="FM92" s="272"/>
      <c r="FN92" s="272"/>
      <c r="FO92" s="272"/>
      <c r="FP92" s="272"/>
      <c r="FQ92" s="272"/>
      <c r="FR92" s="272"/>
      <c r="FS92" s="272"/>
      <c r="FT92" s="272"/>
      <c r="FU92" s="272"/>
      <c r="FV92" s="272"/>
      <c r="FW92" s="272"/>
      <c r="FX92" s="272"/>
      <c r="FY92" s="272"/>
      <c r="FZ92" s="272"/>
      <c r="GA92" s="272"/>
      <c r="GB92" s="272"/>
      <c r="GC92" s="272"/>
      <c r="GD92" s="272"/>
      <c r="GE92" s="272"/>
      <c r="GF92" s="272"/>
      <c r="GG92" s="272"/>
      <c r="GH92" s="272"/>
      <c r="GI92" s="272"/>
      <c r="GJ92" s="272"/>
      <c r="GK92" s="272"/>
      <c r="GL92" s="272"/>
      <c r="GM92" s="272"/>
      <c r="GN92" s="272"/>
      <c r="GO92" s="272"/>
      <c r="GP92" s="272"/>
      <c r="GQ92" s="272"/>
      <c r="GR92" s="272"/>
      <c r="GS92" s="272"/>
      <c r="GT92" s="272"/>
      <c r="GU92" s="272"/>
      <c r="GV92" s="272"/>
      <c r="GW92" s="272"/>
      <c r="GX92" s="272"/>
      <c r="GY92" s="272"/>
      <c r="GZ92" s="272"/>
      <c r="HA92" s="272"/>
      <c r="HB92" s="272"/>
      <c r="HC92" s="272"/>
      <c r="HD92" s="272"/>
      <c r="HE92" s="272"/>
      <c r="HF92" s="272"/>
      <c r="HG92" s="272"/>
      <c r="HH92" s="272"/>
      <c r="HI92" s="272"/>
      <c r="HJ92" s="272"/>
      <c r="HK92" s="272"/>
      <c r="HL92" s="272"/>
      <c r="HM92" s="272"/>
      <c r="HN92" s="272"/>
      <c r="HO92" s="272"/>
      <c r="HP92" s="272"/>
      <c r="HQ92" s="272"/>
      <c r="HR92" s="272"/>
      <c r="HS92" s="272"/>
      <c r="HT92" s="272"/>
      <c r="HU92" s="272"/>
      <c r="HV92" s="272"/>
      <c r="HW92" s="272"/>
      <c r="HX92" s="272"/>
      <c r="HY92" s="272"/>
      <c r="HZ92" s="272"/>
      <c r="IA92" s="272"/>
      <c r="IB92" s="272"/>
      <c r="IC92" s="272"/>
      <c r="ID92" s="272"/>
      <c r="IE92" s="272"/>
      <c r="IF92" s="272"/>
      <c r="IG92" s="272"/>
      <c r="IH92" s="272"/>
      <c r="II92" s="272"/>
      <c r="IJ92" s="272"/>
      <c r="IK92" s="272"/>
      <c r="IL92" s="272"/>
      <c r="IM92" s="272"/>
      <c r="IN92" s="272"/>
      <c r="IO92" s="272"/>
      <c r="IP92" s="272"/>
      <c r="IQ92" s="272"/>
      <c r="IR92" s="272"/>
      <c r="IS92" s="272"/>
      <c r="IT92" s="272"/>
      <c r="IU92" s="272"/>
      <c r="IV92" s="272"/>
      <c r="IW92" s="272"/>
      <c r="IX92" s="272"/>
      <c r="IY92" s="272"/>
      <c r="IZ92" s="272"/>
      <c r="JA92" s="272"/>
      <c r="JB92" s="272"/>
      <c r="JC92" s="272"/>
      <c r="JD92" s="272"/>
      <c r="JE92" s="272"/>
      <c r="JF92" s="272"/>
      <c r="JG92" s="272"/>
      <c r="JH92" s="272"/>
      <c r="JI92" s="272"/>
      <c r="JJ92" s="272"/>
      <c r="JK92" s="272"/>
      <c r="JL92" s="272"/>
      <c r="JM92" s="272"/>
      <c r="JN92" s="272"/>
      <c r="JO92" s="272"/>
      <c r="JP92" s="272"/>
      <c r="JQ92" s="272"/>
      <c r="JR92" s="272"/>
      <c r="JS92" s="272"/>
      <c r="JT92" s="272"/>
      <c r="JU92" s="272"/>
      <c r="JV92" s="272"/>
      <c r="JW92" s="272"/>
      <c r="JX92" s="272"/>
      <c r="JY92" s="272"/>
      <c r="JZ92" s="272"/>
      <c r="KA92" s="272"/>
      <c r="KB92" s="272"/>
      <c r="KC92" s="272"/>
      <c r="KD92" s="272"/>
      <c r="KE92" s="272"/>
      <c r="KF92" s="272"/>
      <c r="KG92" s="272"/>
      <c r="KH92" s="272"/>
      <c r="KI92" s="272"/>
      <c r="KJ92" s="272"/>
      <c r="KK92" s="272"/>
      <c r="KL92" s="272"/>
      <c r="KM92" s="272"/>
      <c r="KN92" s="272"/>
      <c r="KO92" s="272"/>
      <c r="KP92" s="272"/>
      <c r="KQ92" s="272"/>
      <c r="KR92" s="272"/>
      <c r="KS92" s="272"/>
      <c r="KT92" s="272"/>
      <c r="KU92" s="272"/>
      <c r="KV92" s="272"/>
      <c r="KW92" s="272"/>
      <c r="KX92" s="272"/>
      <c r="KY92" s="272"/>
      <c r="KZ92" s="272"/>
      <c r="LA92" s="272"/>
      <c r="LB92" s="272"/>
      <c r="LC92" s="272"/>
      <c r="LD92" s="272"/>
      <c r="LE92" s="272"/>
      <c r="LF92" s="272"/>
      <c r="LG92" s="272"/>
      <c r="LH92" s="272"/>
      <c r="LI92" s="272"/>
      <c r="LJ92" s="272"/>
      <c r="LK92" s="272"/>
      <c r="LL92" s="272"/>
      <c r="LM92" s="272"/>
      <c r="LN92" s="272"/>
      <c r="LO92" s="272"/>
      <c r="LP92" s="272"/>
      <c r="LQ92" s="272"/>
      <c r="LR92" s="272"/>
      <c r="LS92" s="272"/>
      <c r="LT92" s="272"/>
      <c r="LU92" s="272"/>
      <c r="LV92" s="272"/>
      <c r="LW92" s="272"/>
      <c r="LX92" s="272"/>
      <c r="LY92" s="272"/>
      <c r="LZ92" s="272"/>
      <c r="MA92" s="272"/>
      <c r="MB92" s="272"/>
      <c r="MC92" s="272"/>
      <c r="MD92" s="272"/>
      <c r="ME92" s="272"/>
      <c r="MF92" s="272"/>
      <c r="MG92" s="272"/>
      <c r="MH92" s="272"/>
      <c r="MI92" s="272"/>
      <c r="MJ92" s="272"/>
      <c r="MK92" s="272"/>
      <c r="ML92" s="272"/>
      <c r="MM92" s="272"/>
      <c r="MN92" s="272"/>
      <c r="MO92" s="272"/>
      <c r="MP92" s="272"/>
      <c r="MQ92" s="272"/>
      <c r="MR92" s="272"/>
      <c r="MS92" s="272"/>
      <c r="MT92" s="272"/>
      <c r="MU92" s="272"/>
      <c r="MV92" s="272"/>
      <c r="MW92" s="272"/>
      <c r="MX92" s="272"/>
      <c r="MY92" s="272"/>
      <c r="MZ92" s="272"/>
      <c r="NA92" s="272"/>
      <c r="NB92" s="272"/>
      <c r="NC92" s="272"/>
      <c r="ND92" s="272"/>
      <c r="NE92" s="272"/>
      <c r="NF92" s="272"/>
      <c r="NG92" s="272"/>
      <c r="NH92" s="272"/>
      <c r="NI92" s="272"/>
      <c r="NJ92" s="272"/>
      <c r="NK92" s="272"/>
      <c r="NL92" s="272"/>
      <c r="NM92" s="272"/>
      <c r="NN92" s="272"/>
      <c r="NO92" s="272"/>
      <c r="NP92" s="272"/>
      <c r="NQ92" s="272"/>
      <c r="NR92" s="272"/>
      <c r="NS92" s="272"/>
      <c r="NT92" s="272"/>
      <c r="NU92" s="272"/>
      <c r="NV92" s="272"/>
      <c r="NW92" s="272"/>
      <c r="NX92" s="272"/>
      <c r="NY92" s="272"/>
      <c r="NZ92" s="272"/>
      <c r="OA92" s="272"/>
      <c r="OB92" s="272"/>
      <c r="OC92" s="272"/>
      <c r="OD92" s="272"/>
      <c r="OE92" s="272"/>
      <c r="OF92" s="272"/>
      <c r="OG92" s="272"/>
      <c r="OH92" s="272"/>
      <c r="OI92" s="272"/>
      <c r="OJ92" s="272"/>
      <c r="OK92" s="272"/>
      <c r="OL92" s="272"/>
      <c r="OM92" s="272"/>
      <c r="ON92" s="272"/>
      <c r="OO92" s="272"/>
      <c r="OP92" s="272"/>
      <c r="OQ92" s="272"/>
      <c r="OR92" s="272"/>
      <c r="OS92" s="272"/>
      <c r="OT92" s="272"/>
      <c r="OU92" s="272"/>
      <c r="OV92" s="272"/>
      <c r="OW92" s="272"/>
      <c r="OX92" s="272"/>
      <c r="OY92" s="272"/>
      <c r="OZ92" s="272"/>
      <c r="PA92" s="272"/>
      <c r="PB92" s="272"/>
      <c r="PC92" s="272"/>
      <c r="PD92" s="272"/>
      <c r="PE92" s="272"/>
      <c r="PF92" s="272"/>
      <c r="PG92" s="272"/>
      <c r="PH92" s="272"/>
      <c r="PI92" s="272"/>
      <c r="PJ92" s="272"/>
      <c r="PK92" s="272"/>
      <c r="PL92" s="272"/>
      <c r="PM92" s="272"/>
      <c r="PN92" s="272"/>
      <c r="PO92" s="272"/>
      <c r="PP92" s="272"/>
      <c r="PQ92" s="272"/>
      <c r="PR92" s="272"/>
      <c r="PS92" s="272"/>
      <c r="PT92" s="272"/>
      <c r="PU92" s="272"/>
      <c r="PV92" s="272"/>
      <c r="PW92" s="272"/>
      <c r="PX92" s="272"/>
      <c r="PY92" s="272"/>
      <c r="PZ92" s="272"/>
      <c r="QA92" s="272"/>
      <c r="QB92" s="272"/>
      <c r="QC92" s="272"/>
      <c r="QD92" s="272"/>
      <c r="QE92" s="272"/>
      <c r="QF92" s="272"/>
      <c r="QG92" s="272"/>
      <c r="QH92" s="272"/>
      <c r="QI92" s="272"/>
      <c r="QJ92" s="272"/>
      <c r="QK92" s="272"/>
      <c r="QL92" s="272"/>
      <c r="QM92" s="272"/>
      <c r="QN92" s="272"/>
      <c r="QO92" s="272"/>
      <c r="QP92" s="272"/>
      <c r="QQ92" s="272"/>
      <c r="QR92" s="272"/>
      <c r="QS92" s="272"/>
      <c r="QT92" s="272"/>
      <c r="QU92" s="272"/>
      <c r="QV92" s="272"/>
      <c r="QW92" s="272"/>
      <c r="QX92" s="272"/>
      <c r="QY92" s="272"/>
      <c r="QZ92" s="272"/>
      <c r="RA92" s="272"/>
      <c r="RB92" s="272"/>
      <c r="RC92" s="272"/>
      <c r="RD92" s="272"/>
      <c r="RE92" s="272"/>
      <c r="RF92" s="272"/>
      <c r="RG92" s="272"/>
      <c r="RH92" s="272"/>
      <c r="RI92" s="272"/>
      <c r="RJ92" s="272"/>
      <c r="RK92" s="272"/>
      <c r="RL92" s="272"/>
      <c r="RM92" s="272"/>
      <c r="RN92" s="272"/>
      <c r="RO92" s="272"/>
      <c r="RP92" s="272"/>
      <c r="RQ92" s="272"/>
      <c r="RR92" s="272"/>
      <c r="RS92" s="272"/>
      <c r="RT92" s="272"/>
      <c r="RU92" s="272"/>
      <c r="RV92" s="272"/>
      <c r="RW92" s="272"/>
      <c r="RX92" s="272"/>
      <c r="RY92" s="272"/>
      <c r="RZ92" s="272"/>
      <c r="SA92" s="272"/>
      <c r="SB92" s="272"/>
      <c r="SC92" s="272"/>
      <c r="SD92" s="272"/>
      <c r="SE92" s="272"/>
      <c r="SF92" s="272"/>
      <c r="SG92" s="272"/>
      <c r="SH92" s="272"/>
      <c r="SI92" s="272"/>
      <c r="SJ92" s="272"/>
      <c r="SK92" s="272"/>
      <c r="SL92" s="272"/>
      <c r="SM92" s="272"/>
      <c r="SN92" s="272"/>
      <c r="SO92" s="272"/>
      <c r="SP92" s="272"/>
      <c r="SQ92" s="272"/>
      <c r="SR92" s="272"/>
      <c r="SS92" s="272"/>
      <c r="ST92" s="272"/>
      <c r="SU92" s="272"/>
      <c r="SV92" s="272"/>
      <c r="SW92" s="272"/>
      <c r="SX92" s="272"/>
      <c r="SY92" s="272"/>
      <c r="SZ92" s="272"/>
      <c r="TA92" s="272"/>
      <c r="TB92" s="272"/>
      <c r="TC92" s="272"/>
      <c r="TD92" s="272"/>
      <c r="TE92" s="272"/>
      <c r="TF92" s="272"/>
      <c r="TG92" s="272"/>
      <c r="TH92" s="272"/>
      <c r="TI92" s="272"/>
      <c r="TJ92" s="272"/>
      <c r="TK92" s="272"/>
      <c r="TL92" s="272"/>
      <c r="TM92" s="272"/>
      <c r="TN92" s="272"/>
      <c r="TO92" s="272"/>
      <c r="TP92" s="272"/>
      <c r="TQ92" s="272"/>
      <c r="TR92" s="272"/>
      <c r="TS92" s="272"/>
      <c r="TT92" s="272"/>
      <c r="TU92" s="272"/>
      <c r="TV92" s="272"/>
      <c r="TW92" s="272"/>
      <c r="TX92" s="272"/>
      <c r="TY92" s="272"/>
      <c r="TZ92" s="272"/>
      <c r="UA92" s="272"/>
      <c r="UB92" s="272"/>
      <c r="UC92" s="272"/>
      <c r="UD92" s="272"/>
      <c r="UE92" s="272"/>
      <c r="UF92" s="272"/>
      <c r="UG92" s="272"/>
      <c r="UH92" s="272"/>
      <c r="UI92" s="272"/>
      <c r="UJ92" s="272"/>
      <c r="UK92" s="272"/>
      <c r="UL92" s="272"/>
      <c r="UM92" s="272"/>
      <c r="UN92" s="272"/>
      <c r="UO92" s="272"/>
      <c r="UP92" s="272"/>
      <c r="UQ92" s="272"/>
      <c r="UR92" s="272"/>
      <c r="US92" s="272"/>
      <c r="UT92" s="272"/>
      <c r="UU92" s="272"/>
      <c r="UV92" s="272"/>
      <c r="UW92" s="272"/>
      <c r="UX92" s="272"/>
      <c r="UY92" s="272"/>
      <c r="UZ92" s="272"/>
      <c r="VA92" s="272"/>
      <c r="VB92" s="272"/>
      <c r="VC92" s="272"/>
      <c r="VD92" s="272"/>
      <c r="VE92" s="272"/>
      <c r="VF92" s="272"/>
      <c r="VG92" s="272"/>
      <c r="VH92" s="272"/>
      <c r="VI92" s="272"/>
      <c r="VJ92" s="272"/>
      <c r="VK92" s="272"/>
      <c r="VL92" s="272"/>
      <c r="VM92" s="272"/>
      <c r="VN92" s="272"/>
      <c r="VO92" s="272"/>
      <c r="VP92" s="272"/>
      <c r="VQ92" s="272"/>
      <c r="VR92" s="272"/>
      <c r="VS92" s="272"/>
      <c r="VT92" s="272"/>
      <c r="VU92" s="272"/>
      <c r="VV92" s="272"/>
      <c r="VW92" s="272"/>
      <c r="VX92" s="272"/>
      <c r="VY92" s="272"/>
      <c r="VZ92" s="272"/>
      <c r="WA92" s="272"/>
      <c r="WB92" s="272"/>
      <c r="WC92" s="272"/>
      <c r="WD92" s="272"/>
      <c r="WE92" s="272"/>
      <c r="WF92" s="272"/>
      <c r="WG92" s="272"/>
      <c r="WH92" s="272"/>
      <c r="WI92" s="272"/>
      <c r="WJ92" s="272"/>
      <c r="WK92" s="272"/>
      <c r="WL92" s="272"/>
      <c r="WM92" s="272"/>
      <c r="WN92" s="272"/>
      <c r="WO92" s="272"/>
      <c r="WP92" s="272"/>
      <c r="WQ92" s="272"/>
      <c r="WR92" s="272"/>
      <c r="WS92" s="272"/>
      <c r="WT92" s="272"/>
      <c r="WU92" s="272"/>
      <c r="WV92" s="272"/>
      <c r="WW92" s="272"/>
      <c r="WX92" s="272"/>
      <c r="WY92" s="272"/>
      <c r="WZ92" s="272"/>
      <c r="XA92" s="272"/>
      <c r="XB92" s="272"/>
      <c r="XC92" s="272"/>
      <c r="XD92" s="272"/>
      <c r="XE92" s="272"/>
      <c r="XF92" s="272"/>
      <c r="XG92" s="272"/>
      <c r="XH92" s="272"/>
      <c r="XI92" s="272"/>
      <c r="XJ92" s="272"/>
      <c r="XK92" s="272"/>
      <c r="XL92" s="272"/>
      <c r="XM92" s="272"/>
      <c r="XN92" s="272"/>
      <c r="XO92" s="272"/>
      <c r="XP92" s="272"/>
      <c r="XQ92" s="272"/>
      <c r="XR92" s="272"/>
      <c r="XS92" s="272"/>
      <c r="XT92" s="272"/>
      <c r="XU92" s="272"/>
      <c r="XV92" s="272"/>
      <c r="XW92" s="272"/>
      <c r="XX92" s="272"/>
      <c r="XY92" s="272"/>
      <c r="XZ92" s="272"/>
      <c r="YA92" s="272"/>
      <c r="YB92" s="272"/>
      <c r="YC92" s="272"/>
      <c r="YD92" s="272"/>
      <c r="YE92" s="272"/>
      <c r="YF92" s="272"/>
      <c r="YG92" s="272"/>
      <c r="YH92" s="272"/>
      <c r="YI92" s="272"/>
      <c r="YJ92" s="272"/>
      <c r="YK92" s="272"/>
      <c r="YL92" s="272"/>
      <c r="YM92" s="272"/>
      <c r="YN92" s="272"/>
      <c r="YO92" s="272"/>
      <c r="YP92" s="272"/>
      <c r="YQ92" s="272"/>
      <c r="YR92" s="272"/>
      <c r="YS92" s="272"/>
      <c r="YT92" s="272"/>
      <c r="YU92" s="272"/>
      <c r="YV92" s="272"/>
      <c r="YW92" s="272"/>
      <c r="YX92" s="272"/>
      <c r="YY92" s="272"/>
      <c r="YZ92" s="272"/>
      <c r="ZA92" s="272"/>
      <c r="ZB92" s="272"/>
      <c r="ZC92" s="272"/>
      <c r="ZD92" s="272"/>
      <c r="ZE92" s="272"/>
      <c r="ZF92" s="272"/>
      <c r="ZG92" s="272"/>
      <c r="ZH92" s="272"/>
      <c r="ZI92" s="272"/>
      <c r="ZJ92" s="272"/>
      <c r="ZK92" s="272"/>
      <c r="ZL92" s="272"/>
      <c r="ZM92" s="272"/>
      <c r="ZN92" s="272"/>
      <c r="ZO92" s="272"/>
      <c r="ZP92" s="272"/>
      <c r="ZQ92" s="272"/>
      <c r="ZR92" s="272"/>
      <c r="ZS92" s="272"/>
      <c r="ZT92" s="272"/>
      <c r="ZU92" s="272"/>
      <c r="ZV92" s="272"/>
      <c r="ZW92" s="272"/>
      <c r="ZX92" s="272"/>
      <c r="ZY92" s="272"/>
      <c r="ZZ92" s="272"/>
      <c r="AAA92" s="272"/>
      <c r="AAB92" s="272"/>
      <c r="AAC92" s="272"/>
      <c r="AAD92" s="272"/>
      <c r="AAE92" s="272"/>
      <c r="AAF92" s="272"/>
      <c r="AAG92" s="272"/>
      <c r="AAH92" s="272"/>
      <c r="AAI92" s="272"/>
      <c r="AAJ92" s="272"/>
      <c r="AAK92" s="272"/>
      <c r="AAL92" s="272"/>
      <c r="AAM92" s="272"/>
      <c r="AAN92" s="272"/>
      <c r="AAO92" s="272"/>
      <c r="AAP92" s="272"/>
      <c r="AAQ92" s="272"/>
      <c r="AAR92" s="272"/>
      <c r="AAS92" s="272"/>
      <c r="AAT92" s="272"/>
      <c r="AAU92" s="272"/>
      <c r="AAV92" s="272"/>
      <c r="AAW92" s="272"/>
      <c r="AAX92" s="272"/>
      <c r="AAY92" s="272"/>
      <c r="AAZ92" s="272"/>
      <c r="ABA92" s="272"/>
      <c r="ABB92" s="272"/>
      <c r="ABC92" s="272"/>
      <c r="ABD92" s="272"/>
      <c r="ABE92" s="272"/>
      <c r="ABF92" s="272"/>
      <c r="ABG92" s="272"/>
    </row>
    <row r="93" spans="1:735" s="19" customFormat="1" ht="13.5" hidden="1" thickBot="1">
      <c r="A93" s="47"/>
      <c r="B93" s="74"/>
      <c r="C93" s="20" t="s">
        <v>53</v>
      </c>
      <c r="D93" s="22"/>
      <c r="E93" s="54"/>
      <c r="F93" s="268"/>
      <c r="G93" s="393"/>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c r="BU93" s="272"/>
      <c r="BV93" s="272"/>
      <c r="BW93" s="272"/>
      <c r="BX93" s="272"/>
      <c r="BY93" s="272"/>
      <c r="BZ93" s="272"/>
      <c r="CA93" s="272"/>
      <c r="CB93" s="272"/>
      <c r="CC93" s="272"/>
      <c r="CD93" s="272"/>
      <c r="CE93" s="272"/>
      <c r="CF93" s="272"/>
      <c r="CG93" s="272"/>
      <c r="CH93" s="272"/>
      <c r="CI93" s="272"/>
      <c r="CJ93" s="272"/>
      <c r="CK93" s="272"/>
      <c r="CL93" s="272"/>
      <c r="CM93" s="272"/>
      <c r="CN93" s="272"/>
      <c r="CO93" s="272"/>
      <c r="CP93" s="272"/>
      <c r="CQ93" s="272"/>
      <c r="CR93" s="272"/>
      <c r="CS93" s="272"/>
      <c r="CT93" s="272"/>
      <c r="CU93" s="272"/>
      <c r="CV93" s="272"/>
      <c r="CW93" s="272"/>
      <c r="CX93" s="272"/>
      <c r="CY93" s="272"/>
      <c r="CZ93" s="272"/>
      <c r="DA93" s="272"/>
      <c r="DB93" s="272"/>
      <c r="DC93" s="272"/>
      <c r="DD93" s="272"/>
      <c r="DE93" s="272"/>
      <c r="DF93" s="272"/>
      <c r="DG93" s="272"/>
      <c r="DH93" s="272"/>
      <c r="DI93" s="272"/>
      <c r="DJ93" s="272"/>
      <c r="DK93" s="272"/>
      <c r="DL93" s="272"/>
      <c r="DM93" s="272"/>
      <c r="DN93" s="272"/>
      <c r="DO93" s="272"/>
      <c r="DP93" s="272"/>
      <c r="DQ93" s="272"/>
      <c r="DR93" s="272"/>
      <c r="DS93" s="272"/>
      <c r="DT93" s="272"/>
      <c r="DU93" s="272"/>
      <c r="DV93" s="272"/>
      <c r="DW93" s="272"/>
      <c r="DX93" s="272"/>
      <c r="DY93" s="272"/>
      <c r="DZ93" s="272"/>
      <c r="EA93" s="272"/>
      <c r="EB93" s="272"/>
      <c r="EC93" s="272"/>
      <c r="ED93" s="272"/>
      <c r="EE93" s="272"/>
      <c r="EF93" s="272"/>
      <c r="EG93" s="272"/>
      <c r="EH93" s="272"/>
      <c r="EI93" s="272"/>
      <c r="EJ93" s="272"/>
      <c r="EK93" s="272"/>
      <c r="EL93" s="272"/>
      <c r="EM93" s="272"/>
      <c r="EN93" s="272"/>
      <c r="EO93" s="272"/>
      <c r="EP93" s="272"/>
      <c r="EQ93" s="272"/>
      <c r="ER93" s="272"/>
      <c r="ES93" s="272"/>
      <c r="ET93" s="272"/>
      <c r="EU93" s="272"/>
      <c r="EV93" s="272"/>
      <c r="EW93" s="272"/>
      <c r="EX93" s="272"/>
      <c r="EY93" s="272"/>
      <c r="EZ93" s="272"/>
      <c r="FA93" s="272"/>
      <c r="FB93" s="272"/>
      <c r="FC93" s="272"/>
      <c r="FD93" s="272"/>
      <c r="FE93" s="272"/>
      <c r="FF93" s="272"/>
      <c r="FG93" s="272"/>
      <c r="FH93" s="272"/>
      <c r="FI93" s="272"/>
      <c r="FJ93" s="272"/>
      <c r="FK93" s="272"/>
      <c r="FL93" s="272"/>
      <c r="FM93" s="272"/>
      <c r="FN93" s="272"/>
      <c r="FO93" s="272"/>
      <c r="FP93" s="272"/>
      <c r="FQ93" s="272"/>
      <c r="FR93" s="272"/>
      <c r="FS93" s="272"/>
      <c r="FT93" s="272"/>
      <c r="FU93" s="272"/>
      <c r="FV93" s="272"/>
      <c r="FW93" s="272"/>
      <c r="FX93" s="272"/>
      <c r="FY93" s="272"/>
      <c r="FZ93" s="272"/>
      <c r="GA93" s="272"/>
      <c r="GB93" s="272"/>
      <c r="GC93" s="272"/>
      <c r="GD93" s="272"/>
      <c r="GE93" s="272"/>
      <c r="GF93" s="272"/>
      <c r="GG93" s="272"/>
      <c r="GH93" s="272"/>
      <c r="GI93" s="272"/>
      <c r="GJ93" s="272"/>
      <c r="GK93" s="272"/>
      <c r="GL93" s="272"/>
      <c r="GM93" s="272"/>
      <c r="GN93" s="272"/>
      <c r="GO93" s="272"/>
      <c r="GP93" s="272"/>
      <c r="GQ93" s="272"/>
      <c r="GR93" s="272"/>
      <c r="GS93" s="272"/>
      <c r="GT93" s="272"/>
      <c r="GU93" s="272"/>
      <c r="GV93" s="272"/>
      <c r="GW93" s="272"/>
      <c r="GX93" s="272"/>
      <c r="GY93" s="272"/>
      <c r="GZ93" s="272"/>
      <c r="HA93" s="272"/>
      <c r="HB93" s="272"/>
      <c r="HC93" s="272"/>
      <c r="HD93" s="272"/>
      <c r="HE93" s="272"/>
      <c r="HF93" s="272"/>
      <c r="HG93" s="272"/>
      <c r="HH93" s="272"/>
      <c r="HI93" s="272"/>
      <c r="HJ93" s="272"/>
      <c r="HK93" s="272"/>
      <c r="HL93" s="272"/>
      <c r="HM93" s="272"/>
      <c r="HN93" s="272"/>
      <c r="HO93" s="272"/>
      <c r="HP93" s="272"/>
      <c r="HQ93" s="272"/>
      <c r="HR93" s="272"/>
      <c r="HS93" s="272"/>
      <c r="HT93" s="272"/>
      <c r="HU93" s="272"/>
      <c r="HV93" s="272"/>
      <c r="HW93" s="272"/>
      <c r="HX93" s="272"/>
      <c r="HY93" s="272"/>
      <c r="HZ93" s="272"/>
      <c r="IA93" s="272"/>
      <c r="IB93" s="272"/>
      <c r="IC93" s="272"/>
      <c r="ID93" s="272"/>
      <c r="IE93" s="272"/>
      <c r="IF93" s="272"/>
      <c r="IG93" s="272"/>
      <c r="IH93" s="272"/>
      <c r="II93" s="272"/>
      <c r="IJ93" s="272"/>
      <c r="IK93" s="272"/>
      <c r="IL93" s="272"/>
      <c r="IM93" s="272"/>
      <c r="IN93" s="272"/>
      <c r="IO93" s="272"/>
      <c r="IP93" s="272"/>
      <c r="IQ93" s="272"/>
      <c r="IR93" s="272"/>
      <c r="IS93" s="272"/>
      <c r="IT93" s="272"/>
      <c r="IU93" s="272"/>
      <c r="IV93" s="272"/>
      <c r="IW93" s="272"/>
      <c r="IX93" s="272"/>
      <c r="IY93" s="272"/>
      <c r="IZ93" s="272"/>
      <c r="JA93" s="272"/>
      <c r="JB93" s="272"/>
      <c r="JC93" s="272"/>
      <c r="JD93" s="272"/>
      <c r="JE93" s="272"/>
      <c r="JF93" s="272"/>
      <c r="JG93" s="272"/>
      <c r="JH93" s="272"/>
      <c r="JI93" s="272"/>
      <c r="JJ93" s="272"/>
      <c r="JK93" s="272"/>
      <c r="JL93" s="272"/>
      <c r="JM93" s="272"/>
      <c r="JN93" s="272"/>
      <c r="JO93" s="272"/>
      <c r="JP93" s="272"/>
      <c r="JQ93" s="272"/>
      <c r="JR93" s="272"/>
      <c r="JS93" s="272"/>
      <c r="JT93" s="272"/>
      <c r="JU93" s="272"/>
      <c r="JV93" s="272"/>
      <c r="JW93" s="272"/>
      <c r="JX93" s="272"/>
      <c r="JY93" s="272"/>
      <c r="JZ93" s="272"/>
      <c r="KA93" s="272"/>
      <c r="KB93" s="272"/>
      <c r="KC93" s="272"/>
      <c r="KD93" s="272"/>
      <c r="KE93" s="272"/>
      <c r="KF93" s="272"/>
      <c r="KG93" s="272"/>
      <c r="KH93" s="272"/>
      <c r="KI93" s="272"/>
      <c r="KJ93" s="272"/>
      <c r="KK93" s="272"/>
      <c r="KL93" s="272"/>
      <c r="KM93" s="272"/>
      <c r="KN93" s="272"/>
      <c r="KO93" s="272"/>
      <c r="KP93" s="272"/>
      <c r="KQ93" s="272"/>
      <c r="KR93" s="272"/>
      <c r="KS93" s="272"/>
      <c r="KT93" s="272"/>
      <c r="KU93" s="272"/>
      <c r="KV93" s="272"/>
      <c r="KW93" s="272"/>
      <c r="KX93" s="272"/>
      <c r="KY93" s="272"/>
      <c r="KZ93" s="272"/>
      <c r="LA93" s="272"/>
      <c r="LB93" s="272"/>
      <c r="LC93" s="272"/>
      <c r="LD93" s="272"/>
      <c r="LE93" s="272"/>
      <c r="LF93" s="272"/>
      <c r="LG93" s="272"/>
      <c r="LH93" s="272"/>
      <c r="LI93" s="272"/>
      <c r="LJ93" s="272"/>
      <c r="LK93" s="272"/>
      <c r="LL93" s="272"/>
      <c r="LM93" s="272"/>
      <c r="LN93" s="272"/>
      <c r="LO93" s="272"/>
      <c r="LP93" s="272"/>
      <c r="LQ93" s="272"/>
      <c r="LR93" s="272"/>
      <c r="LS93" s="272"/>
      <c r="LT93" s="272"/>
      <c r="LU93" s="272"/>
      <c r="LV93" s="272"/>
      <c r="LW93" s="272"/>
      <c r="LX93" s="272"/>
      <c r="LY93" s="272"/>
      <c r="LZ93" s="272"/>
      <c r="MA93" s="272"/>
      <c r="MB93" s="272"/>
      <c r="MC93" s="272"/>
      <c r="MD93" s="272"/>
      <c r="ME93" s="272"/>
      <c r="MF93" s="272"/>
      <c r="MG93" s="272"/>
      <c r="MH93" s="272"/>
      <c r="MI93" s="272"/>
      <c r="MJ93" s="272"/>
      <c r="MK93" s="272"/>
      <c r="ML93" s="272"/>
      <c r="MM93" s="272"/>
      <c r="MN93" s="272"/>
      <c r="MO93" s="272"/>
      <c r="MP93" s="272"/>
      <c r="MQ93" s="272"/>
      <c r="MR93" s="272"/>
      <c r="MS93" s="272"/>
      <c r="MT93" s="272"/>
      <c r="MU93" s="272"/>
      <c r="MV93" s="272"/>
      <c r="MW93" s="272"/>
      <c r="MX93" s="272"/>
      <c r="MY93" s="272"/>
      <c r="MZ93" s="272"/>
      <c r="NA93" s="272"/>
      <c r="NB93" s="272"/>
      <c r="NC93" s="272"/>
      <c r="ND93" s="272"/>
      <c r="NE93" s="272"/>
      <c r="NF93" s="272"/>
      <c r="NG93" s="272"/>
      <c r="NH93" s="272"/>
      <c r="NI93" s="272"/>
      <c r="NJ93" s="272"/>
      <c r="NK93" s="272"/>
      <c r="NL93" s="272"/>
      <c r="NM93" s="272"/>
      <c r="NN93" s="272"/>
      <c r="NO93" s="272"/>
      <c r="NP93" s="272"/>
      <c r="NQ93" s="272"/>
      <c r="NR93" s="272"/>
      <c r="NS93" s="272"/>
      <c r="NT93" s="272"/>
      <c r="NU93" s="272"/>
      <c r="NV93" s="272"/>
      <c r="NW93" s="272"/>
      <c r="NX93" s="272"/>
      <c r="NY93" s="272"/>
      <c r="NZ93" s="272"/>
      <c r="OA93" s="272"/>
      <c r="OB93" s="272"/>
      <c r="OC93" s="272"/>
      <c r="OD93" s="272"/>
      <c r="OE93" s="272"/>
      <c r="OF93" s="272"/>
      <c r="OG93" s="272"/>
      <c r="OH93" s="272"/>
      <c r="OI93" s="272"/>
      <c r="OJ93" s="272"/>
      <c r="OK93" s="272"/>
      <c r="OL93" s="272"/>
      <c r="OM93" s="272"/>
      <c r="ON93" s="272"/>
      <c r="OO93" s="272"/>
      <c r="OP93" s="272"/>
      <c r="OQ93" s="272"/>
      <c r="OR93" s="272"/>
      <c r="OS93" s="272"/>
      <c r="OT93" s="272"/>
      <c r="OU93" s="272"/>
      <c r="OV93" s="272"/>
      <c r="OW93" s="272"/>
      <c r="OX93" s="272"/>
      <c r="OY93" s="272"/>
      <c r="OZ93" s="272"/>
      <c r="PA93" s="272"/>
      <c r="PB93" s="272"/>
      <c r="PC93" s="272"/>
      <c r="PD93" s="272"/>
      <c r="PE93" s="272"/>
      <c r="PF93" s="272"/>
      <c r="PG93" s="272"/>
      <c r="PH93" s="272"/>
      <c r="PI93" s="272"/>
      <c r="PJ93" s="272"/>
      <c r="PK93" s="272"/>
      <c r="PL93" s="272"/>
      <c r="PM93" s="272"/>
      <c r="PN93" s="272"/>
      <c r="PO93" s="272"/>
      <c r="PP93" s="272"/>
      <c r="PQ93" s="272"/>
      <c r="PR93" s="272"/>
      <c r="PS93" s="272"/>
      <c r="PT93" s="272"/>
      <c r="PU93" s="272"/>
      <c r="PV93" s="272"/>
      <c r="PW93" s="272"/>
      <c r="PX93" s="272"/>
      <c r="PY93" s="272"/>
      <c r="PZ93" s="272"/>
      <c r="QA93" s="272"/>
      <c r="QB93" s="272"/>
      <c r="QC93" s="272"/>
      <c r="QD93" s="272"/>
      <c r="QE93" s="272"/>
      <c r="QF93" s="272"/>
      <c r="QG93" s="272"/>
      <c r="QH93" s="272"/>
      <c r="QI93" s="272"/>
      <c r="QJ93" s="272"/>
      <c r="QK93" s="272"/>
      <c r="QL93" s="272"/>
      <c r="QM93" s="272"/>
      <c r="QN93" s="272"/>
      <c r="QO93" s="272"/>
      <c r="QP93" s="272"/>
      <c r="QQ93" s="272"/>
      <c r="QR93" s="272"/>
      <c r="QS93" s="272"/>
      <c r="QT93" s="272"/>
      <c r="QU93" s="272"/>
      <c r="QV93" s="272"/>
      <c r="QW93" s="272"/>
      <c r="QX93" s="272"/>
      <c r="QY93" s="272"/>
      <c r="QZ93" s="272"/>
      <c r="RA93" s="272"/>
      <c r="RB93" s="272"/>
      <c r="RC93" s="272"/>
      <c r="RD93" s="272"/>
      <c r="RE93" s="272"/>
      <c r="RF93" s="272"/>
      <c r="RG93" s="272"/>
      <c r="RH93" s="272"/>
      <c r="RI93" s="272"/>
      <c r="RJ93" s="272"/>
      <c r="RK93" s="272"/>
      <c r="RL93" s="272"/>
      <c r="RM93" s="272"/>
      <c r="RN93" s="272"/>
      <c r="RO93" s="272"/>
      <c r="RP93" s="272"/>
      <c r="RQ93" s="272"/>
      <c r="RR93" s="272"/>
      <c r="RS93" s="272"/>
      <c r="RT93" s="272"/>
      <c r="RU93" s="272"/>
      <c r="RV93" s="272"/>
      <c r="RW93" s="272"/>
      <c r="RX93" s="272"/>
      <c r="RY93" s="272"/>
      <c r="RZ93" s="272"/>
      <c r="SA93" s="272"/>
      <c r="SB93" s="272"/>
      <c r="SC93" s="272"/>
      <c r="SD93" s="272"/>
      <c r="SE93" s="272"/>
      <c r="SF93" s="272"/>
      <c r="SG93" s="272"/>
      <c r="SH93" s="272"/>
      <c r="SI93" s="272"/>
      <c r="SJ93" s="272"/>
      <c r="SK93" s="272"/>
      <c r="SL93" s="272"/>
      <c r="SM93" s="272"/>
      <c r="SN93" s="272"/>
      <c r="SO93" s="272"/>
      <c r="SP93" s="272"/>
      <c r="SQ93" s="272"/>
      <c r="SR93" s="272"/>
      <c r="SS93" s="272"/>
      <c r="ST93" s="272"/>
      <c r="SU93" s="272"/>
      <c r="SV93" s="272"/>
      <c r="SW93" s="272"/>
      <c r="SX93" s="272"/>
      <c r="SY93" s="272"/>
      <c r="SZ93" s="272"/>
      <c r="TA93" s="272"/>
      <c r="TB93" s="272"/>
      <c r="TC93" s="272"/>
      <c r="TD93" s="272"/>
      <c r="TE93" s="272"/>
      <c r="TF93" s="272"/>
      <c r="TG93" s="272"/>
      <c r="TH93" s="272"/>
      <c r="TI93" s="272"/>
      <c r="TJ93" s="272"/>
      <c r="TK93" s="272"/>
      <c r="TL93" s="272"/>
      <c r="TM93" s="272"/>
      <c r="TN93" s="272"/>
      <c r="TO93" s="272"/>
      <c r="TP93" s="272"/>
      <c r="TQ93" s="272"/>
      <c r="TR93" s="272"/>
      <c r="TS93" s="272"/>
      <c r="TT93" s="272"/>
      <c r="TU93" s="272"/>
      <c r="TV93" s="272"/>
      <c r="TW93" s="272"/>
      <c r="TX93" s="272"/>
      <c r="TY93" s="272"/>
      <c r="TZ93" s="272"/>
      <c r="UA93" s="272"/>
      <c r="UB93" s="272"/>
      <c r="UC93" s="272"/>
      <c r="UD93" s="272"/>
      <c r="UE93" s="272"/>
      <c r="UF93" s="272"/>
      <c r="UG93" s="272"/>
      <c r="UH93" s="272"/>
      <c r="UI93" s="272"/>
      <c r="UJ93" s="272"/>
      <c r="UK93" s="272"/>
      <c r="UL93" s="272"/>
      <c r="UM93" s="272"/>
      <c r="UN93" s="272"/>
      <c r="UO93" s="272"/>
      <c r="UP93" s="272"/>
      <c r="UQ93" s="272"/>
      <c r="UR93" s="272"/>
      <c r="US93" s="272"/>
      <c r="UT93" s="272"/>
      <c r="UU93" s="272"/>
      <c r="UV93" s="272"/>
      <c r="UW93" s="272"/>
      <c r="UX93" s="272"/>
      <c r="UY93" s="272"/>
      <c r="UZ93" s="272"/>
      <c r="VA93" s="272"/>
      <c r="VB93" s="272"/>
      <c r="VC93" s="272"/>
      <c r="VD93" s="272"/>
      <c r="VE93" s="272"/>
      <c r="VF93" s="272"/>
      <c r="VG93" s="272"/>
      <c r="VH93" s="272"/>
      <c r="VI93" s="272"/>
      <c r="VJ93" s="272"/>
      <c r="VK93" s="272"/>
      <c r="VL93" s="272"/>
      <c r="VM93" s="272"/>
      <c r="VN93" s="272"/>
      <c r="VO93" s="272"/>
      <c r="VP93" s="272"/>
      <c r="VQ93" s="272"/>
      <c r="VR93" s="272"/>
      <c r="VS93" s="272"/>
      <c r="VT93" s="272"/>
      <c r="VU93" s="272"/>
      <c r="VV93" s="272"/>
      <c r="VW93" s="272"/>
      <c r="VX93" s="272"/>
      <c r="VY93" s="272"/>
      <c r="VZ93" s="272"/>
      <c r="WA93" s="272"/>
      <c r="WB93" s="272"/>
      <c r="WC93" s="272"/>
      <c r="WD93" s="272"/>
      <c r="WE93" s="272"/>
      <c r="WF93" s="272"/>
      <c r="WG93" s="272"/>
      <c r="WH93" s="272"/>
      <c r="WI93" s="272"/>
      <c r="WJ93" s="272"/>
      <c r="WK93" s="272"/>
      <c r="WL93" s="272"/>
      <c r="WM93" s="272"/>
      <c r="WN93" s="272"/>
      <c r="WO93" s="272"/>
      <c r="WP93" s="272"/>
      <c r="WQ93" s="272"/>
      <c r="WR93" s="272"/>
      <c r="WS93" s="272"/>
      <c r="WT93" s="272"/>
      <c r="WU93" s="272"/>
      <c r="WV93" s="272"/>
      <c r="WW93" s="272"/>
      <c r="WX93" s="272"/>
      <c r="WY93" s="272"/>
      <c r="WZ93" s="272"/>
      <c r="XA93" s="272"/>
      <c r="XB93" s="272"/>
      <c r="XC93" s="272"/>
      <c r="XD93" s="272"/>
      <c r="XE93" s="272"/>
      <c r="XF93" s="272"/>
      <c r="XG93" s="272"/>
      <c r="XH93" s="272"/>
      <c r="XI93" s="272"/>
      <c r="XJ93" s="272"/>
      <c r="XK93" s="272"/>
      <c r="XL93" s="272"/>
      <c r="XM93" s="272"/>
      <c r="XN93" s="272"/>
      <c r="XO93" s="272"/>
      <c r="XP93" s="272"/>
      <c r="XQ93" s="272"/>
      <c r="XR93" s="272"/>
      <c r="XS93" s="272"/>
      <c r="XT93" s="272"/>
      <c r="XU93" s="272"/>
      <c r="XV93" s="272"/>
      <c r="XW93" s="272"/>
      <c r="XX93" s="272"/>
      <c r="XY93" s="272"/>
      <c r="XZ93" s="272"/>
      <c r="YA93" s="272"/>
      <c r="YB93" s="272"/>
      <c r="YC93" s="272"/>
      <c r="YD93" s="272"/>
      <c r="YE93" s="272"/>
      <c r="YF93" s="272"/>
      <c r="YG93" s="272"/>
      <c r="YH93" s="272"/>
      <c r="YI93" s="272"/>
      <c r="YJ93" s="272"/>
      <c r="YK93" s="272"/>
      <c r="YL93" s="272"/>
      <c r="YM93" s="272"/>
      <c r="YN93" s="272"/>
      <c r="YO93" s="272"/>
      <c r="YP93" s="272"/>
      <c r="YQ93" s="272"/>
      <c r="YR93" s="272"/>
      <c r="YS93" s="272"/>
      <c r="YT93" s="272"/>
      <c r="YU93" s="272"/>
      <c r="YV93" s="272"/>
      <c r="YW93" s="272"/>
      <c r="YX93" s="272"/>
      <c r="YY93" s="272"/>
      <c r="YZ93" s="272"/>
      <c r="ZA93" s="272"/>
      <c r="ZB93" s="272"/>
      <c r="ZC93" s="272"/>
      <c r="ZD93" s="272"/>
      <c r="ZE93" s="272"/>
      <c r="ZF93" s="272"/>
      <c r="ZG93" s="272"/>
      <c r="ZH93" s="272"/>
      <c r="ZI93" s="272"/>
      <c r="ZJ93" s="272"/>
      <c r="ZK93" s="272"/>
      <c r="ZL93" s="272"/>
      <c r="ZM93" s="272"/>
      <c r="ZN93" s="272"/>
      <c r="ZO93" s="272"/>
      <c r="ZP93" s="272"/>
      <c r="ZQ93" s="272"/>
      <c r="ZR93" s="272"/>
      <c r="ZS93" s="272"/>
      <c r="ZT93" s="272"/>
      <c r="ZU93" s="272"/>
      <c r="ZV93" s="272"/>
      <c r="ZW93" s="272"/>
      <c r="ZX93" s="272"/>
      <c r="ZY93" s="272"/>
      <c r="ZZ93" s="272"/>
      <c r="AAA93" s="272"/>
      <c r="AAB93" s="272"/>
      <c r="AAC93" s="272"/>
      <c r="AAD93" s="272"/>
      <c r="AAE93" s="272"/>
      <c r="AAF93" s="272"/>
      <c r="AAG93" s="272"/>
      <c r="AAH93" s="272"/>
      <c r="AAI93" s="272"/>
      <c r="AAJ93" s="272"/>
      <c r="AAK93" s="272"/>
      <c r="AAL93" s="272"/>
      <c r="AAM93" s="272"/>
      <c r="AAN93" s="272"/>
      <c r="AAO93" s="272"/>
      <c r="AAP93" s="272"/>
      <c r="AAQ93" s="272"/>
      <c r="AAR93" s="272"/>
      <c r="AAS93" s="272"/>
      <c r="AAT93" s="272"/>
      <c r="AAU93" s="272"/>
      <c r="AAV93" s="272"/>
      <c r="AAW93" s="272"/>
      <c r="AAX93" s="272"/>
      <c r="AAY93" s="272"/>
      <c r="AAZ93" s="272"/>
      <c r="ABA93" s="272"/>
      <c r="ABB93" s="272"/>
      <c r="ABC93" s="272"/>
      <c r="ABD93" s="272"/>
      <c r="ABE93" s="272"/>
      <c r="ABF93" s="272"/>
      <c r="ABG93" s="272"/>
    </row>
    <row r="94" spans="1:735" s="62" customFormat="1" ht="13.5" hidden="1" thickBot="1">
      <c r="A94" s="48"/>
      <c r="B94" s="75"/>
      <c r="C94" s="32" t="s">
        <v>54</v>
      </c>
      <c r="D94" s="35"/>
      <c r="E94" s="36"/>
      <c r="F94" s="269"/>
      <c r="G94" s="394"/>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272"/>
      <c r="BW94" s="272"/>
      <c r="BX94" s="272"/>
      <c r="BY94" s="272"/>
      <c r="BZ94" s="272"/>
      <c r="CA94" s="272"/>
      <c r="CB94" s="272"/>
      <c r="CC94" s="272"/>
      <c r="CD94" s="272"/>
      <c r="CE94" s="272"/>
      <c r="CF94" s="272"/>
      <c r="CG94" s="272"/>
      <c r="CH94" s="272"/>
      <c r="CI94" s="272"/>
      <c r="CJ94" s="272"/>
      <c r="CK94" s="272"/>
      <c r="CL94" s="272"/>
      <c r="CM94" s="272"/>
      <c r="CN94" s="272"/>
      <c r="CO94" s="272"/>
      <c r="CP94" s="272"/>
      <c r="CQ94" s="272"/>
      <c r="CR94" s="272"/>
      <c r="CS94" s="272"/>
      <c r="CT94" s="272"/>
      <c r="CU94" s="272"/>
      <c r="CV94" s="272"/>
      <c r="CW94" s="272"/>
      <c r="CX94" s="272"/>
      <c r="CY94" s="272"/>
      <c r="CZ94" s="272"/>
      <c r="DA94" s="272"/>
      <c r="DB94" s="272"/>
      <c r="DC94" s="272"/>
      <c r="DD94" s="272"/>
      <c r="DE94" s="272"/>
      <c r="DF94" s="272"/>
      <c r="DG94" s="272"/>
      <c r="DH94" s="272"/>
      <c r="DI94" s="272"/>
      <c r="DJ94" s="272"/>
      <c r="DK94" s="272"/>
      <c r="DL94" s="272"/>
      <c r="DM94" s="272"/>
      <c r="DN94" s="272"/>
      <c r="DO94" s="272"/>
      <c r="DP94" s="272"/>
      <c r="DQ94" s="272"/>
      <c r="DR94" s="272"/>
      <c r="DS94" s="272"/>
      <c r="DT94" s="272"/>
      <c r="DU94" s="272"/>
      <c r="DV94" s="272"/>
      <c r="DW94" s="272"/>
      <c r="DX94" s="272"/>
      <c r="DY94" s="272"/>
      <c r="DZ94" s="272"/>
      <c r="EA94" s="272"/>
      <c r="EB94" s="272"/>
      <c r="EC94" s="272"/>
      <c r="ED94" s="272"/>
      <c r="EE94" s="272"/>
      <c r="EF94" s="272"/>
      <c r="EG94" s="272"/>
      <c r="EH94" s="272"/>
      <c r="EI94" s="272"/>
      <c r="EJ94" s="272"/>
      <c r="EK94" s="272"/>
      <c r="EL94" s="272"/>
      <c r="EM94" s="272"/>
      <c r="EN94" s="272"/>
      <c r="EO94" s="272"/>
      <c r="EP94" s="272"/>
      <c r="EQ94" s="272"/>
      <c r="ER94" s="272"/>
      <c r="ES94" s="272"/>
      <c r="ET94" s="272"/>
      <c r="EU94" s="272"/>
      <c r="EV94" s="272"/>
      <c r="EW94" s="272"/>
      <c r="EX94" s="272"/>
      <c r="EY94" s="272"/>
      <c r="EZ94" s="272"/>
      <c r="FA94" s="272"/>
      <c r="FB94" s="272"/>
      <c r="FC94" s="272"/>
      <c r="FD94" s="272"/>
      <c r="FE94" s="272"/>
      <c r="FF94" s="272"/>
      <c r="FG94" s="272"/>
      <c r="FH94" s="272"/>
      <c r="FI94" s="272"/>
      <c r="FJ94" s="272"/>
      <c r="FK94" s="272"/>
      <c r="FL94" s="272"/>
      <c r="FM94" s="272"/>
      <c r="FN94" s="272"/>
      <c r="FO94" s="272"/>
      <c r="FP94" s="272"/>
      <c r="FQ94" s="272"/>
      <c r="FR94" s="272"/>
      <c r="FS94" s="272"/>
      <c r="FT94" s="272"/>
      <c r="FU94" s="272"/>
      <c r="FV94" s="272"/>
      <c r="FW94" s="272"/>
      <c r="FX94" s="272"/>
      <c r="FY94" s="272"/>
      <c r="FZ94" s="272"/>
      <c r="GA94" s="272"/>
      <c r="GB94" s="272"/>
      <c r="GC94" s="272"/>
      <c r="GD94" s="272"/>
      <c r="GE94" s="272"/>
      <c r="GF94" s="272"/>
      <c r="GG94" s="272"/>
      <c r="GH94" s="272"/>
      <c r="GI94" s="272"/>
      <c r="GJ94" s="272"/>
      <c r="GK94" s="272"/>
      <c r="GL94" s="272"/>
      <c r="GM94" s="272"/>
      <c r="GN94" s="272"/>
      <c r="GO94" s="272"/>
      <c r="GP94" s="272"/>
      <c r="GQ94" s="272"/>
      <c r="GR94" s="272"/>
      <c r="GS94" s="272"/>
      <c r="GT94" s="272"/>
      <c r="GU94" s="272"/>
      <c r="GV94" s="272"/>
      <c r="GW94" s="272"/>
      <c r="GX94" s="272"/>
      <c r="GY94" s="272"/>
      <c r="GZ94" s="272"/>
      <c r="HA94" s="272"/>
      <c r="HB94" s="272"/>
      <c r="HC94" s="272"/>
      <c r="HD94" s="272"/>
      <c r="HE94" s="272"/>
      <c r="HF94" s="272"/>
      <c r="HG94" s="272"/>
      <c r="HH94" s="272"/>
      <c r="HI94" s="272"/>
      <c r="HJ94" s="272"/>
      <c r="HK94" s="272"/>
      <c r="HL94" s="272"/>
      <c r="HM94" s="272"/>
      <c r="HN94" s="272"/>
      <c r="HO94" s="272"/>
      <c r="HP94" s="272"/>
      <c r="HQ94" s="272"/>
      <c r="HR94" s="272"/>
      <c r="HS94" s="272"/>
      <c r="HT94" s="272"/>
      <c r="HU94" s="272"/>
      <c r="HV94" s="272"/>
      <c r="HW94" s="272"/>
      <c r="HX94" s="272"/>
      <c r="HY94" s="272"/>
      <c r="HZ94" s="272"/>
      <c r="IA94" s="272"/>
      <c r="IB94" s="272"/>
      <c r="IC94" s="272"/>
      <c r="ID94" s="272"/>
      <c r="IE94" s="272"/>
      <c r="IF94" s="272"/>
      <c r="IG94" s="272"/>
      <c r="IH94" s="272"/>
      <c r="II94" s="272"/>
      <c r="IJ94" s="272"/>
      <c r="IK94" s="272"/>
      <c r="IL94" s="272"/>
      <c r="IM94" s="272"/>
      <c r="IN94" s="272"/>
      <c r="IO94" s="272"/>
      <c r="IP94" s="272"/>
      <c r="IQ94" s="272"/>
      <c r="IR94" s="272"/>
      <c r="IS94" s="272"/>
      <c r="IT94" s="272"/>
      <c r="IU94" s="272"/>
      <c r="IV94" s="272"/>
      <c r="IW94" s="272"/>
      <c r="IX94" s="272"/>
      <c r="IY94" s="272"/>
      <c r="IZ94" s="272"/>
      <c r="JA94" s="272"/>
      <c r="JB94" s="272"/>
      <c r="JC94" s="272"/>
      <c r="JD94" s="272"/>
      <c r="JE94" s="272"/>
      <c r="JF94" s="272"/>
      <c r="JG94" s="272"/>
      <c r="JH94" s="272"/>
      <c r="JI94" s="272"/>
      <c r="JJ94" s="272"/>
      <c r="JK94" s="272"/>
      <c r="JL94" s="272"/>
      <c r="JM94" s="272"/>
      <c r="JN94" s="272"/>
      <c r="JO94" s="272"/>
      <c r="JP94" s="272"/>
      <c r="JQ94" s="272"/>
      <c r="JR94" s="272"/>
      <c r="JS94" s="272"/>
      <c r="JT94" s="272"/>
      <c r="JU94" s="272"/>
      <c r="JV94" s="272"/>
      <c r="JW94" s="272"/>
      <c r="JX94" s="272"/>
      <c r="JY94" s="272"/>
      <c r="JZ94" s="272"/>
      <c r="KA94" s="272"/>
      <c r="KB94" s="272"/>
      <c r="KC94" s="272"/>
      <c r="KD94" s="272"/>
      <c r="KE94" s="272"/>
      <c r="KF94" s="272"/>
      <c r="KG94" s="272"/>
      <c r="KH94" s="272"/>
      <c r="KI94" s="272"/>
      <c r="KJ94" s="272"/>
      <c r="KK94" s="272"/>
      <c r="KL94" s="272"/>
      <c r="KM94" s="272"/>
      <c r="KN94" s="272"/>
      <c r="KO94" s="272"/>
      <c r="KP94" s="272"/>
      <c r="KQ94" s="272"/>
      <c r="KR94" s="272"/>
      <c r="KS94" s="272"/>
      <c r="KT94" s="272"/>
      <c r="KU94" s="272"/>
      <c r="KV94" s="272"/>
      <c r="KW94" s="272"/>
      <c r="KX94" s="272"/>
      <c r="KY94" s="272"/>
      <c r="KZ94" s="272"/>
      <c r="LA94" s="272"/>
      <c r="LB94" s="272"/>
      <c r="LC94" s="272"/>
      <c r="LD94" s="272"/>
      <c r="LE94" s="272"/>
      <c r="LF94" s="272"/>
      <c r="LG94" s="272"/>
      <c r="LH94" s="272"/>
      <c r="LI94" s="272"/>
      <c r="LJ94" s="272"/>
      <c r="LK94" s="272"/>
      <c r="LL94" s="272"/>
      <c r="LM94" s="272"/>
      <c r="LN94" s="272"/>
      <c r="LO94" s="272"/>
      <c r="LP94" s="272"/>
      <c r="LQ94" s="272"/>
      <c r="LR94" s="272"/>
      <c r="LS94" s="272"/>
      <c r="LT94" s="272"/>
      <c r="LU94" s="272"/>
      <c r="LV94" s="272"/>
      <c r="LW94" s="272"/>
      <c r="LX94" s="272"/>
      <c r="LY94" s="272"/>
      <c r="LZ94" s="272"/>
      <c r="MA94" s="272"/>
      <c r="MB94" s="272"/>
      <c r="MC94" s="272"/>
      <c r="MD94" s="272"/>
      <c r="ME94" s="272"/>
      <c r="MF94" s="272"/>
      <c r="MG94" s="272"/>
      <c r="MH94" s="272"/>
      <c r="MI94" s="272"/>
      <c r="MJ94" s="272"/>
      <c r="MK94" s="272"/>
      <c r="ML94" s="272"/>
      <c r="MM94" s="272"/>
      <c r="MN94" s="272"/>
      <c r="MO94" s="272"/>
      <c r="MP94" s="272"/>
      <c r="MQ94" s="272"/>
      <c r="MR94" s="272"/>
      <c r="MS94" s="272"/>
      <c r="MT94" s="272"/>
      <c r="MU94" s="272"/>
      <c r="MV94" s="272"/>
      <c r="MW94" s="272"/>
      <c r="MX94" s="272"/>
      <c r="MY94" s="272"/>
      <c r="MZ94" s="272"/>
      <c r="NA94" s="272"/>
      <c r="NB94" s="272"/>
      <c r="NC94" s="272"/>
      <c r="ND94" s="272"/>
      <c r="NE94" s="272"/>
      <c r="NF94" s="272"/>
      <c r="NG94" s="272"/>
      <c r="NH94" s="272"/>
      <c r="NI94" s="272"/>
      <c r="NJ94" s="272"/>
      <c r="NK94" s="272"/>
      <c r="NL94" s="272"/>
      <c r="NM94" s="272"/>
      <c r="NN94" s="272"/>
      <c r="NO94" s="272"/>
      <c r="NP94" s="272"/>
      <c r="NQ94" s="272"/>
      <c r="NR94" s="272"/>
      <c r="NS94" s="272"/>
      <c r="NT94" s="272"/>
      <c r="NU94" s="272"/>
      <c r="NV94" s="272"/>
      <c r="NW94" s="272"/>
      <c r="NX94" s="272"/>
      <c r="NY94" s="272"/>
      <c r="NZ94" s="272"/>
      <c r="OA94" s="272"/>
      <c r="OB94" s="272"/>
      <c r="OC94" s="272"/>
      <c r="OD94" s="272"/>
      <c r="OE94" s="272"/>
      <c r="OF94" s="272"/>
      <c r="OG94" s="272"/>
      <c r="OH94" s="272"/>
      <c r="OI94" s="272"/>
      <c r="OJ94" s="272"/>
      <c r="OK94" s="272"/>
      <c r="OL94" s="272"/>
      <c r="OM94" s="272"/>
      <c r="ON94" s="272"/>
      <c r="OO94" s="272"/>
      <c r="OP94" s="272"/>
      <c r="OQ94" s="272"/>
      <c r="OR94" s="272"/>
      <c r="OS94" s="272"/>
      <c r="OT94" s="272"/>
      <c r="OU94" s="272"/>
      <c r="OV94" s="272"/>
      <c r="OW94" s="272"/>
      <c r="OX94" s="272"/>
      <c r="OY94" s="272"/>
      <c r="OZ94" s="272"/>
      <c r="PA94" s="272"/>
      <c r="PB94" s="272"/>
      <c r="PC94" s="272"/>
      <c r="PD94" s="272"/>
      <c r="PE94" s="272"/>
      <c r="PF94" s="272"/>
      <c r="PG94" s="272"/>
      <c r="PH94" s="272"/>
      <c r="PI94" s="272"/>
      <c r="PJ94" s="272"/>
      <c r="PK94" s="272"/>
      <c r="PL94" s="272"/>
      <c r="PM94" s="272"/>
      <c r="PN94" s="272"/>
      <c r="PO94" s="272"/>
      <c r="PP94" s="272"/>
      <c r="PQ94" s="272"/>
      <c r="PR94" s="272"/>
      <c r="PS94" s="272"/>
      <c r="PT94" s="272"/>
      <c r="PU94" s="272"/>
      <c r="PV94" s="272"/>
      <c r="PW94" s="272"/>
      <c r="PX94" s="272"/>
      <c r="PY94" s="272"/>
      <c r="PZ94" s="272"/>
      <c r="QA94" s="272"/>
      <c r="QB94" s="272"/>
      <c r="QC94" s="272"/>
      <c r="QD94" s="272"/>
      <c r="QE94" s="272"/>
      <c r="QF94" s="272"/>
      <c r="QG94" s="272"/>
      <c r="QH94" s="272"/>
      <c r="QI94" s="272"/>
      <c r="QJ94" s="272"/>
      <c r="QK94" s="272"/>
      <c r="QL94" s="272"/>
      <c r="QM94" s="272"/>
      <c r="QN94" s="272"/>
      <c r="QO94" s="272"/>
      <c r="QP94" s="272"/>
      <c r="QQ94" s="272"/>
      <c r="QR94" s="272"/>
      <c r="QS94" s="272"/>
      <c r="QT94" s="272"/>
      <c r="QU94" s="272"/>
      <c r="QV94" s="272"/>
      <c r="QW94" s="272"/>
      <c r="QX94" s="272"/>
      <c r="QY94" s="272"/>
      <c r="QZ94" s="272"/>
      <c r="RA94" s="272"/>
      <c r="RB94" s="272"/>
      <c r="RC94" s="272"/>
      <c r="RD94" s="272"/>
      <c r="RE94" s="272"/>
      <c r="RF94" s="272"/>
      <c r="RG94" s="272"/>
      <c r="RH94" s="272"/>
      <c r="RI94" s="272"/>
      <c r="RJ94" s="272"/>
      <c r="RK94" s="272"/>
      <c r="RL94" s="272"/>
      <c r="RM94" s="272"/>
      <c r="RN94" s="272"/>
      <c r="RO94" s="272"/>
      <c r="RP94" s="272"/>
      <c r="RQ94" s="272"/>
      <c r="RR94" s="272"/>
      <c r="RS94" s="272"/>
      <c r="RT94" s="272"/>
      <c r="RU94" s="272"/>
      <c r="RV94" s="272"/>
      <c r="RW94" s="272"/>
      <c r="RX94" s="272"/>
      <c r="RY94" s="272"/>
      <c r="RZ94" s="272"/>
      <c r="SA94" s="272"/>
      <c r="SB94" s="272"/>
      <c r="SC94" s="272"/>
      <c r="SD94" s="272"/>
      <c r="SE94" s="272"/>
      <c r="SF94" s="272"/>
      <c r="SG94" s="272"/>
      <c r="SH94" s="272"/>
      <c r="SI94" s="272"/>
      <c r="SJ94" s="272"/>
      <c r="SK94" s="272"/>
      <c r="SL94" s="272"/>
      <c r="SM94" s="272"/>
      <c r="SN94" s="272"/>
      <c r="SO94" s="272"/>
      <c r="SP94" s="272"/>
      <c r="SQ94" s="272"/>
      <c r="SR94" s="272"/>
      <c r="SS94" s="272"/>
      <c r="ST94" s="272"/>
      <c r="SU94" s="272"/>
      <c r="SV94" s="272"/>
      <c r="SW94" s="272"/>
      <c r="SX94" s="272"/>
      <c r="SY94" s="272"/>
      <c r="SZ94" s="272"/>
      <c r="TA94" s="272"/>
      <c r="TB94" s="272"/>
      <c r="TC94" s="272"/>
      <c r="TD94" s="272"/>
      <c r="TE94" s="272"/>
      <c r="TF94" s="272"/>
      <c r="TG94" s="272"/>
      <c r="TH94" s="272"/>
      <c r="TI94" s="272"/>
      <c r="TJ94" s="272"/>
      <c r="TK94" s="272"/>
      <c r="TL94" s="272"/>
      <c r="TM94" s="272"/>
      <c r="TN94" s="272"/>
      <c r="TO94" s="272"/>
      <c r="TP94" s="272"/>
      <c r="TQ94" s="272"/>
      <c r="TR94" s="272"/>
      <c r="TS94" s="272"/>
      <c r="TT94" s="272"/>
      <c r="TU94" s="272"/>
      <c r="TV94" s="272"/>
      <c r="TW94" s="272"/>
      <c r="TX94" s="272"/>
      <c r="TY94" s="272"/>
      <c r="TZ94" s="272"/>
      <c r="UA94" s="272"/>
      <c r="UB94" s="272"/>
      <c r="UC94" s="272"/>
      <c r="UD94" s="272"/>
      <c r="UE94" s="272"/>
      <c r="UF94" s="272"/>
      <c r="UG94" s="272"/>
      <c r="UH94" s="272"/>
      <c r="UI94" s="272"/>
      <c r="UJ94" s="272"/>
      <c r="UK94" s="272"/>
      <c r="UL94" s="272"/>
      <c r="UM94" s="272"/>
      <c r="UN94" s="272"/>
      <c r="UO94" s="272"/>
      <c r="UP94" s="272"/>
      <c r="UQ94" s="272"/>
      <c r="UR94" s="272"/>
      <c r="US94" s="272"/>
      <c r="UT94" s="272"/>
      <c r="UU94" s="272"/>
      <c r="UV94" s="272"/>
      <c r="UW94" s="272"/>
      <c r="UX94" s="272"/>
      <c r="UY94" s="272"/>
      <c r="UZ94" s="272"/>
      <c r="VA94" s="272"/>
      <c r="VB94" s="272"/>
      <c r="VC94" s="272"/>
      <c r="VD94" s="272"/>
      <c r="VE94" s="272"/>
      <c r="VF94" s="272"/>
      <c r="VG94" s="272"/>
      <c r="VH94" s="272"/>
      <c r="VI94" s="272"/>
      <c r="VJ94" s="272"/>
      <c r="VK94" s="272"/>
      <c r="VL94" s="272"/>
      <c r="VM94" s="272"/>
      <c r="VN94" s="272"/>
      <c r="VO94" s="272"/>
      <c r="VP94" s="272"/>
      <c r="VQ94" s="272"/>
      <c r="VR94" s="272"/>
      <c r="VS94" s="272"/>
      <c r="VT94" s="272"/>
      <c r="VU94" s="272"/>
      <c r="VV94" s="272"/>
      <c r="VW94" s="272"/>
      <c r="VX94" s="272"/>
      <c r="VY94" s="272"/>
      <c r="VZ94" s="272"/>
      <c r="WA94" s="272"/>
      <c r="WB94" s="272"/>
      <c r="WC94" s="272"/>
      <c r="WD94" s="272"/>
      <c r="WE94" s="272"/>
      <c r="WF94" s="272"/>
      <c r="WG94" s="272"/>
      <c r="WH94" s="272"/>
      <c r="WI94" s="272"/>
      <c r="WJ94" s="272"/>
      <c r="WK94" s="272"/>
      <c r="WL94" s="272"/>
      <c r="WM94" s="272"/>
      <c r="WN94" s="272"/>
      <c r="WO94" s="272"/>
      <c r="WP94" s="272"/>
      <c r="WQ94" s="272"/>
      <c r="WR94" s="272"/>
      <c r="WS94" s="272"/>
      <c r="WT94" s="272"/>
      <c r="WU94" s="272"/>
      <c r="WV94" s="272"/>
      <c r="WW94" s="272"/>
      <c r="WX94" s="272"/>
      <c r="WY94" s="272"/>
      <c r="WZ94" s="272"/>
      <c r="XA94" s="272"/>
      <c r="XB94" s="272"/>
      <c r="XC94" s="272"/>
      <c r="XD94" s="272"/>
      <c r="XE94" s="272"/>
      <c r="XF94" s="272"/>
      <c r="XG94" s="272"/>
      <c r="XH94" s="272"/>
      <c r="XI94" s="272"/>
      <c r="XJ94" s="272"/>
      <c r="XK94" s="272"/>
      <c r="XL94" s="272"/>
      <c r="XM94" s="272"/>
      <c r="XN94" s="272"/>
      <c r="XO94" s="272"/>
      <c r="XP94" s="272"/>
      <c r="XQ94" s="272"/>
      <c r="XR94" s="272"/>
      <c r="XS94" s="272"/>
      <c r="XT94" s="272"/>
      <c r="XU94" s="272"/>
      <c r="XV94" s="272"/>
      <c r="XW94" s="272"/>
      <c r="XX94" s="272"/>
      <c r="XY94" s="272"/>
      <c r="XZ94" s="272"/>
      <c r="YA94" s="272"/>
      <c r="YB94" s="272"/>
      <c r="YC94" s="272"/>
      <c r="YD94" s="272"/>
      <c r="YE94" s="272"/>
      <c r="YF94" s="272"/>
      <c r="YG94" s="272"/>
      <c r="YH94" s="272"/>
      <c r="YI94" s="272"/>
      <c r="YJ94" s="272"/>
      <c r="YK94" s="272"/>
      <c r="YL94" s="272"/>
      <c r="YM94" s="272"/>
      <c r="YN94" s="272"/>
      <c r="YO94" s="272"/>
      <c r="YP94" s="272"/>
      <c r="YQ94" s="272"/>
      <c r="YR94" s="272"/>
      <c r="YS94" s="272"/>
      <c r="YT94" s="272"/>
      <c r="YU94" s="272"/>
      <c r="YV94" s="272"/>
      <c r="YW94" s="272"/>
      <c r="YX94" s="272"/>
      <c r="YY94" s="272"/>
      <c r="YZ94" s="272"/>
      <c r="ZA94" s="272"/>
      <c r="ZB94" s="272"/>
      <c r="ZC94" s="272"/>
      <c r="ZD94" s="272"/>
      <c r="ZE94" s="272"/>
      <c r="ZF94" s="272"/>
      <c r="ZG94" s="272"/>
      <c r="ZH94" s="272"/>
      <c r="ZI94" s="272"/>
      <c r="ZJ94" s="272"/>
      <c r="ZK94" s="272"/>
      <c r="ZL94" s="272"/>
      <c r="ZM94" s="272"/>
      <c r="ZN94" s="272"/>
      <c r="ZO94" s="272"/>
      <c r="ZP94" s="272"/>
      <c r="ZQ94" s="272"/>
      <c r="ZR94" s="272"/>
      <c r="ZS94" s="272"/>
      <c r="ZT94" s="272"/>
      <c r="ZU94" s="272"/>
      <c r="ZV94" s="272"/>
      <c r="ZW94" s="272"/>
      <c r="ZX94" s="272"/>
      <c r="ZY94" s="272"/>
      <c r="ZZ94" s="272"/>
      <c r="AAA94" s="272"/>
      <c r="AAB94" s="272"/>
      <c r="AAC94" s="272"/>
      <c r="AAD94" s="272"/>
      <c r="AAE94" s="272"/>
      <c r="AAF94" s="272"/>
      <c r="AAG94" s="272"/>
      <c r="AAH94" s="272"/>
      <c r="AAI94" s="272"/>
      <c r="AAJ94" s="272"/>
      <c r="AAK94" s="272"/>
      <c r="AAL94" s="272"/>
      <c r="AAM94" s="272"/>
      <c r="AAN94" s="272"/>
      <c r="AAO94" s="272"/>
      <c r="AAP94" s="272"/>
      <c r="AAQ94" s="272"/>
      <c r="AAR94" s="272"/>
      <c r="AAS94" s="272"/>
      <c r="AAT94" s="272"/>
      <c r="AAU94" s="272"/>
      <c r="AAV94" s="272"/>
      <c r="AAW94" s="272"/>
      <c r="AAX94" s="272"/>
      <c r="AAY94" s="272"/>
      <c r="AAZ94" s="272"/>
      <c r="ABA94" s="272"/>
      <c r="ABB94" s="272"/>
      <c r="ABC94" s="272"/>
      <c r="ABD94" s="272"/>
      <c r="ABE94" s="272"/>
      <c r="ABF94" s="272"/>
      <c r="ABG94" s="272"/>
    </row>
    <row r="95" spans="1:735" s="61" customFormat="1" ht="36" customHeight="1">
      <c r="A95" s="67" t="s">
        <v>16</v>
      </c>
      <c r="B95" s="68" t="s">
        <v>68</v>
      </c>
      <c r="C95" s="614" t="s">
        <v>52</v>
      </c>
      <c r="D95" s="605"/>
      <c r="E95" s="618"/>
      <c r="F95" s="628"/>
      <c r="G95" s="634"/>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2"/>
      <c r="BW95" s="272"/>
      <c r="BX95" s="272"/>
      <c r="BY95" s="272"/>
      <c r="BZ95" s="272"/>
      <c r="CA95" s="272"/>
      <c r="CB95" s="272"/>
      <c r="CC95" s="272"/>
      <c r="CD95" s="272"/>
      <c r="CE95" s="272"/>
      <c r="CF95" s="272"/>
      <c r="CG95" s="272"/>
      <c r="CH95" s="272"/>
      <c r="CI95" s="272"/>
      <c r="CJ95" s="272"/>
      <c r="CK95" s="272"/>
      <c r="CL95" s="272"/>
      <c r="CM95" s="272"/>
      <c r="CN95" s="272"/>
      <c r="CO95" s="272"/>
      <c r="CP95" s="272"/>
      <c r="CQ95" s="272"/>
      <c r="CR95" s="272"/>
      <c r="CS95" s="272"/>
      <c r="CT95" s="272"/>
      <c r="CU95" s="272"/>
      <c r="CV95" s="272"/>
      <c r="CW95" s="272"/>
      <c r="CX95" s="272"/>
      <c r="CY95" s="272"/>
      <c r="CZ95" s="272"/>
      <c r="DA95" s="272"/>
      <c r="DB95" s="272"/>
      <c r="DC95" s="272"/>
      <c r="DD95" s="272"/>
      <c r="DE95" s="272"/>
      <c r="DF95" s="272"/>
      <c r="DG95" s="272"/>
      <c r="DH95" s="272"/>
      <c r="DI95" s="272"/>
      <c r="DJ95" s="272"/>
      <c r="DK95" s="272"/>
      <c r="DL95" s="272"/>
      <c r="DM95" s="272"/>
      <c r="DN95" s="272"/>
      <c r="DO95" s="272"/>
      <c r="DP95" s="272"/>
      <c r="DQ95" s="272"/>
      <c r="DR95" s="272"/>
      <c r="DS95" s="272"/>
      <c r="DT95" s="272"/>
      <c r="DU95" s="272"/>
      <c r="DV95" s="272"/>
      <c r="DW95" s="272"/>
      <c r="DX95" s="272"/>
      <c r="DY95" s="272"/>
      <c r="DZ95" s="272"/>
      <c r="EA95" s="272"/>
      <c r="EB95" s="272"/>
      <c r="EC95" s="272"/>
      <c r="ED95" s="272"/>
      <c r="EE95" s="272"/>
      <c r="EF95" s="272"/>
      <c r="EG95" s="272"/>
      <c r="EH95" s="272"/>
      <c r="EI95" s="272"/>
      <c r="EJ95" s="272"/>
      <c r="EK95" s="272"/>
      <c r="EL95" s="272"/>
      <c r="EM95" s="272"/>
      <c r="EN95" s="272"/>
      <c r="EO95" s="272"/>
      <c r="EP95" s="272"/>
      <c r="EQ95" s="272"/>
      <c r="ER95" s="272"/>
      <c r="ES95" s="272"/>
      <c r="ET95" s="272"/>
      <c r="EU95" s="272"/>
      <c r="EV95" s="272"/>
      <c r="EW95" s="272"/>
      <c r="EX95" s="272"/>
      <c r="EY95" s="272"/>
      <c r="EZ95" s="272"/>
      <c r="FA95" s="272"/>
      <c r="FB95" s="272"/>
      <c r="FC95" s="272"/>
      <c r="FD95" s="272"/>
      <c r="FE95" s="272"/>
      <c r="FF95" s="272"/>
      <c r="FG95" s="272"/>
      <c r="FH95" s="272"/>
      <c r="FI95" s="272"/>
      <c r="FJ95" s="272"/>
      <c r="FK95" s="272"/>
      <c r="FL95" s="272"/>
      <c r="FM95" s="272"/>
      <c r="FN95" s="272"/>
      <c r="FO95" s="272"/>
      <c r="FP95" s="272"/>
      <c r="FQ95" s="272"/>
      <c r="FR95" s="272"/>
      <c r="FS95" s="272"/>
      <c r="FT95" s="272"/>
      <c r="FU95" s="272"/>
      <c r="FV95" s="272"/>
      <c r="FW95" s="272"/>
      <c r="FX95" s="272"/>
      <c r="FY95" s="272"/>
      <c r="FZ95" s="272"/>
      <c r="GA95" s="272"/>
      <c r="GB95" s="272"/>
      <c r="GC95" s="272"/>
      <c r="GD95" s="272"/>
      <c r="GE95" s="272"/>
      <c r="GF95" s="272"/>
      <c r="GG95" s="272"/>
      <c r="GH95" s="272"/>
      <c r="GI95" s="272"/>
      <c r="GJ95" s="272"/>
      <c r="GK95" s="272"/>
      <c r="GL95" s="272"/>
      <c r="GM95" s="272"/>
      <c r="GN95" s="272"/>
      <c r="GO95" s="272"/>
      <c r="GP95" s="272"/>
      <c r="GQ95" s="272"/>
      <c r="GR95" s="272"/>
      <c r="GS95" s="272"/>
      <c r="GT95" s="272"/>
      <c r="GU95" s="272"/>
      <c r="GV95" s="272"/>
      <c r="GW95" s="272"/>
      <c r="GX95" s="272"/>
      <c r="GY95" s="272"/>
      <c r="GZ95" s="272"/>
      <c r="HA95" s="272"/>
      <c r="HB95" s="272"/>
      <c r="HC95" s="272"/>
      <c r="HD95" s="272"/>
      <c r="HE95" s="272"/>
      <c r="HF95" s="272"/>
      <c r="HG95" s="272"/>
      <c r="HH95" s="272"/>
      <c r="HI95" s="272"/>
      <c r="HJ95" s="272"/>
      <c r="HK95" s="272"/>
      <c r="HL95" s="272"/>
      <c r="HM95" s="272"/>
      <c r="HN95" s="272"/>
      <c r="HO95" s="272"/>
      <c r="HP95" s="272"/>
      <c r="HQ95" s="272"/>
      <c r="HR95" s="272"/>
      <c r="HS95" s="272"/>
      <c r="HT95" s="272"/>
      <c r="HU95" s="272"/>
      <c r="HV95" s="272"/>
      <c r="HW95" s="272"/>
      <c r="HX95" s="272"/>
      <c r="HY95" s="272"/>
      <c r="HZ95" s="272"/>
      <c r="IA95" s="272"/>
      <c r="IB95" s="272"/>
      <c r="IC95" s="272"/>
      <c r="ID95" s="272"/>
      <c r="IE95" s="272"/>
      <c r="IF95" s="272"/>
      <c r="IG95" s="272"/>
      <c r="IH95" s="272"/>
      <c r="II95" s="272"/>
      <c r="IJ95" s="272"/>
      <c r="IK95" s="272"/>
      <c r="IL95" s="272"/>
      <c r="IM95" s="272"/>
      <c r="IN95" s="272"/>
      <c r="IO95" s="272"/>
      <c r="IP95" s="272"/>
      <c r="IQ95" s="272"/>
      <c r="IR95" s="272"/>
      <c r="IS95" s="272"/>
      <c r="IT95" s="272"/>
      <c r="IU95" s="272"/>
      <c r="IV95" s="272"/>
      <c r="IW95" s="272"/>
      <c r="IX95" s="272"/>
      <c r="IY95" s="272"/>
      <c r="IZ95" s="272"/>
      <c r="JA95" s="272"/>
      <c r="JB95" s="272"/>
      <c r="JC95" s="272"/>
      <c r="JD95" s="272"/>
      <c r="JE95" s="272"/>
      <c r="JF95" s="272"/>
      <c r="JG95" s="272"/>
      <c r="JH95" s="272"/>
      <c r="JI95" s="272"/>
      <c r="JJ95" s="272"/>
      <c r="JK95" s="272"/>
      <c r="JL95" s="272"/>
      <c r="JM95" s="272"/>
      <c r="JN95" s="272"/>
      <c r="JO95" s="272"/>
      <c r="JP95" s="272"/>
      <c r="JQ95" s="272"/>
      <c r="JR95" s="272"/>
      <c r="JS95" s="272"/>
      <c r="JT95" s="272"/>
      <c r="JU95" s="272"/>
      <c r="JV95" s="272"/>
      <c r="JW95" s="272"/>
      <c r="JX95" s="272"/>
      <c r="JY95" s="272"/>
      <c r="JZ95" s="272"/>
      <c r="KA95" s="272"/>
      <c r="KB95" s="272"/>
      <c r="KC95" s="272"/>
      <c r="KD95" s="272"/>
      <c r="KE95" s="272"/>
      <c r="KF95" s="272"/>
      <c r="KG95" s="272"/>
      <c r="KH95" s="272"/>
      <c r="KI95" s="272"/>
      <c r="KJ95" s="272"/>
      <c r="KK95" s="272"/>
      <c r="KL95" s="272"/>
      <c r="KM95" s="272"/>
      <c r="KN95" s="272"/>
      <c r="KO95" s="272"/>
      <c r="KP95" s="272"/>
      <c r="KQ95" s="272"/>
      <c r="KR95" s="272"/>
      <c r="KS95" s="272"/>
      <c r="KT95" s="272"/>
      <c r="KU95" s="272"/>
      <c r="KV95" s="272"/>
      <c r="KW95" s="272"/>
      <c r="KX95" s="272"/>
      <c r="KY95" s="272"/>
      <c r="KZ95" s="272"/>
      <c r="LA95" s="272"/>
      <c r="LB95" s="272"/>
      <c r="LC95" s="272"/>
      <c r="LD95" s="272"/>
      <c r="LE95" s="272"/>
      <c r="LF95" s="272"/>
      <c r="LG95" s="272"/>
      <c r="LH95" s="272"/>
      <c r="LI95" s="272"/>
      <c r="LJ95" s="272"/>
      <c r="LK95" s="272"/>
      <c r="LL95" s="272"/>
      <c r="LM95" s="272"/>
      <c r="LN95" s="272"/>
      <c r="LO95" s="272"/>
      <c r="LP95" s="272"/>
      <c r="LQ95" s="272"/>
      <c r="LR95" s="272"/>
      <c r="LS95" s="272"/>
      <c r="LT95" s="272"/>
      <c r="LU95" s="272"/>
      <c r="LV95" s="272"/>
      <c r="LW95" s="272"/>
      <c r="LX95" s="272"/>
      <c r="LY95" s="272"/>
      <c r="LZ95" s="272"/>
      <c r="MA95" s="272"/>
      <c r="MB95" s="272"/>
      <c r="MC95" s="272"/>
      <c r="MD95" s="272"/>
      <c r="ME95" s="272"/>
      <c r="MF95" s="272"/>
      <c r="MG95" s="272"/>
      <c r="MH95" s="272"/>
      <c r="MI95" s="272"/>
      <c r="MJ95" s="272"/>
      <c r="MK95" s="272"/>
      <c r="ML95" s="272"/>
      <c r="MM95" s="272"/>
      <c r="MN95" s="272"/>
      <c r="MO95" s="272"/>
      <c r="MP95" s="272"/>
      <c r="MQ95" s="272"/>
      <c r="MR95" s="272"/>
      <c r="MS95" s="272"/>
      <c r="MT95" s="272"/>
      <c r="MU95" s="272"/>
      <c r="MV95" s="272"/>
      <c r="MW95" s="272"/>
      <c r="MX95" s="272"/>
      <c r="MY95" s="272"/>
      <c r="MZ95" s="272"/>
      <c r="NA95" s="272"/>
      <c r="NB95" s="272"/>
      <c r="NC95" s="272"/>
      <c r="ND95" s="272"/>
      <c r="NE95" s="272"/>
      <c r="NF95" s="272"/>
      <c r="NG95" s="272"/>
      <c r="NH95" s="272"/>
      <c r="NI95" s="272"/>
      <c r="NJ95" s="272"/>
      <c r="NK95" s="272"/>
      <c r="NL95" s="272"/>
      <c r="NM95" s="272"/>
      <c r="NN95" s="272"/>
      <c r="NO95" s="272"/>
      <c r="NP95" s="272"/>
      <c r="NQ95" s="272"/>
      <c r="NR95" s="272"/>
      <c r="NS95" s="272"/>
      <c r="NT95" s="272"/>
      <c r="NU95" s="272"/>
      <c r="NV95" s="272"/>
      <c r="NW95" s="272"/>
      <c r="NX95" s="272"/>
      <c r="NY95" s="272"/>
      <c r="NZ95" s="272"/>
      <c r="OA95" s="272"/>
      <c r="OB95" s="272"/>
      <c r="OC95" s="272"/>
      <c r="OD95" s="272"/>
      <c r="OE95" s="272"/>
      <c r="OF95" s="272"/>
      <c r="OG95" s="272"/>
      <c r="OH95" s="272"/>
      <c r="OI95" s="272"/>
      <c r="OJ95" s="272"/>
      <c r="OK95" s="272"/>
      <c r="OL95" s="272"/>
      <c r="OM95" s="272"/>
      <c r="ON95" s="272"/>
      <c r="OO95" s="272"/>
      <c r="OP95" s="272"/>
      <c r="OQ95" s="272"/>
      <c r="OR95" s="272"/>
      <c r="OS95" s="272"/>
      <c r="OT95" s="272"/>
      <c r="OU95" s="272"/>
      <c r="OV95" s="272"/>
      <c r="OW95" s="272"/>
      <c r="OX95" s="272"/>
      <c r="OY95" s="272"/>
      <c r="OZ95" s="272"/>
      <c r="PA95" s="272"/>
      <c r="PB95" s="272"/>
      <c r="PC95" s="272"/>
      <c r="PD95" s="272"/>
      <c r="PE95" s="272"/>
      <c r="PF95" s="272"/>
      <c r="PG95" s="272"/>
      <c r="PH95" s="272"/>
      <c r="PI95" s="272"/>
      <c r="PJ95" s="272"/>
      <c r="PK95" s="272"/>
      <c r="PL95" s="272"/>
      <c r="PM95" s="272"/>
      <c r="PN95" s="272"/>
      <c r="PO95" s="272"/>
      <c r="PP95" s="272"/>
      <c r="PQ95" s="272"/>
      <c r="PR95" s="272"/>
      <c r="PS95" s="272"/>
      <c r="PT95" s="272"/>
      <c r="PU95" s="272"/>
      <c r="PV95" s="272"/>
      <c r="PW95" s="272"/>
      <c r="PX95" s="272"/>
      <c r="PY95" s="272"/>
      <c r="PZ95" s="272"/>
      <c r="QA95" s="272"/>
      <c r="QB95" s="272"/>
      <c r="QC95" s="272"/>
      <c r="QD95" s="272"/>
      <c r="QE95" s="272"/>
      <c r="QF95" s="272"/>
      <c r="QG95" s="272"/>
      <c r="QH95" s="272"/>
      <c r="QI95" s="272"/>
      <c r="QJ95" s="272"/>
      <c r="QK95" s="272"/>
      <c r="QL95" s="272"/>
      <c r="QM95" s="272"/>
      <c r="QN95" s="272"/>
      <c r="QO95" s="272"/>
      <c r="QP95" s="272"/>
      <c r="QQ95" s="272"/>
      <c r="QR95" s="272"/>
      <c r="QS95" s="272"/>
      <c r="QT95" s="272"/>
      <c r="QU95" s="272"/>
      <c r="QV95" s="272"/>
      <c r="QW95" s="272"/>
      <c r="QX95" s="272"/>
      <c r="QY95" s="272"/>
      <c r="QZ95" s="272"/>
      <c r="RA95" s="272"/>
      <c r="RB95" s="272"/>
      <c r="RC95" s="272"/>
      <c r="RD95" s="272"/>
      <c r="RE95" s="272"/>
      <c r="RF95" s="272"/>
      <c r="RG95" s="272"/>
      <c r="RH95" s="272"/>
      <c r="RI95" s="272"/>
      <c r="RJ95" s="272"/>
      <c r="RK95" s="272"/>
      <c r="RL95" s="272"/>
      <c r="RM95" s="272"/>
      <c r="RN95" s="272"/>
      <c r="RO95" s="272"/>
      <c r="RP95" s="272"/>
      <c r="RQ95" s="272"/>
      <c r="RR95" s="272"/>
      <c r="RS95" s="272"/>
      <c r="RT95" s="272"/>
      <c r="RU95" s="272"/>
      <c r="RV95" s="272"/>
      <c r="RW95" s="272"/>
      <c r="RX95" s="272"/>
      <c r="RY95" s="272"/>
      <c r="RZ95" s="272"/>
      <c r="SA95" s="272"/>
      <c r="SB95" s="272"/>
      <c r="SC95" s="272"/>
      <c r="SD95" s="272"/>
      <c r="SE95" s="272"/>
      <c r="SF95" s="272"/>
      <c r="SG95" s="272"/>
      <c r="SH95" s="272"/>
      <c r="SI95" s="272"/>
      <c r="SJ95" s="272"/>
      <c r="SK95" s="272"/>
      <c r="SL95" s="272"/>
      <c r="SM95" s="272"/>
      <c r="SN95" s="272"/>
      <c r="SO95" s="272"/>
      <c r="SP95" s="272"/>
      <c r="SQ95" s="272"/>
      <c r="SR95" s="272"/>
      <c r="SS95" s="272"/>
      <c r="ST95" s="272"/>
      <c r="SU95" s="272"/>
      <c r="SV95" s="272"/>
      <c r="SW95" s="272"/>
      <c r="SX95" s="272"/>
      <c r="SY95" s="272"/>
      <c r="SZ95" s="272"/>
      <c r="TA95" s="272"/>
      <c r="TB95" s="272"/>
      <c r="TC95" s="272"/>
      <c r="TD95" s="272"/>
      <c r="TE95" s="272"/>
      <c r="TF95" s="272"/>
      <c r="TG95" s="272"/>
      <c r="TH95" s="272"/>
      <c r="TI95" s="272"/>
      <c r="TJ95" s="272"/>
      <c r="TK95" s="272"/>
      <c r="TL95" s="272"/>
      <c r="TM95" s="272"/>
      <c r="TN95" s="272"/>
      <c r="TO95" s="272"/>
      <c r="TP95" s="272"/>
      <c r="TQ95" s="272"/>
      <c r="TR95" s="272"/>
      <c r="TS95" s="272"/>
      <c r="TT95" s="272"/>
      <c r="TU95" s="272"/>
      <c r="TV95" s="272"/>
      <c r="TW95" s="272"/>
      <c r="TX95" s="272"/>
      <c r="TY95" s="272"/>
      <c r="TZ95" s="272"/>
      <c r="UA95" s="272"/>
      <c r="UB95" s="272"/>
      <c r="UC95" s="272"/>
      <c r="UD95" s="272"/>
      <c r="UE95" s="272"/>
      <c r="UF95" s="272"/>
      <c r="UG95" s="272"/>
      <c r="UH95" s="272"/>
      <c r="UI95" s="272"/>
      <c r="UJ95" s="272"/>
      <c r="UK95" s="272"/>
      <c r="UL95" s="272"/>
      <c r="UM95" s="272"/>
      <c r="UN95" s="272"/>
      <c r="UO95" s="272"/>
      <c r="UP95" s="272"/>
      <c r="UQ95" s="272"/>
      <c r="UR95" s="272"/>
      <c r="US95" s="272"/>
      <c r="UT95" s="272"/>
      <c r="UU95" s="272"/>
      <c r="UV95" s="272"/>
      <c r="UW95" s="272"/>
      <c r="UX95" s="272"/>
      <c r="UY95" s="272"/>
      <c r="UZ95" s="272"/>
      <c r="VA95" s="272"/>
      <c r="VB95" s="272"/>
      <c r="VC95" s="272"/>
      <c r="VD95" s="272"/>
      <c r="VE95" s="272"/>
      <c r="VF95" s="272"/>
      <c r="VG95" s="272"/>
      <c r="VH95" s="272"/>
      <c r="VI95" s="272"/>
      <c r="VJ95" s="272"/>
      <c r="VK95" s="272"/>
      <c r="VL95" s="272"/>
      <c r="VM95" s="272"/>
      <c r="VN95" s="272"/>
      <c r="VO95" s="272"/>
      <c r="VP95" s="272"/>
      <c r="VQ95" s="272"/>
      <c r="VR95" s="272"/>
      <c r="VS95" s="272"/>
      <c r="VT95" s="272"/>
      <c r="VU95" s="272"/>
      <c r="VV95" s="272"/>
      <c r="VW95" s="272"/>
      <c r="VX95" s="272"/>
      <c r="VY95" s="272"/>
      <c r="VZ95" s="272"/>
      <c r="WA95" s="272"/>
      <c r="WB95" s="272"/>
      <c r="WC95" s="272"/>
      <c r="WD95" s="272"/>
      <c r="WE95" s="272"/>
      <c r="WF95" s="272"/>
      <c r="WG95" s="272"/>
      <c r="WH95" s="272"/>
      <c r="WI95" s="272"/>
      <c r="WJ95" s="272"/>
      <c r="WK95" s="272"/>
      <c r="WL95" s="272"/>
      <c r="WM95" s="272"/>
      <c r="WN95" s="272"/>
      <c r="WO95" s="272"/>
      <c r="WP95" s="272"/>
      <c r="WQ95" s="272"/>
      <c r="WR95" s="272"/>
      <c r="WS95" s="272"/>
      <c r="WT95" s="272"/>
      <c r="WU95" s="272"/>
      <c r="WV95" s="272"/>
      <c r="WW95" s="272"/>
      <c r="WX95" s="272"/>
      <c r="WY95" s="272"/>
      <c r="WZ95" s="272"/>
      <c r="XA95" s="272"/>
      <c r="XB95" s="272"/>
      <c r="XC95" s="272"/>
      <c r="XD95" s="272"/>
      <c r="XE95" s="272"/>
      <c r="XF95" s="272"/>
      <c r="XG95" s="272"/>
      <c r="XH95" s="272"/>
      <c r="XI95" s="272"/>
      <c r="XJ95" s="272"/>
      <c r="XK95" s="272"/>
      <c r="XL95" s="272"/>
      <c r="XM95" s="272"/>
      <c r="XN95" s="272"/>
      <c r="XO95" s="272"/>
      <c r="XP95" s="272"/>
      <c r="XQ95" s="272"/>
      <c r="XR95" s="272"/>
      <c r="XS95" s="272"/>
      <c r="XT95" s="272"/>
      <c r="XU95" s="272"/>
      <c r="XV95" s="272"/>
      <c r="XW95" s="272"/>
      <c r="XX95" s="272"/>
      <c r="XY95" s="272"/>
      <c r="XZ95" s="272"/>
      <c r="YA95" s="272"/>
      <c r="YB95" s="272"/>
      <c r="YC95" s="272"/>
      <c r="YD95" s="272"/>
      <c r="YE95" s="272"/>
      <c r="YF95" s="272"/>
      <c r="YG95" s="272"/>
      <c r="YH95" s="272"/>
      <c r="YI95" s="272"/>
      <c r="YJ95" s="272"/>
      <c r="YK95" s="272"/>
      <c r="YL95" s="272"/>
      <c r="YM95" s="272"/>
      <c r="YN95" s="272"/>
      <c r="YO95" s="272"/>
      <c r="YP95" s="272"/>
      <c r="YQ95" s="272"/>
      <c r="YR95" s="272"/>
      <c r="YS95" s="272"/>
      <c r="YT95" s="272"/>
      <c r="YU95" s="272"/>
      <c r="YV95" s="272"/>
      <c r="YW95" s="272"/>
      <c r="YX95" s="272"/>
      <c r="YY95" s="272"/>
      <c r="YZ95" s="272"/>
      <c r="ZA95" s="272"/>
      <c r="ZB95" s="272"/>
      <c r="ZC95" s="272"/>
      <c r="ZD95" s="272"/>
      <c r="ZE95" s="272"/>
      <c r="ZF95" s="272"/>
      <c r="ZG95" s="272"/>
      <c r="ZH95" s="272"/>
      <c r="ZI95" s="272"/>
      <c r="ZJ95" s="272"/>
      <c r="ZK95" s="272"/>
      <c r="ZL95" s="272"/>
      <c r="ZM95" s="272"/>
      <c r="ZN95" s="272"/>
      <c r="ZO95" s="272"/>
      <c r="ZP95" s="272"/>
      <c r="ZQ95" s="272"/>
      <c r="ZR95" s="272"/>
      <c r="ZS95" s="272"/>
      <c r="ZT95" s="272"/>
      <c r="ZU95" s="272"/>
      <c r="ZV95" s="272"/>
      <c r="ZW95" s="272"/>
      <c r="ZX95" s="272"/>
      <c r="ZY95" s="272"/>
      <c r="ZZ95" s="272"/>
      <c r="AAA95" s="272"/>
      <c r="AAB95" s="272"/>
      <c r="AAC95" s="272"/>
      <c r="AAD95" s="272"/>
      <c r="AAE95" s="272"/>
      <c r="AAF95" s="272"/>
      <c r="AAG95" s="272"/>
      <c r="AAH95" s="272"/>
      <c r="AAI95" s="272"/>
      <c r="AAJ95" s="272"/>
      <c r="AAK95" s="272"/>
      <c r="AAL95" s="272"/>
      <c r="AAM95" s="272"/>
      <c r="AAN95" s="272"/>
      <c r="AAO95" s="272"/>
      <c r="AAP95" s="272"/>
      <c r="AAQ95" s="272"/>
      <c r="AAR95" s="272"/>
      <c r="AAS95" s="272"/>
      <c r="AAT95" s="272"/>
      <c r="AAU95" s="272"/>
      <c r="AAV95" s="272"/>
      <c r="AAW95" s="272"/>
      <c r="AAX95" s="272"/>
      <c r="AAY95" s="272"/>
      <c r="AAZ95" s="272"/>
      <c r="ABA95" s="272"/>
      <c r="ABB95" s="272"/>
      <c r="ABC95" s="272"/>
      <c r="ABD95" s="272"/>
      <c r="ABE95" s="272"/>
      <c r="ABF95" s="272"/>
      <c r="ABG95" s="272"/>
    </row>
    <row r="96" spans="1:735" s="86" customFormat="1" ht="12.75" customHeight="1">
      <c r="A96" s="39"/>
      <c r="B96" s="40"/>
      <c r="C96" s="597"/>
      <c r="D96" s="600"/>
      <c r="E96" s="619"/>
      <c r="F96" s="626"/>
      <c r="G96" s="636"/>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72"/>
      <c r="BU96" s="272"/>
      <c r="BV96" s="272"/>
      <c r="BW96" s="272"/>
      <c r="BX96" s="272"/>
      <c r="BY96" s="272"/>
      <c r="BZ96" s="272"/>
      <c r="CA96" s="272"/>
      <c r="CB96" s="272"/>
      <c r="CC96" s="272"/>
      <c r="CD96" s="272"/>
      <c r="CE96" s="272"/>
      <c r="CF96" s="272"/>
      <c r="CG96" s="272"/>
      <c r="CH96" s="272"/>
      <c r="CI96" s="272"/>
      <c r="CJ96" s="272"/>
      <c r="CK96" s="272"/>
      <c r="CL96" s="272"/>
      <c r="CM96" s="272"/>
      <c r="CN96" s="272"/>
      <c r="CO96" s="272"/>
      <c r="CP96" s="272"/>
      <c r="CQ96" s="272"/>
      <c r="CR96" s="272"/>
      <c r="CS96" s="272"/>
      <c r="CT96" s="272"/>
      <c r="CU96" s="272"/>
      <c r="CV96" s="272"/>
      <c r="CW96" s="272"/>
      <c r="CX96" s="272"/>
      <c r="CY96" s="272"/>
      <c r="CZ96" s="272"/>
      <c r="DA96" s="272"/>
      <c r="DB96" s="272"/>
      <c r="DC96" s="272"/>
      <c r="DD96" s="272"/>
      <c r="DE96" s="272"/>
      <c r="DF96" s="272"/>
      <c r="DG96" s="272"/>
      <c r="DH96" s="272"/>
      <c r="DI96" s="272"/>
      <c r="DJ96" s="272"/>
      <c r="DK96" s="272"/>
      <c r="DL96" s="272"/>
      <c r="DM96" s="272"/>
      <c r="DN96" s="272"/>
      <c r="DO96" s="272"/>
      <c r="DP96" s="272"/>
      <c r="DQ96" s="272"/>
      <c r="DR96" s="272"/>
      <c r="DS96" s="272"/>
      <c r="DT96" s="272"/>
      <c r="DU96" s="272"/>
      <c r="DV96" s="272"/>
      <c r="DW96" s="272"/>
      <c r="DX96" s="272"/>
      <c r="DY96" s="272"/>
      <c r="DZ96" s="272"/>
      <c r="EA96" s="272"/>
      <c r="EB96" s="272"/>
      <c r="EC96" s="272"/>
      <c r="ED96" s="272"/>
      <c r="EE96" s="272"/>
      <c r="EF96" s="272"/>
      <c r="EG96" s="272"/>
      <c r="EH96" s="272"/>
      <c r="EI96" s="272"/>
      <c r="EJ96" s="272"/>
      <c r="EK96" s="272"/>
      <c r="EL96" s="272"/>
      <c r="EM96" s="272"/>
      <c r="EN96" s="272"/>
      <c r="EO96" s="272"/>
      <c r="EP96" s="272"/>
      <c r="EQ96" s="272"/>
      <c r="ER96" s="272"/>
      <c r="ES96" s="272"/>
      <c r="ET96" s="272"/>
      <c r="EU96" s="272"/>
      <c r="EV96" s="272"/>
      <c r="EW96" s="272"/>
      <c r="EX96" s="272"/>
      <c r="EY96" s="272"/>
      <c r="EZ96" s="272"/>
      <c r="FA96" s="272"/>
      <c r="FB96" s="272"/>
      <c r="FC96" s="272"/>
      <c r="FD96" s="272"/>
      <c r="FE96" s="272"/>
      <c r="FF96" s="272"/>
      <c r="FG96" s="272"/>
      <c r="FH96" s="272"/>
      <c r="FI96" s="272"/>
      <c r="FJ96" s="272"/>
      <c r="FK96" s="272"/>
      <c r="FL96" s="272"/>
      <c r="FM96" s="272"/>
      <c r="FN96" s="272"/>
      <c r="FO96" s="272"/>
      <c r="FP96" s="272"/>
      <c r="FQ96" s="272"/>
      <c r="FR96" s="272"/>
      <c r="FS96" s="272"/>
      <c r="FT96" s="272"/>
      <c r="FU96" s="272"/>
      <c r="FV96" s="272"/>
      <c r="FW96" s="272"/>
      <c r="FX96" s="272"/>
      <c r="FY96" s="272"/>
      <c r="FZ96" s="272"/>
      <c r="GA96" s="272"/>
      <c r="GB96" s="272"/>
      <c r="GC96" s="272"/>
      <c r="GD96" s="272"/>
      <c r="GE96" s="272"/>
      <c r="GF96" s="272"/>
      <c r="GG96" s="272"/>
      <c r="GH96" s="272"/>
      <c r="GI96" s="272"/>
      <c r="GJ96" s="272"/>
      <c r="GK96" s="272"/>
      <c r="GL96" s="272"/>
      <c r="GM96" s="272"/>
      <c r="GN96" s="272"/>
      <c r="GO96" s="272"/>
      <c r="GP96" s="272"/>
      <c r="GQ96" s="272"/>
      <c r="GR96" s="272"/>
      <c r="GS96" s="272"/>
      <c r="GT96" s="272"/>
      <c r="GU96" s="272"/>
      <c r="GV96" s="272"/>
      <c r="GW96" s="272"/>
      <c r="GX96" s="272"/>
      <c r="GY96" s="272"/>
      <c r="GZ96" s="272"/>
      <c r="HA96" s="272"/>
      <c r="HB96" s="272"/>
      <c r="HC96" s="272"/>
      <c r="HD96" s="272"/>
      <c r="HE96" s="272"/>
      <c r="HF96" s="272"/>
      <c r="HG96" s="272"/>
      <c r="HH96" s="272"/>
      <c r="HI96" s="272"/>
      <c r="HJ96" s="272"/>
      <c r="HK96" s="272"/>
      <c r="HL96" s="272"/>
      <c r="HM96" s="272"/>
      <c r="HN96" s="272"/>
      <c r="HO96" s="272"/>
      <c r="HP96" s="272"/>
      <c r="HQ96" s="272"/>
      <c r="HR96" s="272"/>
      <c r="HS96" s="272"/>
      <c r="HT96" s="272"/>
      <c r="HU96" s="272"/>
      <c r="HV96" s="272"/>
      <c r="HW96" s="272"/>
      <c r="HX96" s="272"/>
      <c r="HY96" s="272"/>
      <c r="HZ96" s="272"/>
      <c r="IA96" s="272"/>
      <c r="IB96" s="272"/>
      <c r="IC96" s="272"/>
      <c r="ID96" s="272"/>
      <c r="IE96" s="272"/>
      <c r="IF96" s="272"/>
      <c r="IG96" s="272"/>
      <c r="IH96" s="272"/>
      <c r="II96" s="272"/>
      <c r="IJ96" s="272"/>
      <c r="IK96" s="272"/>
      <c r="IL96" s="272"/>
      <c r="IM96" s="272"/>
      <c r="IN96" s="272"/>
      <c r="IO96" s="272"/>
      <c r="IP96" s="272"/>
      <c r="IQ96" s="272"/>
      <c r="IR96" s="272"/>
      <c r="IS96" s="272"/>
      <c r="IT96" s="272"/>
      <c r="IU96" s="272"/>
      <c r="IV96" s="272"/>
      <c r="IW96" s="272"/>
      <c r="IX96" s="272"/>
      <c r="IY96" s="272"/>
      <c r="IZ96" s="272"/>
      <c r="JA96" s="272"/>
      <c r="JB96" s="272"/>
      <c r="JC96" s="272"/>
      <c r="JD96" s="272"/>
      <c r="JE96" s="272"/>
      <c r="JF96" s="272"/>
      <c r="JG96" s="272"/>
      <c r="JH96" s="272"/>
      <c r="JI96" s="272"/>
      <c r="JJ96" s="272"/>
      <c r="JK96" s="272"/>
      <c r="JL96" s="272"/>
      <c r="JM96" s="272"/>
      <c r="JN96" s="272"/>
      <c r="JO96" s="272"/>
      <c r="JP96" s="272"/>
      <c r="JQ96" s="272"/>
      <c r="JR96" s="272"/>
      <c r="JS96" s="272"/>
      <c r="JT96" s="272"/>
      <c r="JU96" s="272"/>
      <c r="JV96" s="272"/>
      <c r="JW96" s="272"/>
      <c r="JX96" s="272"/>
      <c r="JY96" s="272"/>
      <c r="JZ96" s="272"/>
      <c r="KA96" s="272"/>
      <c r="KB96" s="272"/>
      <c r="KC96" s="272"/>
      <c r="KD96" s="272"/>
      <c r="KE96" s="272"/>
      <c r="KF96" s="272"/>
      <c r="KG96" s="272"/>
      <c r="KH96" s="272"/>
      <c r="KI96" s="272"/>
      <c r="KJ96" s="272"/>
      <c r="KK96" s="272"/>
      <c r="KL96" s="272"/>
      <c r="KM96" s="272"/>
      <c r="KN96" s="272"/>
      <c r="KO96" s="272"/>
      <c r="KP96" s="272"/>
      <c r="KQ96" s="272"/>
      <c r="KR96" s="272"/>
      <c r="KS96" s="272"/>
      <c r="KT96" s="272"/>
      <c r="KU96" s="272"/>
      <c r="KV96" s="272"/>
      <c r="KW96" s="272"/>
      <c r="KX96" s="272"/>
      <c r="KY96" s="272"/>
      <c r="KZ96" s="272"/>
      <c r="LA96" s="272"/>
      <c r="LB96" s="272"/>
      <c r="LC96" s="272"/>
      <c r="LD96" s="272"/>
      <c r="LE96" s="272"/>
      <c r="LF96" s="272"/>
      <c r="LG96" s="272"/>
      <c r="LH96" s="272"/>
      <c r="LI96" s="272"/>
      <c r="LJ96" s="272"/>
      <c r="LK96" s="272"/>
      <c r="LL96" s="272"/>
      <c r="LM96" s="272"/>
      <c r="LN96" s="272"/>
      <c r="LO96" s="272"/>
      <c r="LP96" s="272"/>
      <c r="LQ96" s="272"/>
      <c r="LR96" s="272"/>
      <c r="LS96" s="272"/>
      <c r="LT96" s="272"/>
      <c r="LU96" s="272"/>
      <c r="LV96" s="272"/>
      <c r="LW96" s="272"/>
      <c r="LX96" s="272"/>
      <c r="LY96" s="272"/>
      <c r="LZ96" s="272"/>
      <c r="MA96" s="272"/>
      <c r="MB96" s="272"/>
      <c r="MC96" s="272"/>
      <c r="MD96" s="272"/>
      <c r="ME96" s="272"/>
      <c r="MF96" s="272"/>
      <c r="MG96" s="272"/>
      <c r="MH96" s="272"/>
      <c r="MI96" s="272"/>
      <c r="MJ96" s="272"/>
      <c r="MK96" s="272"/>
      <c r="ML96" s="272"/>
      <c r="MM96" s="272"/>
      <c r="MN96" s="272"/>
      <c r="MO96" s="272"/>
      <c r="MP96" s="272"/>
      <c r="MQ96" s="272"/>
      <c r="MR96" s="272"/>
      <c r="MS96" s="272"/>
      <c r="MT96" s="272"/>
      <c r="MU96" s="272"/>
      <c r="MV96" s="272"/>
      <c r="MW96" s="272"/>
      <c r="MX96" s="272"/>
      <c r="MY96" s="272"/>
      <c r="MZ96" s="272"/>
      <c r="NA96" s="272"/>
      <c r="NB96" s="272"/>
      <c r="NC96" s="272"/>
      <c r="ND96" s="272"/>
      <c r="NE96" s="272"/>
      <c r="NF96" s="272"/>
      <c r="NG96" s="272"/>
      <c r="NH96" s="272"/>
      <c r="NI96" s="272"/>
      <c r="NJ96" s="272"/>
      <c r="NK96" s="272"/>
      <c r="NL96" s="272"/>
      <c r="NM96" s="272"/>
      <c r="NN96" s="272"/>
      <c r="NO96" s="272"/>
      <c r="NP96" s="272"/>
      <c r="NQ96" s="272"/>
      <c r="NR96" s="272"/>
      <c r="NS96" s="272"/>
      <c r="NT96" s="272"/>
      <c r="NU96" s="272"/>
      <c r="NV96" s="272"/>
      <c r="NW96" s="272"/>
      <c r="NX96" s="272"/>
      <c r="NY96" s="272"/>
      <c r="NZ96" s="272"/>
      <c r="OA96" s="272"/>
      <c r="OB96" s="272"/>
      <c r="OC96" s="272"/>
      <c r="OD96" s="272"/>
      <c r="OE96" s="272"/>
      <c r="OF96" s="272"/>
      <c r="OG96" s="272"/>
      <c r="OH96" s="272"/>
      <c r="OI96" s="272"/>
      <c r="OJ96" s="272"/>
      <c r="OK96" s="272"/>
      <c r="OL96" s="272"/>
      <c r="OM96" s="272"/>
      <c r="ON96" s="272"/>
      <c r="OO96" s="272"/>
      <c r="OP96" s="272"/>
      <c r="OQ96" s="272"/>
      <c r="OR96" s="272"/>
      <c r="OS96" s="272"/>
      <c r="OT96" s="272"/>
      <c r="OU96" s="272"/>
      <c r="OV96" s="272"/>
      <c r="OW96" s="272"/>
      <c r="OX96" s="272"/>
      <c r="OY96" s="272"/>
      <c r="OZ96" s="272"/>
      <c r="PA96" s="272"/>
      <c r="PB96" s="272"/>
      <c r="PC96" s="272"/>
      <c r="PD96" s="272"/>
      <c r="PE96" s="272"/>
      <c r="PF96" s="272"/>
      <c r="PG96" s="272"/>
      <c r="PH96" s="272"/>
      <c r="PI96" s="272"/>
      <c r="PJ96" s="272"/>
      <c r="PK96" s="272"/>
      <c r="PL96" s="272"/>
      <c r="PM96" s="272"/>
      <c r="PN96" s="272"/>
      <c r="PO96" s="272"/>
      <c r="PP96" s="272"/>
      <c r="PQ96" s="272"/>
      <c r="PR96" s="272"/>
      <c r="PS96" s="272"/>
      <c r="PT96" s="272"/>
      <c r="PU96" s="272"/>
      <c r="PV96" s="272"/>
      <c r="PW96" s="272"/>
      <c r="PX96" s="272"/>
      <c r="PY96" s="272"/>
      <c r="PZ96" s="272"/>
      <c r="QA96" s="272"/>
      <c r="QB96" s="272"/>
      <c r="QC96" s="272"/>
      <c r="QD96" s="272"/>
      <c r="QE96" s="272"/>
      <c r="QF96" s="272"/>
      <c r="QG96" s="272"/>
      <c r="QH96" s="272"/>
      <c r="QI96" s="272"/>
      <c r="QJ96" s="272"/>
      <c r="QK96" s="272"/>
      <c r="QL96" s="272"/>
      <c r="QM96" s="272"/>
      <c r="QN96" s="272"/>
      <c r="QO96" s="272"/>
      <c r="QP96" s="272"/>
      <c r="QQ96" s="272"/>
      <c r="QR96" s="272"/>
      <c r="QS96" s="272"/>
      <c r="QT96" s="272"/>
      <c r="QU96" s="272"/>
      <c r="QV96" s="272"/>
      <c r="QW96" s="272"/>
      <c r="QX96" s="272"/>
      <c r="QY96" s="272"/>
      <c r="QZ96" s="272"/>
      <c r="RA96" s="272"/>
      <c r="RB96" s="272"/>
      <c r="RC96" s="272"/>
      <c r="RD96" s="272"/>
      <c r="RE96" s="272"/>
      <c r="RF96" s="272"/>
      <c r="RG96" s="272"/>
      <c r="RH96" s="272"/>
      <c r="RI96" s="272"/>
      <c r="RJ96" s="272"/>
      <c r="RK96" s="272"/>
      <c r="RL96" s="272"/>
      <c r="RM96" s="272"/>
      <c r="RN96" s="272"/>
      <c r="RO96" s="272"/>
      <c r="RP96" s="272"/>
      <c r="RQ96" s="272"/>
      <c r="RR96" s="272"/>
      <c r="RS96" s="272"/>
      <c r="RT96" s="272"/>
      <c r="RU96" s="272"/>
      <c r="RV96" s="272"/>
      <c r="RW96" s="272"/>
      <c r="RX96" s="272"/>
      <c r="RY96" s="272"/>
      <c r="RZ96" s="272"/>
      <c r="SA96" s="272"/>
      <c r="SB96" s="272"/>
      <c r="SC96" s="272"/>
      <c r="SD96" s="272"/>
      <c r="SE96" s="272"/>
      <c r="SF96" s="272"/>
      <c r="SG96" s="272"/>
      <c r="SH96" s="272"/>
      <c r="SI96" s="272"/>
      <c r="SJ96" s="272"/>
      <c r="SK96" s="272"/>
      <c r="SL96" s="272"/>
      <c r="SM96" s="272"/>
      <c r="SN96" s="272"/>
      <c r="SO96" s="272"/>
      <c r="SP96" s="272"/>
      <c r="SQ96" s="272"/>
      <c r="SR96" s="272"/>
      <c r="SS96" s="272"/>
      <c r="ST96" s="272"/>
      <c r="SU96" s="272"/>
      <c r="SV96" s="272"/>
      <c r="SW96" s="272"/>
      <c r="SX96" s="272"/>
      <c r="SY96" s="272"/>
      <c r="SZ96" s="272"/>
      <c r="TA96" s="272"/>
      <c r="TB96" s="272"/>
      <c r="TC96" s="272"/>
      <c r="TD96" s="272"/>
      <c r="TE96" s="272"/>
      <c r="TF96" s="272"/>
      <c r="TG96" s="272"/>
      <c r="TH96" s="272"/>
      <c r="TI96" s="272"/>
      <c r="TJ96" s="272"/>
      <c r="TK96" s="272"/>
      <c r="TL96" s="272"/>
      <c r="TM96" s="272"/>
      <c r="TN96" s="272"/>
      <c r="TO96" s="272"/>
      <c r="TP96" s="272"/>
      <c r="TQ96" s="272"/>
      <c r="TR96" s="272"/>
      <c r="TS96" s="272"/>
      <c r="TT96" s="272"/>
      <c r="TU96" s="272"/>
      <c r="TV96" s="272"/>
      <c r="TW96" s="272"/>
      <c r="TX96" s="272"/>
      <c r="TY96" s="272"/>
      <c r="TZ96" s="272"/>
      <c r="UA96" s="272"/>
      <c r="UB96" s="272"/>
      <c r="UC96" s="272"/>
      <c r="UD96" s="272"/>
      <c r="UE96" s="272"/>
      <c r="UF96" s="272"/>
      <c r="UG96" s="272"/>
      <c r="UH96" s="272"/>
      <c r="UI96" s="272"/>
      <c r="UJ96" s="272"/>
      <c r="UK96" s="272"/>
      <c r="UL96" s="272"/>
      <c r="UM96" s="272"/>
      <c r="UN96" s="272"/>
      <c r="UO96" s="272"/>
      <c r="UP96" s="272"/>
      <c r="UQ96" s="272"/>
      <c r="UR96" s="272"/>
      <c r="US96" s="272"/>
      <c r="UT96" s="272"/>
      <c r="UU96" s="272"/>
      <c r="UV96" s="272"/>
      <c r="UW96" s="272"/>
      <c r="UX96" s="272"/>
      <c r="UY96" s="272"/>
      <c r="UZ96" s="272"/>
      <c r="VA96" s="272"/>
      <c r="VB96" s="272"/>
      <c r="VC96" s="272"/>
      <c r="VD96" s="272"/>
      <c r="VE96" s="272"/>
      <c r="VF96" s="272"/>
      <c r="VG96" s="272"/>
      <c r="VH96" s="272"/>
      <c r="VI96" s="272"/>
      <c r="VJ96" s="272"/>
      <c r="VK96" s="272"/>
      <c r="VL96" s="272"/>
      <c r="VM96" s="272"/>
      <c r="VN96" s="272"/>
      <c r="VO96" s="272"/>
      <c r="VP96" s="272"/>
      <c r="VQ96" s="272"/>
      <c r="VR96" s="272"/>
      <c r="VS96" s="272"/>
      <c r="VT96" s="272"/>
      <c r="VU96" s="272"/>
      <c r="VV96" s="272"/>
      <c r="VW96" s="272"/>
      <c r="VX96" s="272"/>
      <c r="VY96" s="272"/>
      <c r="VZ96" s="272"/>
      <c r="WA96" s="272"/>
      <c r="WB96" s="272"/>
      <c r="WC96" s="272"/>
      <c r="WD96" s="272"/>
      <c r="WE96" s="272"/>
      <c r="WF96" s="272"/>
      <c r="WG96" s="272"/>
      <c r="WH96" s="272"/>
      <c r="WI96" s="272"/>
      <c r="WJ96" s="272"/>
      <c r="WK96" s="272"/>
      <c r="WL96" s="272"/>
      <c r="WM96" s="272"/>
      <c r="WN96" s="272"/>
      <c r="WO96" s="272"/>
      <c r="WP96" s="272"/>
      <c r="WQ96" s="272"/>
      <c r="WR96" s="272"/>
      <c r="WS96" s="272"/>
      <c r="WT96" s="272"/>
      <c r="WU96" s="272"/>
      <c r="WV96" s="272"/>
      <c r="WW96" s="272"/>
      <c r="WX96" s="272"/>
      <c r="WY96" s="272"/>
      <c r="WZ96" s="272"/>
      <c r="XA96" s="272"/>
      <c r="XB96" s="272"/>
      <c r="XC96" s="272"/>
      <c r="XD96" s="272"/>
      <c r="XE96" s="272"/>
      <c r="XF96" s="272"/>
      <c r="XG96" s="272"/>
      <c r="XH96" s="272"/>
      <c r="XI96" s="272"/>
      <c r="XJ96" s="272"/>
      <c r="XK96" s="272"/>
      <c r="XL96" s="272"/>
      <c r="XM96" s="272"/>
      <c r="XN96" s="272"/>
      <c r="XO96" s="272"/>
      <c r="XP96" s="272"/>
      <c r="XQ96" s="272"/>
      <c r="XR96" s="272"/>
      <c r="XS96" s="272"/>
      <c r="XT96" s="272"/>
      <c r="XU96" s="272"/>
      <c r="XV96" s="272"/>
      <c r="XW96" s="272"/>
      <c r="XX96" s="272"/>
      <c r="XY96" s="272"/>
      <c r="XZ96" s="272"/>
      <c r="YA96" s="272"/>
      <c r="YB96" s="272"/>
      <c r="YC96" s="272"/>
      <c r="YD96" s="272"/>
      <c r="YE96" s="272"/>
      <c r="YF96" s="272"/>
      <c r="YG96" s="272"/>
      <c r="YH96" s="272"/>
      <c r="YI96" s="272"/>
      <c r="YJ96" s="272"/>
      <c r="YK96" s="272"/>
      <c r="YL96" s="272"/>
      <c r="YM96" s="272"/>
      <c r="YN96" s="272"/>
      <c r="YO96" s="272"/>
      <c r="YP96" s="272"/>
      <c r="YQ96" s="272"/>
      <c r="YR96" s="272"/>
      <c r="YS96" s="272"/>
      <c r="YT96" s="272"/>
      <c r="YU96" s="272"/>
      <c r="YV96" s="272"/>
      <c r="YW96" s="272"/>
      <c r="YX96" s="272"/>
      <c r="YY96" s="272"/>
      <c r="YZ96" s="272"/>
      <c r="ZA96" s="272"/>
      <c r="ZB96" s="272"/>
      <c r="ZC96" s="272"/>
      <c r="ZD96" s="272"/>
      <c r="ZE96" s="272"/>
      <c r="ZF96" s="272"/>
      <c r="ZG96" s="272"/>
      <c r="ZH96" s="272"/>
      <c r="ZI96" s="272"/>
      <c r="ZJ96" s="272"/>
      <c r="ZK96" s="272"/>
      <c r="ZL96" s="272"/>
      <c r="ZM96" s="272"/>
      <c r="ZN96" s="272"/>
      <c r="ZO96" s="272"/>
      <c r="ZP96" s="272"/>
      <c r="ZQ96" s="272"/>
      <c r="ZR96" s="272"/>
      <c r="ZS96" s="272"/>
      <c r="ZT96" s="272"/>
      <c r="ZU96" s="272"/>
      <c r="ZV96" s="272"/>
      <c r="ZW96" s="272"/>
      <c r="ZX96" s="272"/>
      <c r="ZY96" s="272"/>
      <c r="ZZ96" s="272"/>
      <c r="AAA96" s="272"/>
      <c r="AAB96" s="272"/>
      <c r="AAC96" s="272"/>
      <c r="AAD96" s="272"/>
      <c r="AAE96" s="272"/>
      <c r="AAF96" s="272"/>
      <c r="AAG96" s="272"/>
      <c r="AAH96" s="272"/>
      <c r="AAI96" s="272"/>
      <c r="AAJ96" s="272"/>
      <c r="AAK96" s="272"/>
      <c r="AAL96" s="272"/>
      <c r="AAM96" s="272"/>
      <c r="AAN96" s="272"/>
      <c r="AAO96" s="272"/>
      <c r="AAP96" s="272"/>
      <c r="AAQ96" s="272"/>
      <c r="AAR96" s="272"/>
      <c r="AAS96" s="272"/>
      <c r="AAT96" s="272"/>
      <c r="AAU96" s="272"/>
      <c r="AAV96" s="272"/>
      <c r="AAW96" s="272"/>
      <c r="AAX96" s="272"/>
      <c r="AAY96" s="272"/>
      <c r="AAZ96" s="272"/>
      <c r="ABA96" s="272"/>
      <c r="ABB96" s="272"/>
      <c r="ABC96" s="272"/>
      <c r="ABD96" s="272"/>
      <c r="ABE96" s="272"/>
      <c r="ABF96" s="272"/>
      <c r="ABG96" s="272"/>
    </row>
    <row r="97" spans="1:735" s="86" customFormat="1" ht="12.75" customHeight="1">
      <c r="A97" s="39"/>
      <c r="B97" s="40"/>
      <c r="C97" s="597"/>
      <c r="D97" s="600"/>
      <c r="E97" s="619"/>
      <c r="F97" s="626"/>
      <c r="G97" s="636"/>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c r="BJ97" s="272"/>
      <c r="BK97" s="272"/>
      <c r="BL97" s="272"/>
      <c r="BM97" s="272"/>
      <c r="BN97" s="272"/>
      <c r="BO97" s="272"/>
      <c r="BP97" s="272"/>
      <c r="BQ97" s="272"/>
      <c r="BR97" s="272"/>
      <c r="BS97" s="272"/>
      <c r="BT97" s="272"/>
      <c r="BU97" s="272"/>
      <c r="BV97" s="272"/>
      <c r="BW97" s="272"/>
      <c r="BX97" s="272"/>
      <c r="BY97" s="272"/>
      <c r="BZ97" s="272"/>
      <c r="CA97" s="272"/>
      <c r="CB97" s="272"/>
      <c r="CC97" s="272"/>
      <c r="CD97" s="272"/>
      <c r="CE97" s="272"/>
      <c r="CF97" s="272"/>
      <c r="CG97" s="272"/>
      <c r="CH97" s="272"/>
      <c r="CI97" s="272"/>
      <c r="CJ97" s="272"/>
      <c r="CK97" s="272"/>
      <c r="CL97" s="272"/>
      <c r="CM97" s="272"/>
      <c r="CN97" s="272"/>
      <c r="CO97" s="272"/>
      <c r="CP97" s="272"/>
      <c r="CQ97" s="272"/>
      <c r="CR97" s="272"/>
      <c r="CS97" s="272"/>
      <c r="CT97" s="272"/>
      <c r="CU97" s="272"/>
      <c r="CV97" s="272"/>
      <c r="CW97" s="272"/>
      <c r="CX97" s="272"/>
      <c r="CY97" s="272"/>
      <c r="CZ97" s="272"/>
      <c r="DA97" s="272"/>
      <c r="DB97" s="272"/>
      <c r="DC97" s="272"/>
      <c r="DD97" s="272"/>
      <c r="DE97" s="272"/>
      <c r="DF97" s="272"/>
      <c r="DG97" s="272"/>
      <c r="DH97" s="272"/>
      <c r="DI97" s="272"/>
      <c r="DJ97" s="272"/>
      <c r="DK97" s="272"/>
      <c r="DL97" s="272"/>
      <c r="DM97" s="272"/>
      <c r="DN97" s="272"/>
      <c r="DO97" s="272"/>
      <c r="DP97" s="272"/>
      <c r="DQ97" s="272"/>
      <c r="DR97" s="272"/>
      <c r="DS97" s="272"/>
      <c r="DT97" s="272"/>
      <c r="DU97" s="272"/>
      <c r="DV97" s="272"/>
      <c r="DW97" s="272"/>
      <c r="DX97" s="272"/>
      <c r="DY97" s="272"/>
      <c r="DZ97" s="272"/>
      <c r="EA97" s="272"/>
      <c r="EB97" s="272"/>
      <c r="EC97" s="272"/>
      <c r="ED97" s="272"/>
      <c r="EE97" s="272"/>
      <c r="EF97" s="272"/>
      <c r="EG97" s="272"/>
      <c r="EH97" s="272"/>
      <c r="EI97" s="272"/>
      <c r="EJ97" s="272"/>
      <c r="EK97" s="272"/>
      <c r="EL97" s="272"/>
      <c r="EM97" s="272"/>
      <c r="EN97" s="272"/>
      <c r="EO97" s="272"/>
      <c r="EP97" s="272"/>
      <c r="EQ97" s="272"/>
      <c r="ER97" s="272"/>
      <c r="ES97" s="272"/>
      <c r="ET97" s="272"/>
      <c r="EU97" s="272"/>
      <c r="EV97" s="272"/>
      <c r="EW97" s="272"/>
      <c r="EX97" s="272"/>
      <c r="EY97" s="272"/>
      <c r="EZ97" s="272"/>
      <c r="FA97" s="272"/>
      <c r="FB97" s="272"/>
      <c r="FC97" s="272"/>
      <c r="FD97" s="272"/>
      <c r="FE97" s="272"/>
      <c r="FF97" s="272"/>
      <c r="FG97" s="272"/>
      <c r="FH97" s="272"/>
      <c r="FI97" s="272"/>
      <c r="FJ97" s="272"/>
      <c r="FK97" s="272"/>
      <c r="FL97" s="272"/>
      <c r="FM97" s="272"/>
      <c r="FN97" s="272"/>
      <c r="FO97" s="272"/>
      <c r="FP97" s="272"/>
      <c r="FQ97" s="272"/>
      <c r="FR97" s="272"/>
      <c r="FS97" s="272"/>
      <c r="FT97" s="272"/>
      <c r="FU97" s="272"/>
      <c r="FV97" s="272"/>
      <c r="FW97" s="272"/>
      <c r="FX97" s="272"/>
      <c r="FY97" s="272"/>
      <c r="FZ97" s="272"/>
      <c r="GA97" s="272"/>
      <c r="GB97" s="272"/>
      <c r="GC97" s="272"/>
      <c r="GD97" s="272"/>
      <c r="GE97" s="272"/>
      <c r="GF97" s="272"/>
      <c r="GG97" s="272"/>
      <c r="GH97" s="272"/>
      <c r="GI97" s="272"/>
      <c r="GJ97" s="272"/>
      <c r="GK97" s="272"/>
      <c r="GL97" s="272"/>
      <c r="GM97" s="272"/>
      <c r="GN97" s="272"/>
      <c r="GO97" s="272"/>
      <c r="GP97" s="272"/>
      <c r="GQ97" s="272"/>
      <c r="GR97" s="272"/>
      <c r="GS97" s="272"/>
      <c r="GT97" s="272"/>
      <c r="GU97" s="272"/>
      <c r="GV97" s="272"/>
      <c r="GW97" s="272"/>
      <c r="GX97" s="272"/>
      <c r="GY97" s="272"/>
      <c r="GZ97" s="272"/>
      <c r="HA97" s="272"/>
      <c r="HB97" s="272"/>
      <c r="HC97" s="272"/>
      <c r="HD97" s="272"/>
      <c r="HE97" s="272"/>
      <c r="HF97" s="272"/>
      <c r="HG97" s="272"/>
      <c r="HH97" s="272"/>
      <c r="HI97" s="272"/>
      <c r="HJ97" s="272"/>
      <c r="HK97" s="272"/>
      <c r="HL97" s="272"/>
      <c r="HM97" s="272"/>
      <c r="HN97" s="272"/>
      <c r="HO97" s="272"/>
      <c r="HP97" s="272"/>
      <c r="HQ97" s="272"/>
      <c r="HR97" s="272"/>
      <c r="HS97" s="272"/>
      <c r="HT97" s="272"/>
      <c r="HU97" s="272"/>
      <c r="HV97" s="272"/>
      <c r="HW97" s="272"/>
      <c r="HX97" s="272"/>
      <c r="HY97" s="272"/>
      <c r="HZ97" s="272"/>
      <c r="IA97" s="272"/>
      <c r="IB97" s="272"/>
      <c r="IC97" s="272"/>
      <c r="ID97" s="272"/>
      <c r="IE97" s="272"/>
      <c r="IF97" s="272"/>
      <c r="IG97" s="272"/>
      <c r="IH97" s="272"/>
      <c r="II97" s="272"/>
      <c r="IJ97" s="272"/>
      <c r="IK97" s="272"/>
      <c r="IL97" s="272"/>
      <c r="IM97" s="272"/>
      <c r="IN97" s="272"/>
      <c r="IO97" s="272"/>
      <c r="IP97" s="272"/>
      <c r="IQ97" s="272"/>
      <c r="IR97" s="272"/>
      <c r="IS97" s="272"/>
      <c r="IT97" s="272"/>
      <c r="IU97" s="272"/>
      <c r="IV97" s="272"/>
      <c r="IW97" s="272"/>
      <c r="IX97" s="272"/>
      <c r="IY97" s="272"/>
      <c r="IZ97" s="272"/>
      <c r="JA97" s="272"/>
      <c r="JB97" s="272"/>
      <c r="JC97" s="272"/>
      <c r="JD97" s="272"/>
      <c r="JE97" s="272"/>
      <c r="JF97" s="272"/>
      <c r="JG97" s="272"/>
      <c r="JH97" s="272"/>
      <c r="JI97" s="272"/>
      <c r="JJ97" s="272"/>
      <c r="JK97" s="272"/>
      <c r="JL97" s="272"/>
      <c r="JM97" s="272"/>
      <c r="JN97" s="272"/>
      <c r="JO97" s="272"/>
      <c r="JP97" s="272"/>
      <c r="JQ97" s="272"/>
      <c r="JR97" s="272"/>
      <c r="JS97" s="272"/>
      <c r="JT97" s="272"/>
      <c r="JU97" s="272"/>
      <c r="JV97" s="272"/>
      <c r="JW97" s="272"/>
      <c r="JX97" s="272"/>
      <c r="JY97" s="272"/>
      <c r="JZ97" s="272"/>
      <c r="KA97" s="272"/>
      <c r="KB97" s="272"/>
      <c r="KC97" s="272"/>
      <c r="KD97" s="272"/>
      <c r="KE97" s="272"/>
      <c r="KF97" s="272"/>
      <c r="KG97" s="272"/>
      <c r="KH97" s="272"/>
      <c r="KI97" s="272"/>
      <c r="KJ97" s="272"/>
      <c r="KK97" s="272"/>
      <c r="KL97" s="272"/>
      <c r="KM97" s="272"/>
      <c r="KN97" s="272"/>
      <c r="KO97" s="272"/>
      <c r="KP97" s="272"/>
      <c r="KQ97" s="272"/>
      <c r="KR97" s="272"/>
      <c r="KS97" s="272"/>
      <c r="KT97" s="272"/>
      <c r="KU97" s="272"/>
      <c r="KV97" s="272"/>
      <c r="KW97" s="272"/>
      <c r="KX97" s="272"/>
      <c r="KY97" s="272"/>
      <c r="KZ97" s="272"/>
      <c r="LA97" s="272"/>
      <c r="LB97" s="272"/>
      <c r="LC97" s="272"/>
      <c r="LD97" s="272"/>
      <c r="LE97" s="272"/>
      <c r="LF97" s="272"/>
      <c r="LG97" s="272"/>
      <c r="LH97" s="272"/>
      <c r="LI97" s="272"/>
      <c r="LJ97" s="272"/>
      <c r="LK97" s="272"/>
      <c r="LL97" s="272"/>
      <c r="LM97" s="272"/>
      <c r="LN97" s="272"/>
      <c r="LO97" s="272"/>
      <c r="LP97" s="272"/>
      <c r="LQ97" s="272"/>
      <c r="LR97" s="272"/>
      <c r="LS97" s="272"/>
      <c r="LT97" s="272"/>
      <c r="LU97" s="272"/>
      <c r="LV97" s="272"/>
      <c r="LW97" s="272"/>
      <c r="LX97" s="272"/>
      <c r="LY97" s="272"/>
      <c r="LZ97" s="272"/>
      <c r="MA97" s="272"/>
      <c r="MB97" s="272"/>
      <c r="MC97" s="272"/>
      <c r="MD97" s="272"/>
      <c r="ME97" s="272"/>
      <c r="MF97" s="272"/>
      <c r="MG97" s="272"/>
      <c r="MH97" s="272"/>
      <c r="MI97" s="272"/>
      <c r="MJ97" s="272"/>
      <c r="MK97" s="272"/>
      <c r="ML97" s="272"/>
      <c r="MM97" s="272"/>
      <c r="MN97" s="272"/>
      <c r="MO97" s="272"/>
      <c r="MP97" s="272"/>
      <c r="MQ97" s="272"/>
      <c r="MR97" s="272"/>
      <c r="MS97" s="272"/>
      <c r="MT97" s="272"/>
      <c r="MU97" s="272"/>
      <c r="MV97" s="272"/>
      <c r="MW97" s="272"/>
      <c r="MX97" s="272"/>
      <c r="MY97" s="272"/>
      <c r="MZ97" s="272"/>
      <c r="NA97" s="272"/>
      <c r="NB97" s="272"/>
      <c r="NC97" s="272"/>
      <c r="ND97" s="272"/>
      <c r="NE97" s="272"/>
      <c r="NF97" s="272"/>
      <c r="NG97" s="272"/>
      <c r="NH97" s="272"/>
      <c r="NI97" s="272"/>
      <c r="NJ97" s="272"/>
      <c r="NK97" s="272"/>
      <c r="NL97" s="272"/>
      <c r="NM97" s="272"/>
      <c r="NN97" s="272"/>
      <c r="NO97" s="272"/>
      <c r="NP97" s="272"/>
      <c r="NQ97" s="272"/>
      <c r="NR97" s="272"/>
      <c r="NS97" s="272"/>
      <c r="NT97" s="272"/>
      <c r="NU97" s="272"/>
      <c r="NV97" s="272"/>
      <c r="NW97" s="272"/>
      <c r="NX97" s="272"/>
      <c r="NY97" s="272"/>
      <c r="NZ97" s="272"/>
      <c r="OA97" s="272"/>
      <c r="OB97" s="272"/>
      <c r="OC97" s="272"/>
      <c r="OD97" s="272"/>
      <c r="OE97" s="272"/>
      <c r="OF97" s="272"/>
      <c r="OG97" s="272"/>
      <c r="OH97" s="272"/>
      <c r="OI97" s="272"/>
      <c r="OJ97" s="272"/>
      <c r="OK97" s="272"/>
      <c r="OL97" s="272"/>
      <c r="OM97" s="272"/>
      <c r="ON97" s="272"/>
      <c r="OO97" s="272"/>
      <c r="OP97" s="272"/>
      <c r="OQ97" s="272"/>
      <c r="OR97" s="272"/>
      <c r="OS97" s="272"/>
      <c r="OT97" s="272"/>
      <c r="OU97" s="272"/>
      <c r="OV97" s="272"/>
      <c r="OW97" s="272"/>
      <c r="OX97" s="272"/>
      <c r="OY97" s="272"/>
      <c r="OZ97" s="272"/>
      <c r="PA97" s="272"/>
      <c r="PB97" s="272"/>
      <c r="PC97" s="272"/>
      <c r="PD97" s="272"/>
      <c r="PE97" s="272"/>
      <c r="PF97" s="272"/>
      <c r="PG97" s="272"/>
      <c r="PH97" s="272"/>
      <c r="PI97" s="272"/>
      <c r="PJ97" s="272"/>
      <c r="PK97" s="272"/>
      <c r="PL97" s="272"/>
      <c r="PM97" s="272"/>
      <c r="PN97" s="272"/>
      <c r="PO97" s="272"/>
      <c r="PP97" s="272"/>
      <c r="PQ97" s="272"/>
      <c r="PR97" s="272"/>
      <c r="PS97" s="272"/>
      <c r="PT97" s="272"/>
      <c r="PU97" s="272"/>
      <c r="PV97" s="272"/>
      <c r="PW97" s="272"/>
      <c r="PX97" s="272"/>
      <c r="PY97" s="272"/>
      <c r="PZ97" s="272"/>
      <c r="QA97" s="272"/>
      <c r="QB97" s="272"/>
      <c r="QC97" s="272"/>
      <c r="QD97" s="272"/>
      <c r="QE97" s="272"/>
      <c r="QF97" s="272"/>
      <c r="QG97" s="272"/>
      <c r="QH97" s="272"/>
      <c r="QI97" s="272"/>
      <c r="QJ97" s="272"/>
      <c r="QK97" s="272"/>
      <c r="QL97" s="272"/>
      <c r="QM97" s="272"/>
      <c r="QN97" s="272"/>
      <c r="QO97" s="272"/>
      <c r="QP97" s="272"/>
      <c r="QQ97" s="272"/>
      <c r="QR97" s="272"/>
      <c r="QS97" s="272"/>
      <c r="QT97" s="272"/>
      <c r="QU97" s="272"/>
      <c r="QV97" s="272"/>
      <c r="QW97" s="272"/>
      <c r="QX97" s="272"/>
      <c r="QY97" s="272"/>
      <c r="QZ97" s="272"/>
      <c r="RA97" s="272"/>
      <c r="RB97" s="272"/>
      <c r="RC97" s="272"/>
      <c r="RD97" s="272"/>
      <c r="RE97" s="272"/>
      <c r="RF97" s="272"/>
      <c r="RG97" s="272"/>
      <c r="RH97" s="272"/>
      <c r="RI97" s="272"/>
      <c r="RJ97" s="272"/>
      <c r="RK97" s="272"/>
      <c r="RL97" s="272"/>
      <c r="RM97" s="272"/>
      <c r="RN97" s="272"/>
      <c r="RO97" s="272"/>
      <c r="RP97" s="272"/>
      <c r="RQ97" s="272"/>
      <c r="RR97" s="272"/>
      <c r="RS97" s="272"/>
      <c r="RT97" s="272"/>
      <c r="RU97" s="272"/>
      <c r="RV97" s="272"/>
      <c r="RW97" s="272"/>
      <c r="RX97" s="272"/>
      <c r="RY97" s="272"/>
      <c r="RZ97" s="272"/>
      <c r="SA97" s="272"/>
      <c r="SB97" s="272"/>
      <c r="SC97" s="272"/>
      <c r="SD97" s="272"/>
      <c r="SE97" s="272"/>
      <c r="SF97" s="272"/>
      <c r="SG97" s="272"/>
      <c r="SH97" s="272"/>
      <c r="SI97" s="272"/>
      <c r="SJ97" s="272"/>
      <c r="SK97" s="272"/>
      <c r="SL97" s="272"/>
      <c r="SM97" s="272"/>
      <c r="SN97" s="272"/>
      <c r="SO97" s="272"/>
      <c r="SP97" s="272"/>
      <c r="SQ97" s="272"/>
      <c r="SR97" s="272"/>
      <c r="SS97" s="272"/>
      <c r="ST97" s="272"/>
      <c r="SU97" s="272"/>
      <c r="SV97" s="272"/>
      <c r="SW97" s="272"/>
      <c r="SX97" s="272"/>
      <c r="SY97" s="272"/>
      <c r="SZ97" s="272"/>
      <c r="TA97" s="272"/>
      <c r="TB97" s="272"/>
      <c r="TC97" s="272"/>
      <c r="TD97" s="272"/>
      <c r="TE97" s="272"/>
      <c r="TF97" s="272"/>
      <c r="TG97" s="272"/>
      <c r="TH97" s="272"/>
      <c r="TI97" s="272"/>
      <c r="TJ97" s="272"/>
      <c r="TK97" s="272"/>
      <c r="TL97" s="272"/>
      <c r="TM97" s="272"/>
      <c r="TN97" s="272"/>
      <c r="TO97" s="272"/>
      <c r="TP97" s="272"/>
      <c r="TQ97" s="272"/>
      <c r="TR97" s="272"/>
      <c r="TS97" s="272"/>
      <c r="TT97" s="272"/>
      <c r="TU97" s="272"/>
      <c r="TV97" s="272"/>
      <c r="TW97" s="272"/>
      <c r="TX97" s="272"/>
      <c r="TY97" s="272"/>
      <c r="TZ97" s="272"/>
      <c r="UA97" s="272"/>
      <c r="UB97" s="272"/>
      <c r="UC97" s="272"/>
      <c r="UD97" s="272"/>
      <c r="UE97" s="272"/>
      <c r="UF97" s="272"/>
      <c r="UG97" s="272"/>
      <c r="UH97" s="272"/>
      <c r="UI97" s="272"/>
      <c r="UJ97" s="272"/>
      <c r="UK97" s="272"/>
      <c r="UL97" s="272"/>
      <c r="UM97" s="272"/>
      <c r="UN97" s="272"/>
      <c r="UO97" s="272"/>
      <c r="UP97" s="272"/>
      <c r="UQ97" s="272"/>
      <c r="UR97" s="272"/>
      <c r="US97" s="272"/>
      <c r="UT97" s="272"/>
      <c r="UU97" s="272"/>
      <c r="UV97" s="272"/>
      <c r="UW97" s="272"/>
      <c r="UX97" s="272"/>
      <c r="UY97" s="272"/>
      <c r="UZ97" s="272"/>
      <c r="VA97" s="272"/>
      <c r="VB97" s="272"/>
      <c r="VC97" s="272"/>
      <c r="VD97" s="272"/>
      <c r="VE97" s="272"/>
      <c r="VF97" s="272"/>
      <c r="VG97" s="272"/>
      <c r="VH97" s="272"/>
      <c r="VI97" s="272"/>
      <c r="VJ97" s="272"/>
      <c r="VK97" s="272"/>
      <c r="VL97" s="272"/>
      <c r="VM97" s="272"/>
      <c r="VN97" s="272"/>
      <c r="VO97" s="272"/>
      <c r="VP97" s="272"/>
      <c r="VQ97" s="272"/>
      <c r="VR97" s="272"/>
      <c r="VS97" s="272"/>
      <c r="VT97" s="272"/>
      <c r="VU97" s="272"/>
      <c r="VV97" s="272"/>
      <c r="VW97" s="272"/>
      <c r="VX97" s="272"/>
      <c r="VY97" s="272"/>
      <c r="VZ97" s="272"/>
      <c r="WA97" s="272"/>
      <c r="WB97" s="272"/>
      <c r="WC97" s="272"/>
      <c r="WD97" s="272"/>
      <c r="WE97" s="272"/>
      <c r="WF97" s="272"/>
      <c r="WG97" s="272"/>
      <c r="WH97" s="272"/>
      <c r="WI97" s="272"/>
      <c r="WJ97" s="272"/>
      <c r="WK97" s="272"/>
      <c r="WL97" s="272"/>
      <c r="WM97" s="272"/>
      <c r="WN97" s="272"/>
      <c r="WO97" s="272"/>
      <c r="WP97" s="272"/>
      <c r="WQ97" s="272"/>
      <c r="WR97" s="272"/>
      <c r="WS97" s="272"/>
      <c r="WT97" s="272"/>
      <c r="WU97" s="272"/>
      <c r="WV97" s="272"/>
      <c r="WW97" s="272"/>
      <c r="WX97" s="272"/>
      <c r="WY97" s="272"/>
      <c r="WZ97" s="272"/>
      <c r="XA97" s="272"/>
      <c r="XB97" s="272"/>
      <c r="XC97" s="272"/>
      <c r="XD97" s="272"/>
      <c r="XE97" s="272"/>
      <c r="XF97" s="272"/>
      <c r="XG97" s="272"/>
      <c r="XH97" s="272"/>
      <c r="XI97" s="272"/>
      <c r="XJ97" s="272"/>
      <c r="XK97" s="272"/>
      <c r="XL97" s="272"/>
      <c r="XM97" s="272"/>
      <c r="XN97" s="272"/>
      <c r="XO97" s="272"/>
      <c r="XP97" s="272"/>
      <c r="XQ97" s="272"/>
      <c r="XR97" s="272"/>
      <c r="XS97" s="272"/>
      <c r="XT97" s="272"/>
      <c r="XU97" s="272"/>
      <c r="XV97" s="272"/>
      <c r="XW97" s="272"/>
      <c r="XX97" s="272"/>
      <c r="XY97" s="272"/>
      <c r="XZ97" s="272"/>
      <c r="YA97" s="272"/>
      <c r="YB97" s="272"/>
      <c r="YC97" s="272"/>
      <c r="YD97" s="272"/>
      <c r="YE97" s="272"/>
      <c r="YF97" s="272"/>
      <c r="YG97" s="272"/>
      <c r="YH97" s="272"/>
      <c r="YI97" s="272"/>
      <c r="YJ97" s="272"/>
      <c r="YK97" s="272"/>
      <c r="YL97" s="272"/>
      <c r="YM97" s="272"/>
      <c r="YN97" s="272"/>
      <c r="YO97" s="272"/>
      <c r="YP97" s="272"/>
      <c r="YQ97" s="272"/>
      <c r="YR97" s="272"/>
      <c r="YS97" s="272"/>
      <c r="YT97" s="272"/>
      <c r="YU97" s="272"/>
      <c r="YV97" s="272"/>
      <c r="YW97" s="272"/>
      <c r="YX97" s="272"/>
      <c r="YY97" s="272"/>
      <c r="YZ97" s="272"/>
      <c r="ZA97" s="272"/>
      <c r="ZB97" s="272"/>
      <c r="ZC97" s="272"/>
      <c r="ZD97" s="272"/>
      <c r="ZE97" s="272"/>
      <c r="ZF97" s="272"/>
      <c r="ZG97" s="272"/>
      <c r="ZH97" s="272"/>
      <c r="ZI97" s="272"/>
      <c r="ZJ97" s="272"/>
      <c r="ZK97" s="272"/>
      <c r="ZL97" s="272"/>
      <c r="ZM97" s="272"/>
      <c r="ZN97" s="272"/>
      <c r="ZO97" s="272"/>
      <c r="ZP97" s="272"/>
      <c r="ZQ97" s="272"/>
      <c r="ZR97" s="272"/>
      <c r="ZS97" s="272"/>
      <c r="ZT97" s="272"/>
      <c r="ZU97" s="272"/>
      <c r="ZV97" s="272"/>
      <c r="ZW97" s="272"/>
      <c r="ZX97" s="272"/>
      <c r="ZY97" s="272"/>
      <c r="ZZ97" s="272"/>
      <c r="AAA97" s="272"/>
      <c r="AAB97" s="272"/>
      <c r="AAC97" s="272"/>
      <c r="AAD97" s="272"/>
      <c r="AAE97" s="272"/>
      <c r="AAF97" s="272"/>
      <c r="AAG97" s="272"/>
      <c r="AAH97" s="272"/>
      <c r="AAI97" s="272"/>
      <c r="AAJ97" s="272"/>
      <c r="AAK97" s="272"/>
      <c r="AAL97" s="272"/>
      <c r="AAM97" s="272"/>
      <c r="AAN97" s="272"/>
      <c r="AAO97" s="272"/>
      <c r="AAP97" s="272"/>
      <c r="AAQ97" s="272"/>
      <c r="AAR97" s="272"/>
      <c r="AAS97" s="272"/>
      <c r="AAT97" s="272"/>
      <c r="AAU97" s="272"/>
      <c r="AAV97" s="272"/>
      <c r="AAW97" s="272"/>
      <c r="AAX97" s="272"/>
      <c r="AAY97" s="272"/>
      <c r="AAZ97" s="272"/>
      <c r="ABA97" s="272"/>
      <c r="ABB97" s="272"/>
      <c r="ABC97" s="272"/>
      <c r="ABD97" s="272"/>
      <c r="ABE97" s="272"/>
      <c r="ABF97" s="272"/>
      <c r="ABG97" s="272"/>
    </row>
    <row r="98" spans="1:735" s="86" customFormat="1" ht="12.75" customHeight="1">
      <c r="A98" s="39"/>
      <c r="B98" s="40"/>
      <c r="C98" s="597"/>
      <c r="D98" s="600"/>
      <c r="E98" s="619"/>
      <c r="F98" s="626"/>
      <c r="G98" s="636"/>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c r="BU98" s="272"/>
      <c r="BV98" s="272"/>
      <c r="BW98" s="272"/>
      <c r="BX98" s="272"/>
      <c r="BY98" s="272"/>
      <c r="BZ98" s="272"/>
      <c r="CA98" s="272"/>
      <c r="CB98" s="272"/>
      <c r="CC98" s="272"/>
      <c r="CD98" s="272"/>
      <c r="CE98" s="272"/>
      <c r="CF98" s="272"/>
      <c r="CG98" s="272"/>
      <c r="CH98" s="272"/>
      <c r="CI98" s="272"/>
      <c r="CJ98" s="272"/>
      <c r="CK98" s="272"/>
      <c r="CL98" s="272"/>
      <c r="CM98" s="272"/>
      <c r="CN98" s="272"/>
      <c r="CO98" s="272"/>
      <c r="CP98" s="272"/>
      <c r="CQ98" s="272"/>
      <c r="CR98" s="272"/>
      <c r="CS98" s="272"/>
      <c r="CT98" s="272"/>
      <c r="CU98" s="272"/>
      <c r="CV98" s="272"/>
      <c r="CW98" s="272"/>
      <c r="CX98" s="272"/>
      <c r="CY98" s="272"/>
      <c r="CZ98" s="272"/>
      <c r="DA98" s="272"/>
      <c r="DB98" s="272"/>
      <c r="DC98" s="272"/>
      <c r="DD98" s="272"/>
      <c r="DE98" s="272"/>
      <c r="DF98" s="272"/>
      <c r="DG98" s="272"/>
      <c r="DH98" s="272"/>
      <c r="DI98" s="272"/>
      <c r="DJ98" s="272"/>
      <c r="DK98" s="272"/>
      <c r="DL98" s="272"/>
      <c r="DM98" s="272"/>
      <c r="DN98" s="272"/>
      <c r="DO98" s="272"/>
      <c r="DP98" s="272"/>
      <c r="DQ98" s="272"/>
      <c r="DR98" s="272"/>
      <c r="DS98" s="272"/>
      <c r="DT98" s="272"/>
      <c r="DU98" s="272"/>
      <c r="DV98" s="272"/>
      <c r="DW98" s="272"/>
      <c r="DX98" s="272"/>
      <c r="DY98" s="272"/>
      <c r="DZ98" s="272"/>
      <c r="EA98" s="272"/>
      <c r="EB98" s="272"/>
      <c r="EC98" s="272"/>
      <c r="ED98" s="272"/>
      <c r="EE98" s="272"/>
      <c r="EF98" s="272"/>
      <c r="EG98" s="272"/>
      <c r="EH98" s="272"/>
      <c r="EI98" s="272"/>
      <c r="EJ98" s="272"/>
      <c r="EK98" s="272"/>
      <c r="EL98" s="272"/>
      <c r="EM98" s="272"/>
      <c r="EN98" s="272"/>
      <c r="EO98" s="272"/>
      <c r="EP98" s="272"/>
      <c r="EQ98" s="272"/>
      <c r="ER98" s="272"/>
      <c r="ES98" s="272"/>
      <c r="ET98" s="272"/>
      <c r="EU98" s="272"/>
      <c r="EV98" s="272"/>
      <c r="EW98" s="272"/>
      <c r="EX98" s="272"/>
      <c r="EY98" s="272"/>
      <c r="EZ98" s="272"/>
      <c r="FA98" s="272"/>
      <c r="FB98" s="272"/>
      <c r="FC98" s="272"/>
      <c r="FD98" s="272"/>
      <c r="FE98" s="272"/>
      <c r="FF98" s="272"/>
      <c r="FG98" s="272"/>
      <c r="FH98" s="272"/>
      <c r="FI98" s="272"/>
      <c r="FJ98" s="272"/>
      <c r="FK98" s="272"/>
      <c r="FL98" s="272"/>
      <c r="FM98" s="272"/>
      <c r="FN98" s="272"/>
      <c r="FO98" s="272"/>
      <c r="FP98" s="272"/>
      <c r="FQ98" s="272"/>
      <c r="FR98" s="272"/>
      <c r="FS98" s="272"/>
      <c r="FT98" s="272"/>
      <c r="FU98" s="272"/>
      <c r="FV98" s="272"/>
      <c r="FW98" s="272"/>
      <c r="FX98" s="272"/>
      <c r="FY98" s="272"/>
      <c r="FZ98" s="272"/>
      <c r="GA98" s="272"/>
      <c r="GB98" s="272"/>
      <c r="GC98" s="272"/>
      <c r="GD98" s="272"/>
      <c r="GE98" s="272"/>
      <c r="GF98" s="272"/>
      <c r="GG98" s="272"/>
      <c r="GH98" s="272"/>
      <c r="GI98" s="272"/>
      <c r="GJ98" s="272"/>
      <c r="GK98" s="272"/>
      <c r="GL98" s="272"/>
      <c r="GM98" s="272"/>
      <c r="GN98" s="272"/>
      <c r="GO98" s="272"/>
      <c r="GP98" s="272"/>
      <c r="GQ98" s="272"/>
      <c r="GR98" s="272"/>
      <c r="GS98" s="272"/>
      <c r="GT98" s="272"/>
      <c r="GU98" s="272"/>
      <c r="GV98" s="272"/>
      <c r="GW98" s="272"/>
      <c r="GX98" s="272"/>
      <c r="GY98" s="272"/>
      <c r="GZ98" s="272"/>
      <c r="HA98" s="272"/>
      <c r="HB98" s="272"/>
      <c r="HC98" s="272"/>
      <c r="HD98" s="272"/>
      <c r="HE98" s="272"/>
      <c r="HF98" s="272"/>
      <c r="HG98" s="272"/>
      <c r="HH98" s="272"/>
      <c r="HI98" s="272"/>
      <c r="HJ98" s="272"/>
      <c r="HK98" s="272"/>
      <c r="HL98" s="272"/>
      <c r="HM98" s="272"/>
      <c r="HN98" s="272"/>
      <c r="HO98" s="272"/>
      <c r="HP98" s="272"/>
      <c r="HQ98" s="272"/>
      <c r="HR98" s="272"/>
      <c r="HS98" s="272"/>
      <c r="HT98" s="272"/>
      <c r="HU98" s="272"/>
      <c r="HV98" s="272"/>
      <c r="HW98" s="272"/>
      <c r="HX98" s="272"/>
      <c r="HY98" s="272"/>
      <c r="HZ98" s="272"/>
      <c r="IA98" s="272"/>
      <c r="IB98" s="272"/>
      <c r="IC98" s="272"/>
      <c r="ID98" s="272"/>
      <c r="IE98" s="272"/>
      <c r="IF98" s="272"/>
      <c r="IG98" s="272"/>
      <c r="IH98" s="272"/>
      <c r="II98" s="272"/>
      <c r="IJ98" s="272"/>
      <c r="IK98" s="272"/>
      <c r="IL98" s="272"/>
      <c r="IM98" s="272"/>
      <c r="IN98" s="272"/>
      <c r="IO98" s="272"/>
      <c r="IP98" s="272"/>
      <c r="IQ98" s="272"/>
      <c r="IR98" s="272"/>
      <c r="IS98" s="272"/>
      <c r="IT98" s="272"/>
      <c r="IU98" s="272"/>
      <c r="IV98" s="272"/>
      <c r="IW98" s="272"/>
      <c r="IX98" s="272"/>
      <c r="IY98" s="272"/>
      <c r="IZ98" s="272"/>
      <c r="JA98" s="272"/>
      <c r="JB98" s="272"/>
      <c r="JC98" s="272"/>
      <c r="JD98" s="272"/>
      <c r="JE98" s="272"/>
      <c r="JF98" s="272"/>
      <c r="JG98" s="272"/>
      <c r="JH98" s="272"/>
      <c r="JI98" s="272"/>
      <c r="JJ98" s="272"/>
      <c r="JK98" s="272"/>
      <c r="JL98" s="272"/>
      <c r="JM98" s="272"/>
      <c r="JN98" s="272"/>
      <c r="JO98" s="272"/>
      <c r="JP98" s="272"/>
      <c r="JQ98" s="272"/>
      <c r="JR98" s="272"/>
      <c r="JS98" s="272"/>
      <c r="JT98" s="272"/>
      <c r="JU98" s="272"/>
      <c r="JV98" s="272"/>
      <c r="JW98" s="272"/>
      <c r="JX98" s="272"/>
      <c r="JY98" s="272"/>
      <c r="JZ98" s="272"/>
      <c r="KA98" s="272"/>
      <c r="KB98" s="272"/>
      <c r="KC98" s="272"/>
      <c r="KD98" s="272"/>
      <c r="KE98" s="272"/>
      <c r="KF98" s="272"/>
      <c r="KG98" s="272"/>
      <c r="KH98" s="272"/>
      <c r="KI98" s="272"/>
      <c r="KJ98" s="272"/>
      <c r="KK98" s="272"/>
      <c r="KL98" s="272"/>
      <c r="KM98" s="272"/>
      <c r="KN98" s="272"/>
      <c r="KO98" s="272"/>
      <c r="KP98" s="272"/>
      <c r="KQ98" s="272"/>
      <c r="KR98" s="272"/>
      <c r="KS98" s="272"/>
      <c r="KT98" s="272"/>
      <c r="KU98" s="272"/>
      <c r="KV98" s="272"/>
      <c r="KW98" s="272"/>
      <c r="KX98" s="272"/>
      <c r="KY98" s="272"/>
      <c r="KZ98" s="272"/>
      <c r="LA98" s="272"/>
      <c r="LB98" s="272"/>
      <c r="LC98" s="272"/>
      <c r="LD98" s="272"/>
      <c r="LE98" s="272"/>
      <c r="LF98" s="272"/>
      <c r="LG98" s="272"/>
      <c r="LH98" s="272"/>
      <c r="LI98" s="272"/>
      <c r="LJ98" s="272"/>
      <c r="LK98" s="272"/>
      <c r="LL98" s="272"/>
      <c r="LM98" s="272"/>
      <c r="LN98" s="272"/>
      <c r="LO98" s="272"/>
      <c r="LP98" s="272"/>
      <c r="LQ98" s="272"/>
      <c r="LR98" s="272"/>
      <c r="LS98" s="272"/>
      <c r="LT98" s="272"/>
      <c r="LU98" s="272"/>
      <c r="LV98" s="272"/>
      <c r="LW98" s="272"/>
      <c r="LX98" s="272"/>
      <c r="LY98" s="272"/>
      <c r="LZ98" s="272"/>
      <c r="MA98" s="272"/>
      <c r="MB98" s="272"/>
      <c r="MC98" s="272"/>
      <c r="MD98" s="272"/>
      <c r="ME98" s="272"/>
      <c r="MF98" s="272"/>
      <c r="MG98" s="272"/>
      <c r="MH98" s="272"/>
      <c r="MI98" s="272"/>
      <c r="MJ98" s="272"/>
      <c r="MK98" s="272"/>
      <c r="ML98" s="272"/>
      <c r="MM98" s="272"/>
      <c r="MN98" s="272"/>
      <c r="MO98" s="272"/>
      <c r="MP98" s="272"/>
      <c r="MQ98" s="272"/>
      <c r="MR98" s="272"/>
      <c r="MS98" s="272"/>
      <c r="MT98" s="272"/>
      <c r="MU98" s="272"/>
      <c r="MV98" s="272"/>
      <c r="MW98" s="272"/>
      <c r="MX98" s="272"/>
      <c r="MY98" s="272"/>
      <c r="MZ98" s="272"/>
      <c r="NA98" s="272"/>
      <c r="NB98" s="272"/>
      <c r="NC98" s="272"/>
      <c r="ND98" s="272"/>
      <c r="NE98" s="272"/>
      <c r="NF98" s="272"/>
      <c r="NG98" s="272"/>
      <c r="NH98" s="272"/>
      <c r="NI98" s="272"/>
      <c r="NJ98" s="272"/>
      <c r="NK98" s="272"/>
      <c r="NL98" s="272"/>
      <c r="NM98" s="272"/>
      <c r="NN98" s="272"/>
      <c r="NO98" s="272"/>
      <c r="NP98" s="272"/>
      <c r="NQ98" s="272"/>
      <c r="NR98" s="272"/>
      <c r="NS98" s="272"/>
      <c r="NT98" s="272"/>
      <c r="NU98" s="272"/>
      <c r="NV98" s="272"/>
      <c r="NW98" s="272"/>
      <c r="NX98" s="272"/>
      <c r="NY98" s="272"/>
      <c r="NZ98" s="272"/>
      <c r="OA98" s="272"/>
      <c r="OB98" s="272"/>
      <c r="OC98" s="272"/>
      <c r="OD98" s="272"/>
      <c r="OE98" s="272"/>
      <c r="OF98" s="272"/>
      <c r="OG98" s="272"/>
      <c r="OH98" s="272"/>
      <c r="OI98" s="272"/>
      <c r="OJ98" s="272"/>
      <c r="OK98" s="272"/>
      <c r="OL98" s="272"/>
      <c r="OM98" s="272"/>
      <c r="ON98" s="272"/>
      <c r="OO98" s="272"/>
      <c r="OP98" s="272"/>
      <c r="OQ98" s="272"/>
      <c r="OR98" s="272"/>
      <c r="OS98" s="272"/>
      <c r="OT98" s="272"/>
      <c r="OU98" s="272"/>
      <c r="OV98" s="272"/>
      <c r="OW98" s="272"/>
      <c r="OX98" s="272"/>
      <c r="OY98" s="272"/>
      <c r="OZ98" s="272"/>
      <c r="PA98" s="272"/>
      <c r="PB98" s="272"/>
      <c r="PC98" s="272"/>
      <c r="PD98" s="272"/>
      <c r="PE98" s="272"/>
      <c r="PF98" s="272"/>
      <c r="PG98" s="272"/>
      <c r="PH98" s="272"/>
      <c r="PI98" s="272"/>
      <c r="PJ98" s="272"/>
      <c r="PK98" s="272"/>
      <c r="PL98" s="272"/>
      <c r="PM98" s="272"/>
      <c r="PN98" s="272"/>
      <c r="PO98" s="272"/>
      <c r="PP98" s="272"/>
      <c r="PQ98" s="272"/>
      <c r="PR98" s="272"/>
      <c r="PS98" s="272"/>
      <c r="PT98" s="272"/>
      <c r="PU98" s="272"/>
      <c r="PV98" s="272"/>
      <c r="PW98" s="272"/>
      <c r="PX98" s="272"/>
      <c r="PY98" s="272"/>
      <c r="PZ98" s="272"/>
      <c r="QA98" s="272"/>
      <c r="QB98" s="272"/>
      <c r="QC98" s="272"/>
      <c r="QD98" s="272"/>
      <c r="QE98" s="272"/>
      <c r="QF98" s="272"/>
      <c r="QG98" s="272"/>
      <c r="QH98" s="272"/>
      <c r="QI98" s="272"/>
      <c r="QJ98" s="272"/>
      <c r="QK98" s="272"/>
      <c r="QL98" s="272"/>
      <c r="QM98" s="272"/>
      <c r="QN98" s="272"/>
      <c r="QO98" s="272"/>
      <c r="QP98" s="272"/>
      <c r="QQ98" s="272"/>
      <c r="QR98" s="272"/>
      <c r="QS98" s="272"/>
      <c r="QT98" s="272"/>
      <c r="QU98" s="272"/>
      <c r="QV98" s="272"/>
      <c r="QW98" s="272"/>
      <c r="QX98" s="272"/>
      <c r="QY98" s="272"/>
      <c r="QZ98" s="272"/>
      <c r="RA98" s="272"/>
      <c r="RB98" s="272"/>
      <c r="RC98" s="272"/>
      <c r="RD98" s="272"/>
      <c r="RE98" s="272"/>
      <c r="RF98" s="272"/>
      <c r="RG98" s="272"/>
      <c r="RH98" s="272"/>
      <c r="RI98" s="272"/>
      <c r="RJ98" s="272"/>
      <c r="RK98" s="272"/>
      <c r="RL98" s="272"/>
      <c r="RM98" s="272"/>
      <c r="RN98" s="272"/>
      <c r="RO98" s="272"/>
      <c r="RP98" s="272"/>
      <c r="RQ98" s="272"/>
      <c r="RR98" s="272"/>
      <c r="RS98" s="272"/>
      <c r="RT98" s="272"/>
      <c r="RU98" s="272"/>
      <c r="RV98" s="272"/>
      <c r="RW98" s="272"/>
      <c r="RX98" s="272"/>
      <c r="RY98" s="272"/>
      <c r="RZ98" s="272"/>
      <c r="SA98" s="272"/>
      <c r="SB98" s="272"/>
      <c r="SC98" s="272"/>
      <c r="SD98" s="272"/>
      <c r="SE98" s="272"/>
      <c r="SF98" s="272"/>
      <c r="SG98" s="272"/>
      <c r="SH98" s="272"/>
      <c r="SI98" s="272"/>
      <c r="SJ98" s="272"/>
      <c r="SK98" s="272"/>
      <c r="SL98" s="272"/>
      <c r="SM98" s="272"/>
      <c r="SN98" s="272"/>
      <c r="SO98" s="272"/>
      <c r="SP98" s="272"/>
      <c r="SQ98" s="272"/>
      <c r="SR98" s="272"/>
      <c r="SS98" s="272"/>
      <c r="ST98" s="272"/>
      <c r="SU98" s="272"/>
      <c r="SV98" s="272"/>
      <c r="SW98" s="272"/>
      <c r="SX98" s="272"/>
      <c r="SY98" s="272"/>
      <c r="SZ98" s="272"/>
      <c r="TA98" s="272"/>
      <c r="TB98" s="272"/>
      <c r="TC98" s="272"/>
      <c r="TD98" s="272"/>
      <c r="TE98" s="272"/>
      <c r="TF98" s="272"/>
      <c r="TG98" s="272"/>
      <c r="TH98" s="272"/>
      <c r="TI98" s="272"/>
      <c r="TJ98" s="272"/>
      <c r="TK98" s="272"/>
      <c r="TL98" s="272"/>
      <c r="TM98" s="272"/>
      <c r="TN98" s="272"/>
      <c r="TO98" s="272"/>
      <c r="TP98" s="272"/>
      <c r="TQ98" s="272"/>
      <c r="TR98" s="272"/>
      <c r="TS98" s="272"/>
      <c r="TT98" s="272"/>
      <c r="TU98" s="272"/>
      <c r="TV98" s="272"/>
      <c r="TW98" s="272"/>
      <c r="TX98" s="272"/>
      <c r="TY98" s="272"/>
      <c r="TZ98" s="272"/>
      <c r="UA98" s="272"/>
      <c r="UB98" s="272"/>
      <c r="UC98" s="272"/>
      <c r="UD98" s="272"/>
      <c r="UE98" s="272"/>
      <c r="UF98" s="272"/>
      <c r="UG98" s="272"/>
      <c r="UH98" s="272"/>
      <c r="UI98" s="272"/>
      <c r="UJ98" s="272"/>
      <c r="UK98" s="272"/>
      <c r="UL98" s="272"/>
      <c r="UM98" s="272"/>
      <c r="UN98" s="272"/>
      <c r="UO98" s="272"/>
      <c r="UP98" s="272"/>
      <c r="UQ98" s="272"/>
      <c r="UR98" s="272"/>
      <c r="US98" s="272"/>
      <c r="UT98" s="272"/>
      <c r="UU98" s="272"/>
      <c r="UV98" s="272"/>
      <c r="UW98" s="272"/>
      <c r="UX98" s="272"/>
      <c r="UY98" s="272"/>
      <c r="UZ98" s="272"/>
      <c r="VA98" s="272"/>
      <c r="VB98" s="272"/>
      <c r="VC98" s="272"/>
      <c r="VD98" s="272"/>
      <c r="VE98" s="272"/>
      <c r="VF98" s="272"/>
      <c r="VG98" s="272"/>
      <c r="VH98" s="272"/>
      <c r="VI98" s="272"/>
      <c r="VJ98" s="272"/>
      <c r="VK98" s="272"/>
      <c r="VL98" s="272"/>
      <c r="VM98" s="272"/>
      <c r="VN98" s="272"/>
      <c r="VO98" s="272"/>
      <c r="VP98" s="272"/>
      <c r="VQ98" s="272"/>
      <c r="VR98" s="272"/>
      <c r="VS98" s="272"/>
      <c r="VT98" s="272"/>
      <c r="VU98" s="272"/>
      <c r="VV98" s="272"/>
      <c r="VW98" s="272"/>
      <c r="VX98" s="272"/>
      <c r="VY98" s="272"/>
      <c r="VZ98" s="272"/>
      <c r="WA98" s="272"/>
      <c r="WB98" s="272"/>
      <c r="WC98" s="272"/>
      <c r="WD98" s="272"/>
      <c r="WE98" s="272"/>
      <c r="WF98" s="272"/>
      <c r="WG98" s="272"/>
      <c r="WH98" s="272"/>
      <c r="WI98" s="272"/>
      <c r="WJ98" s="272"/>
      <c r="WK98" s="272"/>
      <c r="WL98" s="272"/>
      <c r="WM98" s="272"/>
      <c r="WN98" s="272"/>
      <c r="WO98" s="272"/>
      <c r="WP98" s="272"/>
      <c r="WQ98" s="272"/>
      <c r="WR98" s="272"/>
      <c r="WS98" s="272"/>
      <c r="WT98" s="272"/>
      <c r="WU98" s="272"/>
      <c r="WV98" s="272"/>
      <c r="WW98" s="272"/>
      <c r="WX98" s="272"/>
      <c r="WY98" s="272"/>
      <c r="WZ98" s="272"/>
      <c r="XA98" s="272"/>
      <c r="XB98" s="272"/>
      <c r="XC98" s="272"/>
      <c r="XD98" s="272"/>
      <c r="XE98" s="272"/>
      <c r="XF98" s="272"/>
      <c r="XG98" s="272"/>
      <c r="XH98" s="272"/>
      <c r="XI98" s="272"/>
      <c r="XJ98" s="272"/>
      <c r="XK98" s="272"/>
      <c r="XL98" s="272"/>
      <c r="XM98" s="272"/>
      <c r="XN98" s="272"/>
      <c r="XO98" s="272"/>
      <c r="XP98" s="272"/>
      <c r="XQ98" s="272"/>
      <c r="XR98" s="272"/>
      <c r="XS98" s="272"/>
      <c r="XT98" s="272"/>
      <c r="XU98" s="272"/>
      <c r="XV98" s="272"/>
      <c r="XW98" s="272"/>
      <c r="XX98" s="272"/>
      <c r="XY98" s="272"/>
      <c r="XZ98" s="272"/>
      <c r="YA98" s="272"/>
      <c r="YB98" s="272"/>
      <c r="YC98" s="272"/>
      <c r="YD98" s="272"/>
      <c r="YE98" s="272"/>
      <c r="YF98" s="272"/>
      <c r="YG98" s="272"/>
      <c r="YH98" s="272"/>
      <c r="YI98" s="272"/>
      <c r="YJ98" s="272"/>
      <c r="YK98" s="272"/>
      <c r="YL98" s="272"/>
      <c r="YM98" s="272"/>
      <c r="YN98" s="272"/>
      <c r="YO98" s="272"/>
      <c r="YP98" s="272"/>
      <c r="YQ98" s="272"/>
      <c r="YR98" s="272"/>
      <c r="YS98" s="272"/>
      <c r="YT98" s="272"/>
      <c r="YU98" s="272"/>
      <c r="YV98" s="272"/>
      <c r="YW98" s="272"/>
      <c r="YX98" s="272"/>
      <c r="YY98" s="272"/>
      <c r="YZ98" s="272"/>
      <c r="ZA98" s="272"/>
      <c r="ZB98" s="272"/>
      <c r="ZC98" s="272"/>
      <c r="ZD98" s="272"/>
      <c r="ZE98" s="272"/>
      <c r="ZF98" s="272"/>
      <c r="ZG98" s="272"/>
      <c r="ZH98" s="272"/>
      <c r="ZI98" s="272"/>
      <c r="ZJ98" s="272"/>
      <c r="ZK98" s="272"/>
      <c r="ZL98" s="272"/>
      <c r="ZM98" s="272"/>
      <c r="ZN98" s="272"/>
      <c r="ZO98" s="272"/>
      <c r="ZP98" s="272"/>
      <c r="ZQ98" s="272"/>
      <c r="ZR98" s="272"/>
      <c r="ZS98" s="272"/>
      <c r="ZT98" s="272"/>
      <c r="ZU98" s="272"/>
      <c r="ZV98" s="272"/>
      <c r="ZW98" s="272"/>
      <c r="ZX98" s="272"/>
      <c r="ZY98" s="272"/>
      <c r="ZZ98" s="272"/>
      <c r="AAA98" s="272"/>
      <c r="AAB98" s="272"/>
      <c r="AAC98" s="272"/>
      <c r="AAD98" s="272"/>
      <c r="AAE98" s="272"/>
      <c r="AAF98" s="272"/>
      <c r="AAG98" s="272"/>
      <c r="AAH98" s="272"/>
      <c r="AAI98" s="272"/>
      <c r="AAJ98" s="272"/>
      <c r="AAK98" s="272"/>
      <c r="AAL98" s="272"/>
      <c r="AAM98" s="272"/>
      <c r="AAN98" s="272"/>
      <c r="AAO98" s="272"/>
      <c r="AAP98" s="272"/>
      <c r="AAQ98" s="272"/>
      <c r="AAR98" s="272"/>
      <c r="AAS98" s="272"/>
      <c r="AAT98" s="272"/>
      <c r="AAU98" s="272"/>
      <c r="AAV98" s="272"/>
      <c r="AAW98" s="272"/>
      <c r="AAX98" s="272"/>
      <c r="AAY98" s="272"/>
      <c r="AAZ98" s="272"/>
      <c r="ABA98" s="272"/>
      <c r="ABB98" s="272"/>
      <c r="ABC98" s="272"/>
      <c r="ABD98" s="272"/>
      <c r="ABE98" s="272"/>
      <c r="ABF98" s="272"/>
      <c r="ABG98" s="272"/>
    </row>
    <row r="99" spans="1:735" s="86" customFormat="1" ht="12.75" customHeight="1">
      <c r="A99" s="39"/>
      <c r="B99" s="40"/>
      <c r="C99" s="597"/>
      <c r="D99" s="600"/>
      <c r="E99" s="619"/>
      <c r="F99" s="626"/>
      <c r="G99" s="636"/>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2"/>
      <c r="CD99" s="272"/>
      <c r="CE99" s="272"/>
      <c r="CF99" s="272"/>
      <c r="CG99" s="272"/>
      <c r="CH99" s="272"/>
      <c r="CI99" s="272"/>
      <c r="CJ99" s="272"/>
      <c r="CK99" s="272"/>
      <c r="CL99" s="272"/>
      <c r="CM99" s="272"/>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2"/>
      <c r="DQ99" s="272"/>
      <c r="DR99" s="272"/>
      <c r="DS99" s="272"/>
      <c r="DT99" s="272"/>
      <c r="DU99" s="272"/>
      <c r="DV99" s="272"/>
      <c r="DW99" s="272"/>
      <c r="DX99" s="272"/>
      <c r="DY99" s="272"/>
      <c r="DZ99" s="272"/>
      <c r="EA99" s="272"/>
      <c r="EB99" s="272"/>
      <c r="EC99" s="272"/>
      <c r="ED99" s="272"/>
      <c r="EE99" s="272"/>
      <c r="EF99" s="272"/>
      <c r="EG99" s="272"/>
      <c r="EH99" s="272"/>
      <c r="EI99" s="272"/>
      <c r="EJ99" s="272"/>
      <c r="EK99" s="272"/>
      <c r="EL99" s="272"/>
      <c r="EM99" s="272"/>
      <c r="EN99" s="272"/>
      <c r="EO99" s="272"/>
      <c r="EP99" s="272"/>
      <c r="EQ99" s="272"/>
      <c r="ER99" s="272"/>
      <c r="ES99" s="272"/>
      <c r="ET99" s="272"/>
      <c r="EU99" s="272"/>
      <c r="EV99" s="272"/>
      <c r="EW99" s="272"/>
      <c r="EX99" s="272"/>
      <c r="EY99" s="272"/>
      <c r="EZ99" s="272"/>
      <c r="FA99" s="272"/>
      <c r="FB99" s="272"/>
      <c r="FC99" s="272"/>
      <c r="FD99" s="272"/>
      <c r="FE99" s="272"/>
      <c r="FF99" s="272"/>
      <c r="FG99" s="272"/>
      <c r="FH99" s="272"/>
      <c r="FI99" s="272"/>
      <c r="FJ99" s="272"/>
      <c r="FK99" s="272"/>
      <c r="FL99" s="272"/>
      <c r="FM99" s="272"/>
      <c r="FN99" s="272"/>
      <c r="FO99" s="272"/>
      <c r="FP99" s="272"/>
      <c r="FQ99" s="272"/>
      <c r="FR99" s="272"/>
      <c r="FS99" s="272"/>
      <c r="FT99" s="272"/>
      <c r="FU99" s="272"/>
      <c r="FV99" s="272"/>
      <c r="FW99" s="272"/>
      <c r="FX99" s="272"/>
      <c r="FY99" s="272"/>
      <c r="FZ99" s="272"/>
      <c r="GA99" s="272"/>
      <c r="GB99" s="272"/>
      <c r="GC99" s="272"/>
      <c r="GD99" s="272"/>
      <c r="GE99" s="272"/>
      <c r="GF99" s="272"/>
      <c r="GG99" s="272"/>
      <c r="GH99" s="272"/>
      <c r="GI99" s="272"/>
      <c r="GJ99" s="272"/>
      <c r="GK99" s="272"/>
      <c r="GL99" s="272"/>
      <c r="GM99" s="272"/>
      <c r="GN99" s="272"/>
      <c r="GO99" s="272"/>
      <c r="GP99" s="272"/>
      <c r="GQ99" s="272"/>
      <c r="GR99" s="272"/>
      <c r="GS99" s="272"/>
      <c r="GT99" s="272"/>
      <c r="GU99" s="272"/>
      <c r="GV99" s="272"/>
      <c r="GW99" s="272"/>
      <c r="GX99" s="272"/>
      <c r="GY99" s="272"/>
      <c r="GZ99" s="272"/>
      <c r="HA99" s="272"/>
      <c r="HB99" s="272"/>
      <c r="HC99" s="272"/>
      <c r="HD99" s="272"/>
      <c r="HE99" s="272"/>
      <c r="HF99" s="272"/>
      <c r="HG99" s="272"/>
      <c r="HH99" s="272"/>
      <c r="HI99" s="272"/>
      <c r="HJ99" s="272"/>
      <c r="HK99" s="272"/>
      <c r="HL99" s="272"/>
      <c r="HM99" s="272"/>
      <c r="HN99" s="272"/>
      <c r="HO99" s="272"/>
      <c r="HP99" s="272"/>
      <c r="HQ99" s="272"/>
      <c r="HR99" s="272"/>
      <c r="HS99" s="272"/>
      <c r="HT99" s="272"/>
      <c r="HU99" s="272"/>
      <c r="HV99" s="272"/>
      <c r="HW99" s="272"/>
      <c r="HX99" s="272"/>
      <c r="HY99" s="272"/>
      <c r="HZ99" s="272"/>
      <c r="IA99" s="272"/>
      <c r="IB99" s="272"/>
      <c r="IC99" s="272"/>
      <c r="ID99" s="272"/>
      <c r="IE99" s="272"/>
      <c r="IF99" s="272"/>
      <c r="IG99" s="272"/>
      <c r="IH99" s="272"/>
      <c r="II99" s="272"/>
      <c r="IJ99" s="272"/>
      <c r="IK99" s="272"/>
      <c r="IL99" s="272"/>
      <c r="IM99" s="272"/>
      <c r="IN99" s="272"/>
      <c r="IO99" s="272"/>
      <c r="IP99" s="272"/>
      <c r="IQ99" s="272"/>
      <c r="IR99" s="272"/>
      <c r="IS99" s="272"/>
      <c r="IT99" s="272"/>
      <c r="IU99" s="272"/>
      <c r="IV99" s="272"/>
      <c r="IW99" s="272"/>
      <c r="IX99" s="272"/>
      <c r="IY99" s="272"/>
      <c r="IZ99" s="272"/>
      <c r="JA99" s="272"/>
      <c r="JB99" s="272"/>
      <c r="JC99" s="272"/>
      <c r="JD99" s="272"/>
      <c r="JE99" s="272"/>
      <c r="JF99" s="272"/>
      <c r="JG99" s="272"/>
      <c r="JH99" s="272"/>
      <c r="JI99" s="272"/>
      <c r="JJ99" s="272"/>
      <c r="JK99" s="272"/>
      <c r="JL99" s="272"/>
      <c r="JM99" s="272"/>
      <c r="JN99" s="272"/>
      <c r="JO99" s="272"/>
      <c r="JP99" s="272"/>
      <c r="JQ99" s="272"/>
      <c r="JR99" s="272"/>
      <c r="JS99" s="272"/>
      <c r="JT99" s="272"/>
      <c r="JU99" s="272"/>
      <c r="JV99" s="272"/>
      <c r="JW99" s="272"/>
      <c r="JX99" s="272"/>
      <c r="JY99" s="272"/>
      <c r="JZ99" s="272"/>
      <c r="KA99" s="272"/>
      <c r="KB99" s="272"/>
      <c r="KC99" s="272"/>
      <c r="KD99" s="272"/>
      <c r="KE99" s="272"/>
      <c r="KF99" s="272"/>
      <c r="KG99" s="272"/>
      <c r="KH99" s="272"/>
      <c r="KI99" s="272"/>
      <c r="KJ99" s="272"/>
      <c r="KK99" s="272"/>
      <c r="KL99" s="272"/>
      <c r="KM99" s="272"/>
      <c r="KN99" s="272"/>
      <c r="KO99" s="272"/>
      <c r="KP99" s="272"/>
      <c r="KQ99" s="272"/>
      <c r="KR99" s="272"/>
      <c r="KS99" s="272"/>
      <c r="KT99" s="272"/>
      <c r="KU99" s="272"/>
      <c r="KV99" s="272"/>
      <c r="KW99" s="272"/>
      <c r="KX99" s="272"/>
      <c r="KY99" s="272"/>
      <c r="KZ99" s="272"/>
      <c r="LA99" s="272"/>
      <c r="LB99" s="272"/>
      <c r="LC99" s="272"/>
      <c r="LD99" s="272"/>
      <c r="LE99" s="272"/>
      <c r="LF99" s="272"/>
      <c r="LG99" s="272"/>
      <c r="LH99" s="272"/>
      <c r="LI99" s="272"/>
      <c r="LJ99" s="272"/>
      <c r="LK99" s="272"/>
      <c r="LL99" s="272"/>
      <c r="LM99" s="272"/>
      <c r="LN99" s="272"/>
      <c r="LO99" s="272"/>
      <c r="LP99" s="272"/>
      <c r="LQ99" s="272"/>
      <c r="LR99" s="272"/>
      <c r="LS99" s="272"/>
      <c r="LT99" s="272"/>
      <c r="LU99" s="272"/>
      <c r="LV99" s="272"/>
      <c r="LW99" s="272"/>
      <c r="LX99" s="272"/>
      <c r="LY99" s="272"/>
      <c r="LZ99" s="272"/>
      <c r="MA99" s="272"/>
      <c r="MB99" s="272"/>
      <c r="MC99" s="272"/>
      <c r="MD99" s="272"/>
      <c r="ME99" s="272"/>
      <c r="MF99" s="272"/>
      <c r="MG99" s="272"/>
      <c r="MH99" s="272"/>
      <c r="MI99" s="272"/>
      <c r="MJ99" s="272"/>
      <c r="MK99" s="272"/>
      <c r="ML99" s="272"/>
      <c r="MM99" s="272"/>
      <c r="MN99" s="272"/>
      <c r="MO99" s="272"/>
      <c r="MP99" s="272"/>
      <c r="MQ99" s="272"/>
      <c r="MR99" s="272"/>
      <c r="MS99" s="272"/>
      <c r="MT99" s="272"/>
      <c r="MU99" s="272"/>
      <c r="MV99" s="272"/>
      <c r="MW99" s="272"/>
      <c r="MX99" s="272"/>
      <c r="MY99" s="272"/>
      <c r="MZ99" s="272"/>
      <c r="NA99" s="272"/>
      <c r="NB99" s="272"/>
      <c r="NC99" s="272"/>
      <c r="ND99" s="272"/>
      <c r="NE99" s="272"/>
      <c r="NF99" s="272"/>
      <c r="NG99" s="272"/>
      <c r="NH99" s="272"/>
      <c r="NI99" s="272"/>
      <c r="NJ99" s="272"/>
      <c r="NK99" s="272"/>
      <c r="NL99" s="272"/>
      <c r="NM99" s="272"/>
      <c r="NN99" s="272"/>
      <c r="NO99" s="272"/>
      <c r="NP99" s="272"/>
      <c r="NQ99" s="272"/>
      <c r="NR99" s="272"/>
      <c r="NS99" s="272"/>
      <c r="NT99" s="272"/>
      <c r="NU99" s="272"/>
      <c r="NV99" s="272"/>
      <c r="NW99" s="272"/>
      <c r="NX99" s="272"/>
      <c r="NY99" s="272"/>
      <c r="NZ99" s="272"/>
      <c r="OA99" s="272"/>
      <c r="OB99" s="272"/>
      <c r="OC99" s="272"/>
      <c r="OD99" s="272"/>
      <c r="OE99" s="272"/>
      <c r="OF99" s="272"/>
      <c r="OG99" s="272"/>
      <c r="OH99" s="272"/>
      <c r="OI99" s="272"/>
      <c r="OJ99" s="272"/>
      <c r="OK99" s="272"/>
      <c r="OL99" s="272"/>
      <c r="OM99" s="272"/>
      <c r="ON99" s="272"/>
      <c r="OO99" s="272"/>
      <c r="OP99" s="272"/>
      <c r="OQ99" s="272"/>
      <c r="OR99" s="272"/>
      <c r="OS99" s="272"/>
      <c r="OT99" s="272"/>
      <c r="OU99" s="272"/>
      <c r="OV99" s="272"/>
      <c r="OW99" s="272"/>
      <c r="OX99" s="272"/>
      <c r="OY99" s="272"/>
      <c r="OZ99" s="272"/>
      <c r="PA99" s="272"/>
      <c r="PB99" s="272"/>
      <c r="PC99" s="272"/>
      <c r="PD99" s="272"/>
      <c r="PE99" s="272"/>
      <c r="PF99" s="272"/>
      <c r="PG99" s="272"/>
      <c r="PH99" s="272"/>
      <c r="PI99" s="272"/>
      <c r="PJ99" s="272"/>
      <c r="PK99" s="272"/>
      <c r="PL99" s="272"/>
      <c r="PM99" s="272"/>
      <c r="PN99" s="272"/>
      <c r="PO99" s="272"/>
      <c r="PP99" s="272"/>
      <c r="PQ99" s="272"/>
      <c r="PR99" s="272"/>
      <c r="PS99" s="272"/>
      <c r="PT99" s="272"/>
      <c r="PU99" s="272"/>
      <c r="PV99" s="272"/>
      <c r="PW99" s="272"/>
      <c r="PX99" s="272"/>
      <c r="PY99" s="272"/>
      <c r="PZ99" s="272"/>
      <c r="QA99" s="272"/>
      <c r="QB99" s="272"/>
      <c r="QC99" s="272"/>
      <c r="QD99" s="272"/>
      <c r="QE99" s="272"/>
      <c r="QF99" s="272"/>
      <c r="QG99" s="272"/>
      <c r="QH99" s="272"/>
      <c r="QI99" s="272"/>
      <c r="QJ99" s="272"/>
      <c r="QK99" s="272"/>
      <c r="QL99" s="272"/>
      <c r="QM99" s="272"/>
      <c r="QN99" s="272"/>
      <c r="QO99" s="272"/>
      <c r="QP99" s="272"/>
      <c r="QQ99" s="272"/>
      <c r="QR99" s="272"/>
      <c r="QS99" s="272"/>
      <c r="QT99" s="272"/>
      <c r="QU99" s="272"/>
      <c r="QV99" s="272"/>
      <c r="QW99" s="272"/>
      <c r="QX99" s="272"/>
      <c r="QY99" s="272"/>
      <c r="QZ99" s="272"/>
      <c r="RA99" s="272"/>
      <c r="RB99" s="272"/>
      <c r="RC99" s="272"/>
      <c r="RD99" s="272"/>
      <c r="RE99" s="272"/>
      <c r="RF99" s="272"/>
      <c r="RG99" s="272"/>
      <c r="RH99" s="272"/>
      <c r="RI99" s="272"/>
      <c r="RJ99" s="272"/>
      <c r="RK99" s="272"/>
      <c r="RL99" s="272"/>
      <c r="RM99" s="272"/>
      <c r="RN99" s="272"/>
      <c r="RO99" s="272"/>
      <c r="RP99" s="272"/>
      <c r="RQ99" s="272"/>
      <c r="RR99" s="272"/>
      <c r="RS99" s="272"/>
      <c r="RT99" s="272"/>
      <c r="RU99" s="272"/>
      <c r="RV99" s="272"/>
      <c r="RW99" s="272"/>
      <c r="RX99" s="272"/>
      <c r="RY99" s="272"/>
      <c r="RZ99" s="272"/>
      <c r="SA99" s="272"/>
      <c r="SB99" s="272"/>
      <c r="SC99" s="272"/>
      <c r="SD99" s="272"/>
      <c r="SE99" s="272"/>
      <c r="SF99" s="272"/>
      <c r="SG99" s="272"/>
      <c r="SH99" s="272"/>
      <c r="SI99" s="272"/>
      <c r="SJ99" s="272"/>
      <c r="SK99" s="272"/>
      <c r="SL99" s="272"/>
      <c r="SM99" s="272"/>
      <c r="SN99" s="272"/>
      <c r="SO99" s="272"/>
      <c r="SP99" s="272"/>
      <c r="SQ99" s="272"/>
      <c r="SR99" s="272"/>
      <c r="SS99" s="272"/>
      <c r="ST99" s="272"/>
      <c r="SU99" s="272"/>
      <c r="SV99" s="272"/>
      <c r="SW99" s="272"/>
      <c r="SX99" s="272"/>
      <c r="SY99" s="272"/>
      <c r="SZ99" s="272"/>
      <c r="TA99" s="272"/>
      <c r="TB99" s="272"/>
      <c r="TC99" s="272"/>
      <c r="TD99" s="272"/>
      <c r="TE99" s="272"/>
      <c r="TF99" s="272"/>
      <c r="TG99" s="272"/>
      <c r="TH99" s="272"/>
      <c r="TI99" s="272"/>
      <c r="TJ99" s="272"/>
      <c r="TK99" s="272"/>
      <c r="TL99" s="272"/>
      <c r="TM99" s="272"/>
      <c r="TN99" s="272"/>
      <c r="TO99" s="272"/>
      <c r="TP99" s="272"/>
      <c r="TQ99" s="272"/>
      <c r="TR99" s="272"/>
      <c r="TS99" s="272"/>
      <c r="TT99" s="272"/>
      <c r="TU99" s="272"/>
      <c r="TV99" s="272"/>
      <c r="TW99" s="272"/>
      <c r="TX99" s="272"/>
      <c r="TY99" s="272"/>
      <c r="TZ99" s="272"/>
      <c r="UA99" s="272"/>
      <c r="UB99" s="272"/>
      <c r="UC99" s="272"/>
      <c r="UD99" s="272"/>
      <c r="UE99" s="272"/>
      <c r="UF99" s="272"/>
      <c r="UG99" s="272"/>
      <c r="UH99" s="272"/>
      <c r="UI99" s="272"/>
      <c r="UJ99" s="272"/>
      <c r="UK99" s="272"/>
      <c r="UL99" s="272"/>
      <c r="UM99" s="272"/>
      <c r="UN99" s="272"/>
      <c r="UO99" s="272"/>
      <c r="UP99" s="272"/>
      <c r="UQ99" s="272"/>
      <c r="UR99" s="272"/>
      <c r="US99" s="272"/>
      <c r="UT99" s="272"/>
      <c r="UU99" s="272"/>
      <c r="UV99" s="272"/>
      <c r="UW99" s="272"/>
      <c r="UX99" s="272"/>
      <c r="UY99" s="272"/>
      <c r="UZ99" s="272"/>
      <c r="VA99" s="272"/>
      <c r="VB99" s="272"/>
      <c r="VC99" s="272"/>
      <c r="VD99" s="272"/>
      <c r="VE99" s="272"/>
      <c r="VF99" s="272"/>
      <c r="VG99" s="272"/>
      <c r="VH99" s="272"/>
      <c r="VI99" s="272"/>
      <c r="VJ99" s="272"/>
      <c r="VK99" s="272"/>
      <c r="VL99" s="272"/>
      <c r="VM99" s="272"/>
      <c r="VN99" s="272"/>
      <c r="VO99" s="272"/>
      <c r="VP99" s="272"/>
      <c r="VQ99" s="272"/>
      <c r="VR99" s="272"/>
      <c r="VS99" s="272"/>
      <c r="VT99" s="272"/>
      <c r="VU99" s="272"/>
      <c r="VV99" s="272"/>
      <c r="VW99" s="272"/>
      <c r="VX99" s="272"/>
      <c r="VY99" s="272"/>
      <c r="VZ99" s="272"/>
      <c r="WA99" s="272"/>
      <c r="WB99" s="272"/>
      <c r="WC99" s="272"/>
      <c r="WD99" s="272"/>
      <c r="WE99" s="272"/>
      <c r="WF99" s="272"/>
      <c r="WG99" s="272"/>
      <c r="WH99" s="272"/>
      <c r="WI99" s="272"/>
      <c r="WJ99" s="272"/>
      <c r="WK99" s="272"/>
      <c r="WL99" s="272"/>
      <c r="WM99" s="272"/>
      <c r="WN99" s="272"/>
      <c r="WO99" s="272"/>
      <c r="WP99" s="272"/>
      <c r="WQ99" s="272"/>
      <c r="WR99" s="272"/>
      <c r="WS99" s="272"/>
      <c r="WT99" s="272"/>
      <c r="WU99" s="272"/>
      <c r="WV99" s="272"/>
      <c r="WW99" s="272"/>
      <c r="WX99" s="272"/>
      <c r="WY99" s="272"/>
      <c r="WZ99" s="272"/>
      <c r="XA99" s="272"/>
      <c r="XB99" s="272"/>
      <c r="XC99" s="272"/>
      <c r="XD99" s="272"/>
      <c r="XE99" s="272"/>
      <c r="XF99" s="272"/>
      <c r="XG99" s="272"/>
      <c r="XH99" s="272"/>
      <c r="XI99" s="272"/>
      <c r="XJ99" s="272"/>
      <c r="XK99" s="272"/>
      <c r="XL99" s="272"/>
      <c r="XM99" s="272"/>
      <c r="XN99" s="272"/>
      <c r="XO99" s="272"/>
      <c r="XP99" s="272"/>
      <c r="XQ99" s="272"/>
      <c r="XR99" s="272"/>
      <c r="XS99" s="272"/>
      <c r="XT99" s="272"/>
      <c r="XU99" s="272"/>
      <c r="XV99" s="272"/>
      <c r="XW99" s="272"/>
      <c r="XX99" s="272"/>
      <c r="XY99" s="272"/>
      <c r="XZ99" s="272"/>
      <c r="YA99" s="272"/>
      <c r="YB99" s="272"/>
      <c r="YC99" s="272"/>
      <c r="YD99" s="272"/>
      <c r="YE99" s="272"/>
      <c r="YF99" s="272"/>
      <c r="YG99" s="272"/>
      <c r="YH99" s="272"/>
      <c r="YI99" s="272"/>
      <c r="YJ99" s="272"/>
      <c r="YK99" s="272"/>
      <c r="YL99" s="272"/>
      <c r="YM99" s="272"/>
      <c r="YN99" s="272"/>
      <c r="YO99" s="272"/>
      <c r="YP99" s="272"/>
      <c r="YQ99" s="272"/>
      <c r="YR99" s="272"/>
      <c r="YS99" s="272"/>
      <c r="YT99" s="272"/>
      <c r="YU99" s="272"/>
      <c r="YV99" s="272"/>
      <c r="YW99" s="272"/>
      <c r="YX99" s="272"/>
      <c r="YY99" s="272"/>
      <c r="YZ99" s="272"/>
      <c r="ZA99" s="272"/>
      <c r="ZB99" s="272"/>
      <c r="ZC99" s="272"/>
      <c r="ZD99" s="272"/>
      <c r="ZE99" s="272"/>
      <c r="ZF99" s="272"/>
      <c r="ZG99" s="272"/>
      <c r="ZH99" s="272"/>
      <c r="ZI99" s="272"/>
      <c r="ZJ99" s="272"/>
      <c r="ZK99" s="272"/>
      <c r="ZL99" s="272"/>
      <c r="ZM99" s="272"/>
      <c r="ZN99" s="272"/>
      <c r="ZO99" s="272"/>
      <c r="ZP99" s="272"/>
      <c r="ZQ99" s="272"/>
      <c r="ZR99" s="272"/>
      <c r="ZS99" s="272"/>
      <c r="ZT99" s="272"/>
      <c r="ZU99" s="272"/>
      <c r="ZV99" s="272"/>
      <c r="ZW99" s="272"/>
      <c r="ZX99" s="272"/>
      <c r="ZY99" s="272"/>
      <c r="ZZ99" s="272"/>
      <c r="AAA99" s="272"/>
      <c r="AAB99" s="272"/>
      <c r="AAC99" s="272"/>
      <c r="AAD99" s="272"/>
      <c r="AAE99" s="272"/>
      <c r="AAF99" s="272"/>
      <c r="AAG99" s="272"/>
      <c r="AAH99" s="272"/>
      <c r="AAI99" s="272"/>
      <c r="AAJ99" s="272"/>
      <c r="AAK99" s="272"/>
      <c r="AAL99" s="272"/>
      <c r="AAM99" s="272"/>
      <c r="AAN99" s="272"/>
      <c r="AAO99" s="272"/>
      <c r="AAP99" s="272"/>
      <c r="AAQ99" s="272"/>
      <c r="AAR99" s="272"/>
      <c r="AAS99" s="272"/>
      <c r="AAT99" s="272"/>
      <c r="AAU99" s="272"/>
      <c r="AAV99" s="272"/>
      <c r="AAW99" s="272"/>
      <c r="AAX99" s="272"/>
      <c r="AAY99" s="272"/>
      <c r="AAZ99" s="272"/>
      <c r="ABA99" s="272"/>
      <c r="ABB99" s="272"/>
      <c r="ABC99" s="272"/>
      <c r="ABD99" s="272"/>
      <c r="ABE99" s="272"/>
      <c r="ABF99" s="272"/>
      <c r="ABG99" s="272"/>
    </row>
    <row r="100" spans="1:735" s="86" customFormat="1" ht="12.75" customHeight="1">
      <c r="A100" s="39"/>
      <c r="B100" s="40"/>
      <c r="C100" s="597"/>
      <c r="D100" s="600"/>
      <c r="E100" s="619"/>
      <c r="F100" s="626"/>
      <c r="G100" s="636"/>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2"/>
      <c r="CC100" s="272"/>
      <c r="CD100" s="272"/>
      <c r="CE100" s="272"/>
      <c r="CF100" s="272"/>
      <c r="CG100" s="272"/>
      <c r="CH100" s="272"/>
      <c r="CI100" s="272"/>
      <c r="CJ100" s="272"/>
      <c r="CK100" s="272"/>
      <c r="CL100" s="27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272"/>
      <c r="DM100" s="272"/>
      <c r="DN100" s="272"/>
      <c r="DO100" s="272"/>
      <c r="DP100" s="272"/>
      <c r="DQ100" s="272"/>
      <c r="DR100" s="272"/>
      <c r="DS100" s="272"/>
      <c r="DT100" s="272"/>
      <c r="DU100" s="272"/>
      <c r="DV100" s="272"/>
      <c r="DW100" s="272"/>
      <c r="DX100" s="272"/>
      <c r="DY100" s="272"/>
      <c r="DZ100" s="272"/>
      <c r="EA100" s="272"/>
      <c r="EB100" s="272"/>
      <c r="EC100" s="272"/>
      <c r="ED100" s="272"/>
      <c r="EE100" s="272"/>
      <c r="EF100" s="272"/>
      <c r="EG100" s="272"/>
      <c r="EH100" s="272"/>
      <c r="EI100" s="272"/>
      <c r="EJ100" s="272"/>
      <c r="EK100" s="272"/>
      <c r="EL100" s="272"/>
      <c r="EM100" s="272"/>
      <c r="EN100" s="272"/>
      <c r="EO100" s="272"/>
      <c r="EP100" s="272"/>
      <c r="EQ100" s="272"/>
      <c r="ER100" s="272"/>
      <c r="ES100" s="272"/>
      <c r="ET100" s="272"/>
      <c r="EU100" s="272"/>
      <c r="EV100" s="272"/>
      <c r="EW100" s="272"/>
      <c r="EX100" s="272"/>
      <c r="EY100" s="272"/>
      <c r="EZ100" s="272"/>
      <c r="FA100" s="272"/>
      <c r="FB100" s="272"/>
      <c r="FC100" s="272"/>
      <c r="FD100" s="272"/>
      <c r="FE100" s="272"/>
      <c r="FF100" s="272"/>
      <c r="FG100" s="272"/>
      <c r="FH100" s="272"/>
      <c r="FI100" s="272"/>
      <c r="FJ100" s="272"/>
      <c r="FK100" s="272"/>
      <c r="FL100" s="272"/>
      <c r="FM100" s="272"/>
      <c r="FN100" s="272"/>
      <c r="FO100" s="272"/>
      <c r="FP100" s="272"/>
      <c r="FQ100" s="272"/>
      <c r="FR100" s="272"/>
      <c r="FS100" s="272"/>
      <c r="FT100" s="272"/>
      <c r="FU100" s="272"/>
      <c r="FV100" s="272"/>
      <c r="FW100" s="272"/>
      <c r="FX100" s="272"/>
      <c r="FY100" s="272"/>
      <c r="FZ100" s="272"/>
      <c r="GA100" s="272"/>
      <c r="GB100" s="272"/>
      <c r="GC100" s="272"/>
      <c r="GD100" s="272"/>
      <c r="GE100" s="272"/>
      <c r="GF100" s="272"/>
      <c r="GG100" s="272"/>
      <c r="GH100" s="272"/>
      <c r="GI100" s="272"/>
      <c r="GJ100" s="272"/>
      <c r="GK100" s="272"/>
      <c r="GL100" s="272"/>
      <c r="GM100" s="272"/>
      <c r="GN100" s="272"/>
      <c r="GO100" s="272"/>
      <c r="GP100" s="272"/>
      <c r="GQ100" s="272"/>
      <c r="GR100" s="272"/>
      <c r="GS100" s="272"/>
      <c r="GT100" s="272"/>
      <c r="GU100" s="272"/>
      <c r="GV100" s="272"/>
      <c r="GW100" s="272"/>
      <c r="GX100" s="272"/>
      <c r="GY100" s="272"/>
      <c r="GZ100" s="272"/>
      <c r="HA100" s="272"/>
      <c r="HB100" s="272"/>
      <c r="HC100" s="272"/>
      <c r="HD100" s="272"/>
      <c r="HE100" s="272"/>
      <c r="HF100" s="272"/>
      <c r="HG100" s="272"/>
      <c r="HH100" s="272"/>
      <c r="HI100" s="272"/>
      <c r="HJ100" s="272"/>
      <c r="HK100" s="272"/>
      <c r="HL100" s="272"/>
      <c r="HM100" s="272"/>
      <c r="HN100" s="272"/>
      <c r="HO100" s="272"/>
      <c r="HP100" s="272"/>
      <c r="HQ100" s="272"/>
      <c r="HR100" s="272"/>
      <c r="HS100" s="272"/>
      <c r="HT100" s="272"/>
      <c r="HU100" s="272"/>
      <c r="HV100" s="272"/>
      <c r="HW100" s="272"/>
      <c r="HX100" s="272"/>
      <c r="HY100" s="272"/>
      <c r="HZ100" s="272"/>
      <c r="IA100" s="272"/>
      <c r="IB100" s="272"/>
      <c r="IC100" s="272"/>
      <c r="ID100" s="272"/>
      <c r="IE100" s="272"/>
      <c r="IF100" s="272"/>
      <c r="IG100" s="272"/>
      <c r="IH100" s="272"/>
      <c r="II100" s="272"/>
      <c r="IJ100" s="272"/>
      <c r="IK100" s="272"/>
      <c r="IL100" s="272"/>
      <c r="IM100" s="272"/>
      <c r="IN100" s="272"/>
      <c r="IO100" s="272"/>
      <c r="IP100" s="272"/>
      <c r="IQ100" s="272"/>
      <c r="IR100" s="272"/>
      <c r="IS100" s="272"/>
      <c r="IT100" s="272"/>
      <c r="IU100" s="272"/>
      <c r="IV100" s="272"/>
      <c r="IW100" s="272"/>
      <c r="IX100" s="272"/>
      <c r="IY100" s="272"/>
      <c r="IZ100" s="272"/>
      <c r="JA100" s="272"/>
      <c r="JB100" s="272"/>
      <c r="JC100" s="272"/>
      <c r="JD100" s="272"/>
      <c r="JE100" s="272"/>
      <c r="JF100" s="272"/>
      <c r="JG100" s="272"/>
      <c r="JH100" s="272"/>
      <c r="JI100" s="272"/>
      <c r="JJ100" s="272"/>
      <c r="JK100" s="272"/>
      <c r="JL100" s="272"/>
      <c r="JM100" s="272"/>
      <c r="JN100" s="272"/>
      <c r="JO100" s="272"/>
      <c r="JP100" s="272"/>
      <c r="JQ100" s="272"/>
      <c r="JR100" s="272"/>
      <c r="JS100" s="272"/>
      <c r="JT100" s="272"/>
      <c r="JU100" s="272"/>
      <c r="JV100" s="272"/>
      <c r="JW100" s="272"/>
      <c r="JX100" s="272"/>
      <c r="JY100" s="272"/>
      <c r="JZ100" s="272"/>
      <c r="KA100" s="272"/>
      <c r="KB100" s="272"/>
      <c r="KC100" s="272"/>
      <c r="KD100" s="272"/>
      <c r="KE100" s="272"/>
      <c r="KF100" s="272"/>
      <c r="KG100" s="272"/>
      <c r="KH100" s="272"/>
      <c r="KI100" s="272"/>
      <c r="KJ100" s="272"/>
      <c r="KK100" s="272"/>
      <c r="KL100" s="272"/>
      <c r="KM100" s="272"/>
      <c r="KN100" s="272"/>
      <c r="KO100" s="272"/>
      <c r="KP100" s="272"/>
      <c r="KQ100" s="272"/>
      <c r="KR100" s="272"/>
      <c r="KS100" s="272"/>
      <c r="KT100" s="272"/>
      <c r="KU100" s="272"/>
      <c r="KV100" s="272"/>
      <c r="KW100" s="272"/>
      <c r="KX100" s="272"/>
      <c r="KY100" s="272"/>
      <c r="KZ100" s="272"/>
      <c r="LA100" s="272"/>
      <c r="LB100" s="272"/>
      <c r="LC100" s="272"/>
      <c r="LD100" s="272"/>
      <c r="LE100" s="272"/>
      <c r="LF100" s="272"/>
      <c r="LG100" s="272"/>
      <c r="LH100" s="272"/>
      <c r="LI100" s="272"/>
      <c r="LJ100" s="272"/>
      <c r="LK100" s="272"/>
      <c r="LL100" s="272"/>
      <c r="LM100" s="272"/>
      <c r="LN100" s="272"/>
      <c r="LO100" s="272"/>
      <c r="LP100" s="272"/>
      <c r="LQ100" s="272"/>
      <c r="LR100" s="272"/>
      <c r="LS100" s="272"/>
      <c r="LT100" s="272"/>
      <c r="LU100" s="272"/>
      <c r="LV100" s="272"/>
      <c r="LW100" s="272"/>
      <c r="LX100" s="272"/>
      <c r="LY100" s="272"/>
      <c r="LZ100" s="272"/>
      <c r="MA100" s="272"/>
      <c r="MB100" s="272"/>
      <c r="MC100" s="272"/>
      <c r="MD100" s="272"/>
      <c r="ME100" s="272"/>
      <c r="MF100" s="272"/>
      <c r="MG100" s="272"/>
      <c r="MH100" s="272"/>
      <c r="MI100" s="272"/>
      <c r="MJ100" s="272"/>
      <c r="MK100" s="272"/>
      <c r="ML100" s="272"/>
      <c r="MM100" s="272"/>
      <c r="MN100" s="272"/>
      <c r="MO100" s="272"/>
      <c r="MP100" s="272"/>
      <c r="MQ100" s="272"/>
      <c r="MR100" s="272"/>
      <c r="MS100" s="272"/>
      <c r="MT100" s="272"/>
      <c r="MU100" s="272"/>
      <c r="MV100" s="272"/>
      <c r="MW100" s="272"/>
      <c r="MX100" s="272"/>
      <c r="MY100" s="272"/>
      <c r="MZ100" s="272"/>
      <c r="NA100" s="272"/>
      <c r="NB100" s="272"/>
      <c r="NC100" s="272"/>
      <c r="ND100" s="272"/>
      <c r="NE100" s="272"/>
      <c r="NF100" s="272"/>
      <c r="NG100" s="272"/>
      <c r="NH100" s="272"/>
      <c r="NI100" s="272"/>
      <c r="NJ100" s="272"/>
      <c r="NK100" s="272"/>
      <c r="NL100" s="272"/>
      <c r="NM100" s="272"/>
      <c r="NN100" s="272"/>
      <c r="NO100" s="272"/>
      <c r="NP100" s="272"/>
      <c r="NQ100" s="272"/>
      <c r="NR100" s="272"/>
      <c r="NS100" s="272"/>
      <c r="NT100" s="272"/>
      <c r="NU100" s="272"/>
      <c r="NV100" s="272"/>
      <c r="NW100" s="272"/>
      <c r="NX100" s="272"/>
      <c r="NY100" s="272"/>
      <c r="NZ100" s="272"/>
      <c r="OA100" s="272"/>
      <c r="OB100" s="272"/>
      <c r="OC100" s="272"/>
      <c r="OD100" s="272"/>
      <c r="OE100" s="272"/>
      <c r="OF100" s="272"/>
      <c r="OG100" s="272"/>
      <c r="OH100" s="272"/>
      <c r="OI100" s="272"/>
      <c r="OJ100" s="272"/>
      <c r="OK100" s="272"/>
      <c r="OL100" s="272"/>
      <c r="OM100" s="272"/>
      <c r="ON100" s="272"/>
      <c r="OO100" s="272"/>
      <c r="OP100" s="272"/>
      <c r="OQ100" s="272"/>
      <c r="OR100" s="272"/>
      <c r="OS100" s="272"/>
      <c r="OT100" s="272"/>
      <c r="OU100" s="272"/>
      <c r="OV100" s="272"/>
      <c r="OW100" s="272"/>
      <c r="OX100" s="272"/>
      <c r="OY100" s="272"/>
      <c r="OZ100" s="272"/>
      <c r="PA100" s="272"/>
      <c r="PB100" s="272"/>
      <c r="PC100" s="272"/>
      <c r="PD100" s="272"/>
      <c r="PE100" s="272"/>
      <c r="PF100" s="272"/>
      <c r="PG100" s="272"/>
      <c r="PH100" s="272"/>
      <c r="PI100" s="272"/>
      <c r="PJ100" s="272"/>
      <c r="PK100" s="272"/>
      <c r="PL100" s="272"/>
      <c r="PM100" s="272"/>
      <c r="PN100" s="272"/>
      <c r="PO100" s="272"/>
      <c r="PP100" s="272"/>
      <c r="PQ100" s="272"/>
      <c r="PR100" s="272"/>
      <c r="PS100" s="272"/>
      <c r="PT100" s="272"/>
      <c r="PU100" s="272"/>
      <c r="PV100" s="272"/>
      <c r="PW100" s="272"/>
      <c r="PX100" s="272"/>
      <c r="PY100" s="272"/>
      <c r="PZ100" s="272"/>
      <c r="QA100" s="272"/>
      <c r="QB100" s="272"/>
      <c r="QC100" s="272"/>
      <c r="QD100" s="272"/>
      <c r="QE100" s="272"/>
      <c r="QF100" s="272"/>
      <c r="QG100" s="272"/>
      <c r="QH100" s="272"/>
      <c r="QI100" s="272"/>
      <c r="QJ100" s="272"/>
      <c r="QK100" s="272"/>
      <c r="QL100" s="272"/>
      <c r="QM100" s="272"/>
      <c r="QN100" s="272"/>
      <c r="QO100" s="272"/>
      <c r="QP100" s="272"/>
      <c r="QQ100" s="272"/>
      <c r="QR100" s="272"/>
      <c r="QS100" s="272"/>
      <c r="QT100" s="272"/>
      <c r="QU100" s="272"/>
      <c r="QV100" s="272"/>
      <c r="QW100" s="272"/>
      <c r="QX100" s="272"/>
      <c r="QY100" s="272"/>
      <c r="QZ100" s="272"/>
      <c r="RA100" s="272"/>
      <c r="RB100" s="272"/>
      <c r="RC100" s="272"/>
      <c r="RD100" s="272"/>
      <c r="RE100" s="272"/>
      <c r="RF100" s="272"/>
      <c r="RG100" s="272"/>
      <c r="RH100" s="272"/>
      <c r="RI100" s="272"/>
      <c r="RJ100" s="272"/>
      <c r="RK100" s="272"/>
      <c r="RL100" s="272"/>
      <c r="RM100" s="272"/>
      <c r="RN100" s="272"/>
      <c r="RO100" s="272"/>
      <c r="RP100" s="272"/>
      <c r="RQ100" s="272"/>
      <c r="RR100" s="272"/>
      <c r="RS100" s="272"/>
      <c r="RT100" s="272"/>
      <c r="RU100" s="272"/>
      <c r="RV100" s="272"/>
      <c r="RW100" s="272"/>
      <c r="RX100" s="272"/>
      <c r="RY100" s="272"/>
      <c r="RZ100" s="272"/>
      <c r="SA100" s="272"/>
      <c r="SB100" s="272"/>
      <c r="SC100" s="272"/>
      <c r="SD100" s="272"/>
      <c r="SE100" s="272"/>
      <c r="SF100" s="272"/>
      <c r="SG100" s="272"/>
      <c r="SH100" s="272"/>
      <c r="SI100" s="272"/>
      <c r="SJ100" s="272"/>
      <c r="SK100" s="272"/>
      <c r="SL100" s="272"/>
      <c r="SM100" s="272"/>
      <c r="SN100" s="272"/>
      <c r="SO100" s="272"/>
      <c r="SP100" s="272"/>
      <c r="SQ100" s="272"/>
      <c r="SR100" s="272"/>
      <c r="SS100" s="272"/>
      <c r="ST100" s="272"/>
      <c r="SU100" s="272"/>
      <c r="SV100" s="272"/>
      <c r="SW100" s="272"/>
      <c r="SX100" s="272"/>
      <c r="SY100" s="272"/>
      <c r="SZ100" s="272"/>
      <c r="TA100" s="272"/>
      <c r="TB100" s="272"/>
      <c r="TC100" s="272"/>
      <c r="TD100" s="272"/>
      <c r="TE100" s="272"/>
      <c r="TF100" s="272"/>
      <c r="TG100" s="272"/>
      <c r="TH100" s="272"/>
      <c r="TI100" s="272"/>
      <c r="TJ100" s="272"/>
      <c r="TK100" s="272"/>
      <c r="TL100" s="272"/>
      <c r="TM100" s="272"/>
      <c r="TN100" s="272"/>
      <c r="TO100" s="272"/>
      <c r="TP100" s="272"/>
      <c r="TQ100" s="272"/>
      <c r="TR100" s="272"/>
      <c r="TS100" s="272"/>
      <c r="TT100" s="272"/>
      <c r="TU100" s="272"/>
      <c r="TV100" s="272"/>
      <c r="TW100" s="272"/>
      <c r="TX100" s="272"/>
      <c r="TY100" s="272"/>
      <c r="TZ100" s="272"/>
      <c r="UA100" s="272"/>
      <c r="UB100" s="272"/>
      <c r="UC100" s="272"/>
      <c r="UD100" s="272"/>
      <c r="UE100" s="272"/>
      <c r="UF100" s="272"/>
      <c r="UG100" s="272"/>
      <c r="UH100" s="272"/>
      <c r="UI100" s="272"/>
      <c r="UJ100" s="272"/>
      <c r="UK100" s="272"/>
      <c r="UL100" s="272"/>
      <c r="UM100" s="272"/>
      <c r="UN100" s="272"/>
      <c r="UO100" s="272"/>
      <c r="UP100" s="272"/>
      <c r="UQ100" s="272"/>
      <c r="UR100" s="272"/>
      <c r="US100" s="272"/>
      <c r="UT100" s="272"/>
      <c r="UU100" s="272"/>
      <c r="UV100" s="272"/>
      <c r="UW100" s="272"/>
      <c r="UX100" s="272"/>
      <c r="UY100" s="272"/>
      <c r="UZ100" s="272"/>
      <c r="VA100" s="272"/>
      <c r="VB100" s="272"/>
      <c r="VC100" s="272"/>
      <c r="VD100" s="272"/>
      <c r="VE100" s="272"/>
      <c r="VF100" s="272"/>
      <c r="VG100" s="272"/>
      <c r="VH100" s="272"/>
      <c r="VI100" s="272"/>
      <c r="VJ100" s="272"/>
      <c r="VK100" s="272"/>
      <c r="VL100" s="272"/>
      <c r="VM100" s="272"/>
      <c r="VN100" s="272"/>
      <c r="VO100" s="272"/>
      <c r="VP100" s="272"/>
      <c r="VQ100" s="272"/>
      <c r="VR100" s="272"/>
      <c r="VS100" s="272"/>
      <c r="VT100" s="272"/>
      <c r="VU100" s="272"/>
      <c r="VV100" s="272"/>
      <c r="VW100" s="272"/>
      <c r="VX100" s="272"/>
      <c r="VY100" s="272"/>
      <c r="VZ100" s="272"/>
      <c r="WA100" s="272"/>
      <c r="WB100" s="272"/>
      <c r="WC100" s="272"/>
      <c r="WD100" s="272"/>
      <c r="WE100" s="272"/>
      <c r="WF100" s="272"/>
      <c r="WG100" s="272"/>
      <c r="WH100" s="272"/>
      <c r="WI100" s="272"/>
      <c r="WJ100" s="272"/>
      <c r="WK100" s="272"/>
      <c r="WL100" s="272"/>
      <c r="WM100" s="272"/>
      <c r="WN100" s="272"/>
      <c r="WO100" s="272"/>
      <c r="WP100" s="272"/>
      <c r="WQ100" s="272"/>
      <c r="WR100" s="272"/>
      <c r="WS100" s="272"/>
      <c r="WT100" s="272"/>
      <c r="WU100" s="272"/>
      <c r="WV100" s="272"/>
      <c r="WW100" s="272"/>
      <c r="WX100" s="272"/>
      <c r="WY100" s="272"/>
      <c r="WZ100" s="272"/>
      <c r="XA100" s="272"/>
      <c r="XB100" s="272"/>
      <c r="XC100" s="272"/>
      <c r="XD100" s="272"/>
      <c r="XE100" s="272"/>
      <c r="XF100" s="272"/>
      <c r="XG100" s="272"/>
      <c r="XH100" s="272"/>
      <c r="XI100" s="272"/>
      <c r="XJ100" s="272"/>
      <c r="XK100" s="272"/>
      <c r="XL100" s="272"/>
      <c r="XM100" s="272"/>
      <c r="XN100" s="272"/>
      <c r="XO100" s="272"/>
      <c r="XP100" s="272"/>
      <c r="XQ100" s="272"/>
      <c r="XR100" s="272"/>
      <c r="XS100" s="272"/>
      <c r="XT100" s="272"/>
      <c r="XU100" s="272"/>
      <c r="XV100" s="272"/>
      <c r="XW100" s="272"/>
      <c r="XX100" s="272"/>
      <c r="XY100" s="272"/>
      <c r="XZ100" s="272"/>
      <c r="YA100" s="272"/>
      <c r="YB100" s="272"/>
      <c r="YC100" s="272"/>
      <c r="YD100" s="272"/>
      <c r="YE100" s="272"/>
      <c r="YF100" s="272"/>
      <c r="YG100" s="272"/>
      <c r="YH100" s="272"/>
      <c r="YI100" s="272"/>
      <c r="YJ100" s="272"/>
      <c r="YK100" s="272"/>
      <c r="YL100" s="272"/>
      <c r="YM100" s="272"/>
      <c r="YN100" s="272"/>
      <c r="YO100" s="272"/>
      <c r="YP100" s="272"/>
      <c r="YQ100" s="272"/>
      <c r="YR100" s="272"/>
      <c r="YS100" s="272"/>
      <c r="YT100" s="272"/>
      <c r="YU100" s="272"/>
      <c r="YV100" s="272"/>
      <c r="YW100" s="272"/>
      <c r="YX100" s="272"/>
      <c r="YY100" s="272"/>
      <c r="YZ100" s="272"/>
      <c r="ZA100" s="272"/>
      <c r="ZB100" s="272"/>
      <c r="ZC100" s="272"/>
      <c r="ZD100" s="272"/>
      <c r="ZE100" s="272"/>
      <c r="ZF100" s="272"/>
      <c r="ZG100" s="272"/>
      <c r="ZH100" s="272"/>
      <c r="ZI100" s="272"/>
      <c r="ZJ100" s="272"/>
      <c r="ZK100" s="272"/>
      <c r="ZL100" s="272"/>
      <c r="ZM100" s="272"/>
      <c r="ZN100" s="272"/>
      <c r="ZO100" s="272"/>
      <c r="ZP100" s="272"/>
      <c r="ZQ100" s="272"/>
      <c r="ZR100" s="272"/>
      <c r="ZS100" s="272"/>
      <c r="ZT100" s="272"/>
      <c r="ZU100" s="272"/>
      <c r="ZV100" s="272"/>
      <c r="ZW100" s="272"/>
      <c r="ZX100" s="272"/>
      <c r="ZY100" s="272"/>
      <c r="ZZ100" s="272"/>
      <c r="AAA100" s="272"/>
      <c r="AAB100" s="272"/>
      <c r="AAC100" s="272"/>
      <c r="AAD100" s="272"/>
      <c r="AAE100" s="272"/>
      <c r="AAF100" s="272"/>
      <c r="AAG100" s="272"/>
      <c r="AAH100" s="272"/>
      <c r="AAI100" s="272"/>
      <c r="AAJ100" s="272"/>
      <c r="AAK100" s="272"/>
      <c r="AAL100" s="272"/>
      <c r="AAM100" s="272"/>
      <c r="AAN100" s="272"/>
      <c r="AAO100" s="272"/>
      <c r="AAP100" s="272"/>
      <c r="AAQ100" s="272"/>
      <c r="AAR100" s="272"/>
      <c r="AAS100" s="272"/>
      <c r="AAT100" s="272"/>
      <c r="AAU100" s="272"/>
      <c r="AAV100" s="272"/>
      <c r="AAW100" s="272"/>
      <c r="AAX100" s="272"/>
      <c r="AAY100" s="272"/>
      <c r="AAZ100" s="272"/>
      <c r="ABA100" s="272"/>
      <c r="ABB100" s="272"/>
      <c r="ABC100" s="272"/>
      <c r="ABD100" s="272"/>
      <c r="ABE100" s="272"/>
      <c r="ABF100" s="272"/>
      <c r="ABG100" s="272"/>
    </row>
    <row r="101" spans="1:735" s="86" customFormat="1" ht="12.75" customHeight="1">
      <c r="A101" s="39"/>
      <c r="B101" s="40"/>
      <c r="C101" s="597"/>
      <c r="D101" s="600"/>
      <c r="E101" s="619"/>
      <c r="F101" s="626"/>
      <c r="G101" s="636"/>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c r="DV101" s="272"/>
      <c r="DW101" s="272"/>
      <c r="DX101" s="272"/>
      <c r="DY101" s="272"/>
      <c r="DZ101" s="272"/>
      <c r="EA101" s="272"/>
      <c r="EB101" s="272"/>
      <c r="EC101" s="272"/>
      <c r="ED101" s="272"/>
      <c r="EE101" s="272"/>
      <c r="EF101" s="272"/>
      <c r="EG101" s="272"/>
      <c r="EH101" s="272"/>
      <c r="EI101" s="272"/>
      <c r="EJ101" s="272"/>
      <c r="EK101" s="272"/>
      <c r="EL101" s="272"/>
      <c r="EM101" s="272"/>
      <c r="EN101" s="272"/>
      <c r="EO101" s="272"/>
      <c r="EP101" s="272"/>
      <c r="EQ101" s="272"/>
      <c r="ER101" s="272"/>
      <c r="ES101" s="272"/>
      <c r="ET101" s="272"/>
      <c r="EU101" s="272"/>
      <c r="EV101" s="272"/>
      <c r="EW101" s="272"/>
      <c r="EX101" s="272"/>
      <c r="EY101" s="272"/>
      <c r="EZ101" s="272"/>
      <c r="FA101" s="272"/>
      <c r="FB101" s="272"/>
      <c r="FC101" s="272"/>
      <c r="FD101" s="272"/>
      <c r="FE101" s="272"/>
      <c r="FF101" s="272"/>
      <c r="FG101" s="272"/>
      <c r="FH101" s="272"/>
      <c r="FI101" s="272"/>
      <c r="FJ101" s="272"/>
      <c r="FK101" s="272"/>
      <c r="FL101" s="272"/>
      <c r="FM101" s="272"/>
      <c r="FN101" s="272"/>
      <c r="FO101" s="272"/>
      <c r="FP101" s="272"/>
      <c r="FQ101" s="272"/>
      <c r="FR101" s="272"/>
      <c r="FS101" s="272"/>
      <c r="FT101" s="272"/>
      <c r="FU101" s="272"/>
      <c r="FV101" s="272"/>
      <c r="FW101" s="272"/>
      <c r="FX101" s="272"/>
      <c r="FY101" s="272"/>
      <c r="FZ101" s="272"/>
      <c r="GA101" s="272"/>
      <c r="GB101" s="272"/>
      <c r="GC101" s="272"/>
      <c r="GD101" s="272"/>
      <c r="GE101" s="272"/>
      <c r="GF101" s="272"/>
      <c r="GG101" s="272"/>
      <c r="GH101" s="272"/>
      <c r="GI101" s="272"/>
      <c r="GJ101" s="272"/>
      <c r="GK101" s="272"/>
      <c r="GL101" s="272"/>
      <c r="GM101" s="272"/>
      <c r="GN101" s="272"/>
      <c r="GO101" s="272"/>
      <c r="GP101" s="272"/>
      <c r="GQ101" s="272"/>
      <c r="GR101" s="272"/>
      <c r="GS101" s="272"/>
      <c r="GT101" s="272"/>
      <c r="GU101" s="272"/>
      <c r="GV101" s="272"/>
      <c r="GW101" s="272"/>
      <c r="GX101" s="272"/>
      <c r="GY101" s="272"/>
      <c r="GZ101" s="272"/>
      <c r="HA101" s="272"/>
      <c r="HB101" s="272"/>
      <c r="HC101" s="272"/>
      <c r="HD101" s="272"/>
      <c r="HE101" s="272"/>
      <c r="HF101" s="272"/>
      <c r="HG101" s="272"/>
      <c r="HH101" s="272"/>
      <c r="HI101" s="272"/>
      <c r="HJ101" s="272"/>
      <c r="HK101" s="272"/>
      <c r="HL101" s="272"/>
      <c r="HM101" s="272"/>
      <c r="HN101" s="272"/>
      <c r="HO101" s="272"/>
      <c r="HP101" s="272"/>
      <c r="HQ101" s="272"/>
      <c r="HR101" s="272"/>
      <c r="HS101" s="272"/>
      <c r="HT101" s="272"/>
      <c r="HU101" s="272"/>
      <c r="HV101" s="272"/>
      <c r="HW101" s="272"/>
      <c r="HX101" s="272"/>
      <c r="HY101" s="272"/>
      <c r="HZ101" s="272"/>
      <c r="IA101" s="272"/>
      <c r="IB101" s="272"/>
      <c r="IC101" s="272"/>
      <c r="ID101" s="272"/>
      <c r="IE101" s="272"/>
      <c r="IF101" s="272"/>
      <c r="IG101" s="272"/>
      <c r="IH101" s="272"/>
      <c r="II101" s="272"/>
      <c r="IJ101" s="272"/>
      <c r="IK101" s="272"/>
      <c r="IL101" s="272"/>
      <c r="IM101" s="272"/>
      <c r="IN101" s="272"/>
      <c r="IO101" s="272"/>
      <c r="IP101" s="272"/>
      <c r="IQ101" s="272"/>
      <c r="IR101" s="272"/>
      <c r="IS101" s="272"/>
      <c r="IT101" s="272"/>
      <c r="IU101" s="272"/>
      <c r="IV101" s="272"/>
      <c r="IW101" s="272"/>
      <c r="IX101" s="272"/>
      <c r="IY101" s="272"/>
      <c r="IZ101" s="272"/>
      <c r="JA101" s="272"/>
      <c r="JB101" s="272"/>
      <c r="JC101" s="272"/>
      <c r="JD101" s="272"/>
      <c r="JE101" s="272"/>
      <c r="JF101" s="272"/>
      <c r="JG101" s="272"/>
      <c r="JH101" s="272"/>
      <c r="JI101" s="272"/>
      <c r="JJ101" s="272"/>
      <c r="JK101" s="272"/>
      <c r="JL101" s="272"/>
      <c r="JM101" s="272"/>
      <c r="JN101" s="272"/>
      <c r="JO101" s="272"/>
      <c r="JP101" s="272"/>
      <c r="JQ101" s="272"/>
      <c r="JR101" s="272"/>
      <c r="JS101" s="272"/>
      <c r="JT101" s="272"/>
      <c r="JU101" s="272"/>
      <c r="JV101" s="272"/>
      <c r="JW101" s="272"/>
      <c r="JX101" s="272"/>
      <c r="JY101" s="272"/>
      <c r="JZ101" s="272"/>
      <c r="KA101" s="272"/>
      <c r="KB101" s="272"/>
      <c r="KC101" s="272"/>
      <c r="KD101" s="272"/>
      <c r="KE101" s="272"/>
      <c r="KF101" s="272"/>
      <c r="KG101" s="272"/>
      <c r="KH101" s="272"/>
      <c r="KI101" s="272"/>
      <c r="KJ101" s="272"/>
      <c r="KK101" s="272"/>
      <c r="KL101" s="272"/>
      <c r="KM101" s="272"/>
      <c r="KN101" s="272"/>
      <c r="KO101" s="272"/>
      <c r="KP101" s="272"/>
      <c r="KQ101" s="272"/>
      <c r="KR101" s="272"/>
      <c r="KS101" s="272"/>
      <c r="KT101" s="272"/>
      <c r="KU101" s="272"/>
      <c r="KV101" s="272"/>
      <c r="KW101" s="272"/>
      <c r="KX101" s="272"/>
      <c r="KY101" s="272"/>
      <c r="KZ101" s="272"/>
      <c r="LA101" s="272"/>
      <c r="LB101" s="272"/>
      <c r="LC101" s="272"/>
      <c r="LD101" s="272"/>
      <c r="LE101" s="272"/>
      <c r="LF101" s="272"/>
      <c r="LG101" s="272"/>
      <c r="LH101" s="272"/>
      <c r="LI101" s="272"/>
      <c r="LJ101" s="272"/>
      <c r="LK101" s="272"/>
      <c r="LL101" s="272"/>
      <c r="LM101" s="272"/>
      <c r="LN101" s="272"/>
      <c r="LO101" s="272"/>
      <c r="LP101" s="272"/>
      <c r="LQ101" s="272"/>
      <c r="LR101" s="272"/>
      <c r="LS101" s="272"/>
      <c r="LT101" s="272"/>
      <c r="LU101" s="272"/>
      <c r="LV101" s="272"/>
      <c r="LW101" s="272"/>
      <c r="LX101" s="272"/>
      <c r="LY101" s="272"/>
      <c r="LZ101" s="272"/>
      <c r="MA101" s="272"/>
      <c r="MB101" s="272"/>
      <c r="MC101" s="272"/>
      <c r="MD101" s="272"/>
      <c r="ME101" s="272"/>
      <c r="MF101" s="272"/>
      <c r="MG101" s="272"/>
      <c r="MH101" s="272"/>
      <c r="MI101" s="272"/>
      <c r="MJ101" s="272"/>
      <c r="MK101" s="272"/>
      <c r="ML101" s="272"/>
      <c r="MM101" s="272"/>
      <c r="MN101" s="272"/>
      <c r="MO101" s="272"/>
      <c r="MP101" s="272"/>
      <c r="MQ101" s="272"/>
      <c r="MR101" s="272"/>
      <c r="MS101" s="272"/>
      <c r="MT101" s="272"/>
      <c r="MU101" s="272"/>
      <c r="MV101" s="272"/>
      <c r="MW101" s="272"/>
      <c r="MX101" s="272"/>
      <c r="MY101" s="272"/>
      <c r="MZ101" s="272"/>
      <c r="NA101" s="272"/>
      <c r="NB101" s="272"/>
      <c r="NC101" s="272"/>
      <c r="ND101" s="272"/>
      <c r="NE101" s="272"/>
      <c r="NF101" s="272"/>
      <c r="NG101" s="272"/>
      <c r="NH101" s="272"/>
      <c r="NI101" s="272"/>
      <c r="NJ101" s="272"/>
      <c r="NK101" s="272"/>
      <c r="NL101" s="272"/>
      <c r="NM101" s="272"/>
      <c r="NN101" s="272"/>
      <c r="NO101" s="272"/>
      <c r="NP101" s="272"/>
      <c r="NQ101" s="272"/>
      <c r="NR101" s="272"/>
      <c r="NS101" s="272"/>
      <c r="NT101" s="272"/>
      <c r="NU101" s="272"/>
      <c r="NV101" s="272"/>
      <c r="NW101" s="272"/>
      <c r="NX101" s="272"/>
      <c r="NY101" s="272"/>
      <c r="NZ101" s="272"/>
      <c r="OA101" s="272"/>
      <c r="OB101" s="272"/>
      <c r="OC101" s="272"/>
      <c r="OD101" s="272"/>
      <c r="OE101" s="272"/>
      <c r="OF101" s="272"/>
      <c r="OG101" s="272"/>
      <c r="OH101" s="272"/>
      <c r="OI101" s="272"/>
      <c r="OJ101" s="272"/>
      <c r="OK101" s="272"/>
      <c r="OL101" s="272"/>
      <c r="OM101" s="272"/>
      <c r="ON101" s="272"/>
      <c r="OO101" s="272"/>
      <c r="OP101" s="272"/>
      <c r="OQ101" s="272"/>
      <c r="OR101" s="272"/>
      <c r="OS101" s="272"/>
      <c r="OT101" s="272"/>
      <c r="OU101" s="272"/>
      <c r="OV101" s="272"/>
      <c r="OW101" s="272"/>
      <c r="OX101" s="272"/>
      <c r="OY101" s="272"/>
      <c r="OZ101" s="272"/>
      <c r="PA101" s="272"/>
      <c r="PB101" s="272"/>
      <c r="PC101" s="272"/>
      <c r="PD101" s="272"/>
      <c r="PE101" s="272"/>
      <c r="PF101" s="272"/>
      <c r="PG101" s="272"/>
      <c r="PH101" s="272"/>
      <c r="PI101" s="272"/>
      <c r="PJ101" s="272"/>
      <c r="PK101" s="272"/>
      <c r="PL101" s="272"/>
      <c r="PM101" s="272"/>
      <c r="PN101" s="272"/>
      <c r="PO101" s="272"/>
      <c r="PP101" s="272"/>
      <c r="PQ101" s="272"/>
      <c r="PR101" s="272"/>
      <c r="PS101" s="272"/>
      <c r="PT101" s="272"/>
      <c r="PU101" s="272"/>
      <c r="PV101" s="272"/>
      <c r="PW101" s="272"/>
      <c r="PX101" s="272"/>
      <c r="PY101" s="272"/>
      <c r="PZ101" s="272"/>
      <c r="QA101" s="272"/>
      <c r="QB101" s="272"/>
      <c r="QC101" s="272"/>
      <c r="QD101" s="272"/>
      <c r="QE101" s="272"/>
      <c r="QF101" s="272"/>
      <c r="QG101" s="272"/>
      <c r="QH101" s="272"/>
      <c r="QI101" s="272"/>
      <c r="QJ101" s="272"/>
      <c r="QK101" s="272"/>
      <c r="QL101" s="272"/>
      <c r="QM101" s="272"/>
      <c r="QN101" s="272"/>
      <c r="QO101" s="272"/>
      <c r="QP101" s="272"/>
      <c r="QQ101" s="272"/>
      <c r="QR101" s="272"/>
      <c r="QS101" s="272"/>
      <c r="QT101" s="272"/>
      <c r="QU101" s="272"/>
      <c r="QV101" s="272"/>
      <c r="QW101" s="272"/>
      <c r="QX101" s="272"/>
      <c r="QY101" s="272"/>
      <c r="QZ101" s="272"/>
      <c r="RA101" s="272"/>
      <c r="RB101" s="272"/>
      <c r="RC101" s="272"/>
      <c r="RD101" s="272"/>
      <c r="RE101" s="272"/>
      <c r="RF101" s="272"/>
      <c r="RG101" s="272"/>
      <c r="RH101" s="272"/>
      <c r="RI101" s="272"/>
      <c r="RJ101" s="272"/>
      <c r="RK101" s="272"/>
      <c r="RL101" s="272"/>
      <c r="RM101" s="272"/>
      <c r="RN101" s="272"/>
      <c r="RO101" s="272"/>
      <c r="RP101" s="272"/>
      <c r="RQ101" s="272"/>
      <c r="RR101" s="272"/>
      <c r="RS101" s="272"/>
      <c r="RT101" s="272"/>
      <c r="RU101" s="272"/>
      <c r="RV101" s="272"/>
      <c r="RW101" s="272"/>
      <c r="RX101" s="272"/>
      <c r="RY101" s="272"/>
      <c r="RZ101" s="272"/>
      <c r="SA101" s="272"/>
      <c r="SB101" s="272"/>
      <c r="SC101" s="272"/>
      <c r="SD101" s="272"/>
      <c r="SE101" s="272"/>
      <c r="SF101" s="272"/>
      <c r="SG101" s="272"/>
      <c r="SH101" s="272"/>
      <c r="SI101" s="272"/>
      <c r="SJ101" s="272"/>
      <c r="SK101" s="272"/>
      <c r="SL101" s="272"/>
      <c r="SM101" s="272"/>
      <c r="SN101" s="272"/>
      <c r="SO101" s="272"/>
      <c r="SP101" s="272"/>
      <c r="SQ101" s="272"/>
      <c r="SR101" s="272"/>
      <c r="SS101" s="272"/>
      <c r="ST101" s="272"/>
      <c r="SU101" s="272"/>
      <c r="SV101" s="272"/>
      <c r="SW101" s="272"/>
      <c r="SX101" s="272"/>
      <c r="SY101" s="272"/>
      <c r="SZ101" s="272"/>
      <c r="TA101" s="272"/>
      <c r="TB101" s="272"/>
      <c r="TC101" s="272"/>
      <c r="TD101" s="272"/>
      <c r="TE101" s="272"/>
      <c r="TF101" s="272"/>
      <c r="TG101" s="272"/>
      <c r="TH101" s="272"/>
      <c r="TI101" s="272"/>
      <c r="TJ101" s="272"/>
      <c r="TK101" s="272"/>
      <c r="TL101" s="272"/>
      <c r="TM101" s="272"/>
      <c r="TN101" s="272"/>
      <c r="TO101" s="272"/>
      <c r="TP101" s="272"/>
      <c r="TQ101" s="272"/>
      <c r="TR101" s="272"/>
      <c r="TS101" s="272"/>
      <c r="TT101" s="272"/>
      <c r="TU101" s="272"/>
      <c r="TV101" s="272"/>
      <c r="TW101" s="272"/>
      <c r="TX101" s="272"/>
      <c r="TY101" s="272"/>
      <c r="TZ101" s="272"/>
      <c r="UA101" s="272"/>
      <c r="UB101" s="272"/>
      <c r="UC101" s="272"/>
      <c r="UD101" s="272"/>
      <c r="UE101" s="272"/>
      <c r="UF101" s="272"/>
      <c r="UG101" s="272"/>
      <c r="UH101" s="272"/>
      <c r="UI101" s="272"/>
      <c r="UJ101" s="272"/>
      <c r="UK101" s="272"/>
      <c r="UL101" s="272"/>
      <c r="UM101" s="272"/>
      <c r="UN101" s="272"/>
      <c r="UO101" s="272"/>
      <c r="UP101" s="272"/>
      <c r="UQ101" s="272"/>
      <c r="UR101" s="272"/>
      <c r="US101" s="272"/>
      <c r="UT101" s="272"/>
      <c r="UU101" s="272"/>
      <c r="UV101" s="272"/>
      <c r="UW101" s="272"/>
      <c r="UX101" s="272"/>
      <c r="UY101" s="272"/>
      <c r="UZ101" s="272"/>
      <c r="VA101" s="272"/>
      <c r="VB101" s="272"/>
      <c r="VC101" s="272"/>
      <c r="VD101" s="272"/>
      <c r="VE101" s="272"/>
      <c r="VF101" s="272"/>
      <c r="VG101" s="272"/>
      <c r="VH101" s="272"/>
      <c r="VI101" s="272"/>
      <c r="VJ101" s="272"/>
      <c r="VK101" s="272"/>
      <c r="VL101" s="272"/>
      <c r="VM101" s="272"/>
      <c r="VN101" s="272"/>
      <c r="VO101" s="272"/>
      <c r="VP101" s="272"/>
      <c r="VQ101" s="272"/>
      <c r="VR101" s="272"/>
      <c r="VS101" s="272"/>
      <c r="VT101" s="272"/>
      <c r="VU101" s="272"/>
      <c r="VV101" s="272"/>
      <c r="VW101" s="272"/>
      <c r="VX101" s="272"/>
      <c r="VY101" s="272"/>
      <c r="VZ101" s="272"/>
      <c r="WA101" s="272"/>
      <c r="WB101" s="272"/>
      <c r="WC101" s="272"/>
      <c r="WD101" s="272"/>
      <c r="WE101" s="272"/>
      <c r="WF101" s="272"/>
      <c r="WG101" s="272"/>
      <c r="WH101" s="272"/>
      <c r="WI101" s="272"/>
      <c r="WJ101" s="272"/>
      <c r="WK101" s="272"/>
      <c r="WL101" s="272"/>
      <c r="WM101" s="272"/>
      <c r="WN101" s="272"/>
      <c r="WO101" s="272"/>
      <c r="WP101" s="272"/>
      <c r="WQ101" s="272"/>
      <c r="WR101" s="272"/>
      <c r="WS101" s="272"/>
      <c r="WT101" s="272"/>
      <c r="WU101" s="272"/>
      <c r="WV101" s="272"/>
      <c r="WW101" s="272"/>
      <c r="WX101" s="272"/>
      <c r="WY101" s="272"/>
      <c r="WZ101" s="272"/>
      <c r="XA101" s="272"/>
      <c r="XB101" s="272"/>
      <c r="XC101" s="272"/>
      <c r="XD101" s="272"/>
      <c r="XE101" s="272"/>
      <c r="XF101" s="272"/>
      <c r="XG101" s="272"/>
      <c r="XH101" s="272"/>
      <c r="XI101" s="272"/>
      <c r="XJ101" s="272"/>
      <c r="XK101" s="272"/>
      <c r="XL101" s="272"/>
      <c r="XM101" s="272"/>
      <c r="XN101" s="272"/>
      <c r="XO101" s="272"/>
      <c r="XP101" s="272"/>
      <c r="XQ101" s="272"/>
      <c r="XR101" s="272"/>
      <c r="XS101" s="272"/>
      <c r="XT101" s="272"/>
      <c r="XU101" s="272"/>
      <c r="XV101" s="272"/>
      <c r="XW101" s="272"/>
      <c r="XX101" s="272"/>
      <c r="XY101" s="272"/>
      <c r="XZ101" s="272"/>
      <c r="YA101" s="272"/>
      <c r="YB101" s="272"/>
      <c r="YC101" s="272"/>
      <c r="YD101" s="272"/>
      <c r="YE101" s="272"/>
      <c r="YF101" s="272"/>
      <c r="YG101" s="272"/>
      <c r="YH101" s="272"/>
      <c r="YI101" s="272"/>
      <c r="YJ101" s="272"/>
      <c r="YK101" s="272"/>
      <c r="YL101" s="272"/>
      <c r="YM101" s="272"/>
      <c r="YN101" s="272"/>
      <c r="YO101" s="272"/>
      <c r="YP101" s="272"/>
      <c r="YQ101" s="272"/>
      <c r="YR101" s="272"/>
      <c r="YS101" s="272"/>
      <c r="YT101" s="272"/>
      <c r="YU101" s="272"/>
      <c r="YV101" s="272"/>
      <c r="YW101" s="272"/>
      <c r="YX101" s="272"/>
      <c r="YY101" s="272"/>
      <c r="YZ101" s="272"/>
      <c r="ZA101" s="272"/>
      <c r="ZB101" s="272"/>
      <c r="ZC101" s="272"/>
      <c r="ZD101" s="272"/>
      <c r="ZE101" s="272"/>
      <c r="ZF101" s="272"/>
      <c r="ZG101" s="272"/>
      <c r="ZH101" s="272"/>
      <c r="ZI101" s="272"/>
      <c r="ZJ101" s="272"/>
      <c r="ZK101" s="272"/>
      <c r="ZL101" s="272"/>
      <c r="ZM101" s="272"/>
      <c r="ZN101" s="272"/>
      <c r="ZO101" s="272"/>
      <c r="ZP101" s="272"/>
      <c r="ZQ101" s="272"/>
      <c r="ZR101" s="272"/>
      <c r="ZS101" s="272"/>
      <c r="ZT101" s="272"/>
      <c r="ZU101" s="272"/>
      <c r="ZV101" s="272"/>
      <c r="ZW101" s="272"/>
      <c r="ZX101" s="272"/>
      <c r="ZY101" s="272"/>
      <c r="ZZ101" s="272"/>
      <c r="AAA101" s="272"/>
      <c r="AAB101" s="272"/>
      <c r="AAC101" s="272"/>
      <c r="AAD101" s="272"/>
      <c r="AAE101" s="272"/>
      <c r="AAF101" s="272"/>
      <c r="AAG101" s="272"/>
      <c r="AAH101" s="272"/>
      <c r="AAI101" s="272"/>
      <c r="AAJ101" s="272"/>
      <c r="AAK101" s="272"/>
      <c r="AAL101" s="272"/>
      <c r="AAM101" s="272"/>
      <c r="AAN101" s="272"/>
      <c r="AAO101" s="272"/>
      <c r="AAP101" s="272"/>
      <c r="AAQ101" s="272"/>
      <c r="AAR101" s="272"/>
      <c r="AAS101" s="272"/>
      <c r="AAT101" s="272"/>
      <c r="AAU101" s="272"/>
      <c r="AAV101" s="272"/>
      <c r="AAW101" s="272"/>
      <c r="AAX101" s="272"/>
      <c r="AAY101" s="272"/>
      <c r="AAZ101" s="272"/>
      <c r="ABA101" s="272"/>
      <c r="ABB101" s="272"/>
      <c r="ABC101" s="272"/>
      <c r="ABD101" s="272"/>
      <c r="ABE101" s="272"/>
      <c r="ABF101" s="272"/>
      <c r="ABG101" s="272"/>
    </row>
    <row r="102" spans="1:735" s="86" customFormat="1" ht="12.75" customHeight="1">
      <c r="A102" s="39"/>
      <c r="B102" s="40"/>
      <c r="C102" s="597"/>
      <c r="D102" s="600"/>
      <c r="E102" s="619"/>
      <c r="F102" s="626"/>
      <c r="G102" s="636"/>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272"/>
      <c r="DS102" s="272"/>
      <c r="DT102" s="272"/>
      <c r="DU102" s="272"/>
      <c r="DV102" s="272"/>
      <c r="DW102" s="272"/>
      <c r="DX102" s="272"/>
      <c r="DY102" s="272"/>
      <c r="DZ102" s="272"/>
      <c r="EA102" s="272"/>
      <c r="EB102" s="272"/>
      <c r="EC102" s="272"/>
      <c r="ED102" s="272"/>
      <c r="EE102" s="272"/>
      <c r="EF102" s="272"/>
      <c r="EG102" s="272"/>
      <c r="EH102" s="272"/>
      <c r="EI102" s="272"/>
      <c r="EJ102" s="272"/>
      <c r="EK102" s="272"/>
      <c r="EL102" s="272"/>
      <c r="EM102" s="272"/>
      <c r="EN102" s="272"/>
      <c r="EO102" s="272"/>
      <c r="EP102" s="272"/>
      <c r="EQ102" s="272"/>
      <c r="ER102" s="272"/>
      <c r="ES102" s="272"/>
      <c r="ET102" s="272"/>
      <c r="EU102" s="272"/>
      <c r="EV102" s="272"/>
      <c r="EW102" s="272"/>
      <c r="EX102" s="272"/>
      <c r="EY102" s="272"/>
      <c r="EZ102" s="272"/>
      <c r="FA102" s="272"/>
      <c r="FB102" s="272"/>
      <c r="FC102" s="272"/>
      <c r="FD102" s="272"/>
      <c r="FE102" s="272"/>
      <c r="FF102" s="272"/>
      <c r="FG102" s="272"/>
      <c r="FH102" s="272"/>
      <c r="FI102" s="272"/>
      <c r="FJ102" s="272"/>
      <c r="FK102" s="272"/>
      <c r="FL102" s="272"/>
      <c r="FM102" s="272"/>
      <c r="FN102" s="272"/>
      <c r="FO102" s="272"/>
      <c r="FP102" s="272"/>
      <c r="FQ102" s="272"/>
      <c r="FR102" s="272"/>
      <c r="FS102" s="272"/>
      <c r="FT102" s="272"/>
      <c r="FU102" s="272"/>
      <c r="FV102" s="272"/>
      <c r="FW102" s="272"/>
      <c r="FX102" s="272"/>
      <c r="FY102" s="272"/>
      <c r="FZ102" s="272"/>
      <c r="GA102" s="272"/>
      <c r="GB102" s="272"/>
      <c r="GC102" s="272"/>
      <c r="GD102" s="272"/>
      <c r="GE102" s="272"/>
      <c r="GF102" s="272"/>
      <c r="GG102" s="272"/>
      <c r="GH102" s="272"/>
      <c r="GI102" s="272"/>
      <c r="GJ102" s="272"/>
      <c r="GK102" s="272"/>
      <c r="GL102" s="272"/>
      <c r="GM102" s="272"/>
      <c r="GN102" s="272"/>
      <c r="GO102" s="272"/>
      <c r="GP102" s="272"/>
      <c r="GQ102" s="272"/>
      <c r="GR102" s="272"/>
      <c r="GS102" s="272"/>
      <c r="GT102" s="272"/>
      <c r="GU102" s="272"/>
      <c r="GV102" s="272"/>
      <c r="GW102" s="272"/>
      <c r="GX102" s="272"/>
      <c r="GY102" s="272"/>
      <c r="GZ102" s="272"/>
      <c r="HA102" s="272"/>
      <c r="HB102" s="272"/>
      <c r="HC102" s="272"/>
      <c r="HD102" s="272"/>
      <c r="HE102" s="272"/>
      <c r="HF102" s="272"/>
      <c r="HG102" s="272"/>
      <c r="HH102" s="272"/>
      <c r="HI102" s="272"/>
      <c r="HJ102" s="272"/>
      <c r="HK102" s="272"/>
      <c r="HL102" s="272"/>
      <c r="HM102" s="272"/>
      <c r="HN102" s="272"/>
      <c r="HO102" s="272"/>
      <c r="HP102" s="272"/>
      <c r="HQ102" s="272"/>
      <c r="HR102" s="272"/>
      <c r="HS102" s="272"/>
      <c r="HT102" s="272"/>
      <c r="HU102" s="272"/>
      <c r="HV102" s="272"/>
      <c r="HW102" s="272"/>
      <c r="HX102" s="272"/>
      <c r="HY102" s="272"/>
      <c r="HZ102" s="272"/>
      <c r="IA102" s="272"/>
      <c r="IB102" s="272"/>
      <c r="IC102" s="272"/>
      <c r="ID102" s="272"/>
      <c r="IE102" s="272"/>
      <c r="IF102" s="272"/>
      <c r="IG102" s="272"/>
      <c r="IH102" s="272"/>
      <c r="II102" s="272"/>
      <c r="IJ102" s="272"/>
      <c r="IK102" s="272"/>
      <c r="IL102" s="272"/>
      <c r="IM102" s="272"/>
      <c r="IN102" s="272"/>
      <c r="IO102" s="272"/>
      <c r="IP102" s="272"/>
      <c r="IQ102" s="272"/>
      <c r="IR102" s="272"/>
      <c r="IS102" s="272"/>
      <c r="IT102" s="272"/>
      <c r="IU102" s="272"/>
      <c r="IV102" s="272"/>
      <c r="IW102" s="272"/>
      <c r="IX102" s="272"/>
      <c r="IY102" s="272"/>
      <c r="IZ102" s="272"/>
      <c r="JA102" s="272"/>
      <c r="JB102" s="272"/>
      <c r="JC102" s="272"/>
      <c r="JD102" s="272"/>
      <c r="JE102" s="272"/>
      <c r="JF102" s="272"/>
      <c r="JG102" s="272"/>
      <c r="JH102" s="272"/>
      <c r="JI102" s="272"/>
      <c r="JJ102" s="272"/>
      <c r="JK102" s="272"/>
      <c r="JL102" s="272"/>
      <c r="JM102" s="272"/>
      <c r="JN102" s="272"/>
      <c r="JO102" s="272"/>
      <c r="JP102" s="272"/>
      <c r="JQ102" s="272"/>
      <c r="JR102" s="272"/>
      <c r="JS102" s="272"/>
      <c r="JT102" s="272"/>
      <c r="JU102" s="272"/>
      <c r="JV102" s="272"/>
      <c r="JW102" s="272"/>
      <c r="JX102" s="272"/>
      <c r="JY102" s="272"/>
      <c r="JZ102" s="272"/>
      <c r="KA102" s="272"/>
      <c r="KB102" s="272"/>
      <c r="KC102" s="272"/>
      <c r="KD102" s="272"/>
      <c r="KE102" s="272"/>
      <c r="KF102" s="272"/>
      <c r="KG102" s="272"/>
      <c r="KH102" s="272"/>
      <c r="KI102" s="272"/>
      <c r="KJ102" s="272"/>
      <c r="KK102" s="272"/>
      <c r="KL102" s="272"/>
      <c r="KM102" s="272"/>
      <c r="KN102" s="272"/>
      <c r="KO102" s="272"/>
      <c r="KP102" s="272"/>
      <c r="KQ102" s="272"/>
      <c r="KR102" s="272"/>
      <c r="KS102" s="272"/>
      <c r="KT102" s="272"/>
      <c r="KU102" s="272"/>
      <c r="KV102" s="272"/>
      <c r="KW102" s="272"/>
      <c r="KX102" s="272"/>
      <c r="KY102" s="272"/>
      <c r="KZ102" s="272"/>
      <c r="LA102" s="272"/>
      <c r="LB102" s="272"/>
      <c r="LC102" s="272"/>
      <c r="LD102" s="272"/>
      <c r="LE102" s="272"/>
      <c r="LF102" s="272"/>
      <c r="LG102" s="272"/>
      <c r="LH102" s="272"/>
      <c r="LI102" s="272"/>
      <c r="LJ102" s="272"/>
      <c r="LK102" s="272"/>
      <c r="LL102" s="272"/>
      <c r="LM102" s="272"/>
      <c r="LN102" s="272"/>
      <c r="LO102" s="272"/>
      <c r="LP102" s="272"/>
      <c r="LQ102" s="272"/>
      <c r="LR102" s="272"/>
      <c r="LS102" s="272"/>
      <c r="LT102" s="272"/>
      <c r="LU102" s="272"/>
      <c r="LV102" s="272"/>
      <c r="LW102" s="272"/>
      <c r="LX102" s="272"/>
      <c r="LY102" s="272"/>
      <c r="LZ102" s="272"/>
      <c r="MA102" s="272"/>
      <c r="MB102" s="272"/>
      <c r="MC102" s="272"/>
      <c r="MD102" s="272"/>
      <c r="ME102" s="272"/>
      <c r="MF102" s="272"/>
      <c r="MG102" s="272"/>
      <c r="MH102" s="272"/>
      <c r="MI102" s="272"/>
      <c r="MJ102" s="272"/>
      <c r="MK102" s="272"/>
      <c r="ML102" s="272"/>
      <c r="MM102" s="272"/>
      <c r="MN102" s="272"/>
      <c r="MO102" s="272"/>
      <c r="MP102" s="272"/>
      <c r="MQ102" s="272"/>
      <c r="MR102" s="272"/>
      <c r="MS102" s="272"/>
      <c r="MT102" s="272"/>
      <c r="MU102" s="272"/>
      <c r="MV102" s="272"/>
      <c r="MW102" s="272"/>
      <c r="MX102" s="272"/>
      <c r="MY102" s="272"/>
      <c r="MZ102" s="272"/>
      <c r="NA102" s="272"/>
      <c r="NB102" s="272"/>
      <c r="NC102" s="272"/>
      <c r="ND102" s="272"/>
      <c r="NE102" s="272"/>
      <c r="NF102" s="272"/>
      <c r="NG102" s="272"/>
      <c r="NH102" s="272"/>
      <c r="NI102" s="272"/>
      <c r="NJ102" s="272"/>
      <c r="NK102" s="272"/>
      <c r="NL102" s="272"/>
      <c r="NM102" s="272"/>
      <c r="NN102" s="272"/>
      <c r="NO102" s="272"/>
      <c r="NP102" s="272"/>
      <c r="NQ102" s="272"/>
      <c r="NR102" s="272"/>
      <c r="NS102" s="272"/>
      <c r="NT102" s="272"/>
      <c r="NU102" s="272"/>
      <c r="NV102" s="272"/>
      <c r="NW102" s="272"/>
      <c r="NX102" s="272"/>
      <c r="NY102" s="272"/>
      <c r="NZ102" s="272"/>
      <c r="OA102" s="272"/>
      <c r="OB102" s="272"/>
      <c r="OC102" s="272"/>
      <c r="OD102" s="272"/>
      <c r="OE102" s="272"/>
      <c r="OF102" s="272"/>
      <c r="OG102" s="272"/>
      <c r="OH102" s="272"/>
      <c r="OI102" s="272"/>
      <c r="OJ102" s="272"/>
      <c r="OK102" s="272"/>
      <c r="OL102" s="272"/>
      <c r="OM102" s="272"/>
      <c r="ON102" s="272"/>
      <c r="OO102" s="272"/>
      <c r="OP102" s="272"/>
      <c r="OQ102" s="272"/>
      <c r="OR102" s="272"/>
      <c r="OS102" s="272"/>
      <c r="OT102" s="272"/>
      <c r="OU102" s="272"/>
      <c r="OV102" s="272"/>
      <c r="OW102" s="272"/>
      <c r="OX102" s="272"/>
      <c r="OY102" s="272"/>
      <c r="OZ102" s="272"/>
      <c r="PA102" s="272"/>
      <c r="PB102" s="272"/>
      <c r="PC102" s="272"/>
      <c r="PD102" s="272"/>
      <c r="PE102" s="272"/>
      <c r="PF102" s="272"/>
      <c r="PG102" s="272"/>
      <c r="PH102" s="272"/>
      <c r="PI102" s="272"/>
      <c r="PJ102" s="272"/>
      <c r="PK102" s="272"/>
      <c r="PL102" s="272"/>
      <c r="PM102" s="272"/>
      <c r="PN102" s="272"/>
      <c r="PO102" s="272"/>
      <c r="PP102" s="272"/>
      <c r="PQ102" s="272"/>
      <c r="PR102" s="272"/>
      <c r="PS102" s="272"/>
      <c r="PT102" s="272"/>
      <c r="PU102" s="272"/>
      <c r="PV102" s="272"/>
      <c r="PW102" s="272"/>
      <c r="PX102" s="272"/>
      <c r="PY102" s="272"/>
      <c r="PZ102" s="272"/>
      <c r="QA102" s="272"/>
      <c r="QB102" s="272"/>
      <c r="QC102" s="272"/>
      <c r="QD102" s="272"/>
      <c r="QE102" s="272"/>
      <c r="QF102" s="272"/>
      <c r="QG102" s="272"/>
      <c r="QH102" s="272"/>
      <c r="QI102" s="272"/>
      <c r="QJ102" s="272"/>
      <c r="QK102" s="272"/>
      <c r="QL102" s="272"/>
      <c r="QM102" s="272"/>
      <c r="QN102" s="272"/>
      <c r="QO102" s="272"/>
      <c r="QP102" s="272"/>
      <c r="QQ102" s="272"/>
      <c r="QR102" s="272"/>
      <c r="QS102" s="272"/>
      <c r="QT102" s="272"/>
      <c r="QU102" s="272"/>
      <c r="QV102" s="272"/>
      <c r="QW102" s="272"/>
      <c r="QX102" s="272"/>
      <c r="QY102" s="272"/>
      <c r="QZ102" s="272"/>
      <c r="RA102" s="272"/>
      <c r="RB102" s="272"/>
      <c r="RC102" s="272"/>
      <c r="RD102" s="272"/>
      <c r="RE102" s="272"/>
      <c r="RF102" s="272"/>
      <c r="RG102" s="272"/>
      <c r="RH102" s="272"/>
      <c r="RI102" s="272"/>
      <c r="RJ102" s="272"/>
      <c r="RK102" s="272"/>
      <c r="RL102" s="272"/>
      <c r="RM102" s="272"/>
      <c r="RN102" s="272"/>
      <c r="RO102" s="272"/>
      <c r="RP102" s="272"/>
      <c r="RQ102" s="272"/>
      <c r="RR102" s="272"/>
      <c r="RS102" s="272"/>
      <c r="RT102" s="272"/>
      <c r="RU102" s="272"/>
      <c r="RV102" s="272"/>
      <c r="RW102" s="272"/>
      <c r="RX102" s="272"/>
      <c r="RY102" s="272"/>
      <c r="RZ102" s="272"/>
      <c r="SA102" s="272"/>
      <c r="SB102" s="272"/>
      <c r="SC102" s="272"/>
      <c r="SD102" s="272"/>
      <c r="SE102" s="272"/>
      <c r="SF102" s="272"/>
      <c r="SG102" s="272"/>
      <c r="SH102" s="272"/>
      <c r="SI102" s="272"/>
      <c r="SJ102" s="272"/>
      <c r="SK102" s="272"/>
      <c r="SL102" s="272"/>
      <c r="SM102" s="272"/>
      <c r="SN102" s="272"/>
      <c r="SO102" s="272"/>
      <c r="SP102" s="272"/>
      <c r="SQ102" s="272"/>
      <c r="SR102" s="272"/>
      <c r="SS102" s="272"/>
      <c r="ST102" s="272"/>
      <c r="SU102" s="272"/>
      <c r="SV102" s="272"/>
      <c r="SW102" s="272"/>
      <c r="SX102" s="272"/>
      <c r="SY102" s="272"/>
      <c r="SZ102" s="272"/>
      <c r="TA102" s="272"/>
      <c r="TB102" s="272"/>
      <c r="TC102" s="272"/>
      <c r="TD102" s="272"/>
      <c r="TE102" s="272"/>
      <c r="TF102" s="272"/>
      <c r="TG102" s="272"/>
      <c r="TH102" s="272"/>
      <c r="TI102" s="272"/>
      <c r="TJ102" s="272"/>
      <c r="TK102" s="272"/>
      <c r="TL102" s="272"/>
      <c r="TM102" s="272"/>
      <c r="TN102" s="272"/>
      <c r="TO102" s="272"/>
      <c r="TP102" s="272"/>
      <c r="TQ102" s="272"/>
      <c r="TR102" s="272"/>
      <c r="TS102" s="272"/>
      <c r="TT102" s="272"/>
      <c r="TU102" s="272"/>
      <c r="TV102" s="272"/>
      <c r="TW102" s="272"/>
      <c r="TX102" s="272"/>
      <c r="TY102" s="272"/>
      <c r="TZ102" s="272"/>
      <c r="UA102" s="272"/>
      <c r="UB102" s="272"/>
      <c r="UC102" s="272"/>
      <c r="UD102" s="272"/>
      <c r="UE102" s="272"/>
      <c r="UF102" s="272"/>
      <c r="UG102" s="272"/>
      <c r="UH102" s="272"/>
      <c r="UI102" s="272"/>
      <c r="UJ102" s="272"/>
      <c r="UK102" s="272"/>
      <c r="UL102" s="272"/>
      <c r="UM102" s="272"/>
      <c r="UN102" s="272"/>
      <c r="UO102" s="272"/>
      <c r="UP102" s="272"/>
      <c r="UQ102" s="272"/>
      <c r="UR102" s="272"/>
      <c r="US102" s="272"/>
      <c r="UT102" s="272"/>
      <c r="UU102" s="272"/>
      <c r="UV102" s="272"/>
      <c r="UW102" s="272"/>
      <c r="UX102" s="272"/>
      <c r="UY102" s="272"/>
      <c r="UZ102" s="272"/>
      <c r="VA102" s="272"/>
      <c r="VB102" s="272"/>
      <c r="VC102" s="272"/>
      <c r="VD102" s="272"/>
      <c r="VE102" s="272"/>
      <c r="VF102" s="272"/>
      <c r="VG102" s="272"/>
      <c r="VH102" s="272"/>
      <c r="VI102" s="272"/>
      <c r="VJ102" s="272"/>
      <c r="VK102" s="272"/>
      <c r="VL102" s="272"/>
      <c r="VM102" s="272"/>
      <c r="VN102" s="272"/>
      <c r="VO102" s="272"/>
      <c r="VP102" s="272"/>
      <c r="VQ102" s="272"/>
      <c r="VR102" s="272"/>
      <c r="VS102" s="272"/>
      <c r="VT102" s="272"/>
      <c r="VU102" s="272"/>
      <c r="VV102" s="272"/>
      <c r="VW102" s="272"/>
      <c r="VX102" s="272"/>
      <c r="VY102" s="272"/>
      <c r="VZ102" s="272"/>
      <c r="WA102" s="272"/>
      <c r="WB102" s="272"/>
      <c r="WC102" s="272"/>
      <c r="WD102" s="272"/>
      <c r="WE102" s="272"/>
      <c r="WF102" s="272"/>
      <c r="WG102" s="272"/>
      <c r="WH102" s="272"/>
      <c r="WI102" s="272"/>
      <c r="WJ102" s="272"/>
      <c r="WK102" s="272"/>
      <c r="WL102" s="272"/>
      <c r="WM102" s="272"/>
      <c r="WN102" s="272"/>
      <c r="WO102" s="272"/>
      <c r="WP102" s="272"/>
      <c r="WQ102" s="272"/>
      <c r="WR102" s="272"/>
      <c r="WS102" s="272"/>
      <c r="WT102" s="272"/>
      <c r="WU102" s="272"/>
      <c r="WV102" s="272"/>
      <c r="WW102" s="272"/>
      <c r="WX102" s="272"/>
      <c r="WY102" s="272"/>
      <c r="WZ102" s="272"/>
      <c r="XA102" s="272"/>
      <c r="XB102" s="272"/>
      <c r="XC102" s="272"/>
      <c r="XD102" s="272"/>
      <c r="XE102" s="272"/>
      <c r="XF102" s="272"/>
      <c r="XG102" s="272"/>
      <c r="XH102" s="272"/>
      <c r="XI102" s="272"/>
      <c r="XJ102" s="272"/>
      <c r="XK102" s="272"/>
      <c r="XL102" s="272"/>
      <c r="XM102" s="272"/>
      <c r="XN102" s="272"/>
      <c r="XO102" s="272"/>
      <c r="XP102" s="272"/>
      <c r="XQ102" s="272"/>
      <c r="XR102" s="272"/>
      <c r="XS102" s="272"/>
      <c r="XT102" s="272"/>
      <c r="XU102" s="272"/>
      <c r="XV102" s="272"/>
      <c r="XW102" s="272"/>
      <c r="XX102" s="272"/>
      <c r="XY102" s="272"/>
      <c r="XZ102" s="272"/>
      <c r="YA102" s="272"/>
      <c r="YB102" s="272"/>
      <c r="YC102" s="272"/>
      <c r="YD102" s="272"/>
      <c r="YE102" s="272"/>
      <c r="YF102" s="272"/>
      <c r="YG102" s="272"/>
      <c r="YH102" s="272"/>
      <c r="YI102" s="272"/>
      <c r="YJ102" s="272"/>
      <c r="YK102" s="272"/>
      <c r="YL102" s="272"/>
      <c r="YM102" s="272"/>
      <c r="YN102" s="272"/>
      <c r="YO102" s="272"/>
      <c r="YP102" s="272"/>
      <c r="YQ102" s="272"/>
      <c r="YR102" s="272"/>
      <c r="YS102" s="272"/>
      <c r="YT102" s="272"/>
      <c r="YU102" s="272"/>
      <c r="YV102" s="272"/>
      <c r="YW102" s="272"/>
      <c r="YX102" s="272"/>
      <c r="YY102" s="272"/>
      <c r="YZ102" s="272"/>
      <c r="ZA102" s="272"/>
      <c r="ZB102" s="272"/>
      <c r="ZC102" s="272"/>
      <c r="ZD102" s="272"/>
      <c r="ZE102" s="272"/>
      <c r="ZF102" s="272"/>
      <c r="ZG102" s="272"/>
      <c r="ZH102" s="272"/>
      <c r="ZI102" s="272"/>
      <c r="ZJ102" s="272"/>
      <c r="ZK102" s="272"/>
      <c r="ZL102" s="272"/>
      <c r="ZM102" s="272"/>
      <c r="ZN102" s="272"/>
      <c r="ZO102" s="272"/>
      <c r="ZP102" s="272"/>
      <c r="ZQ102" s="272"/>
      <c r="ZR102" s="272"/>
      <c r="ZS102" s="272"/>
      <c r="ZT102" s="272"/>
      <c r="ZU102" s="272"/>
      <c r="ZV102" s="272"/>
      <c r="ZW102" s="272"/>
      <c r="ZX102" s="272"/>
      <c r="ZY102" s="272"/>
      <c r="ZZ102" s="272"/>
      <c r="AAA102" s="272"/>
      <c r="AAB102" s="272"/>
      <c r="AAC102" s="272"/>
      <c r="AAD102" s="272"/>
      <c r="AAE102" s="272"/>
      <c r="AAF102" s="272"/>
      <c r="AAG102" s="272"/>
      <c r="AAH102" s="272"/>
      <c r="AAI102" s="272"/>
      <c r="AAJ102" s="272"/>
      <c r="AAK102" s="272"/>
      <c r="AAL102" s="272"/>
      <c r="AAM102" s="272"/>
      <c r="AAN102" s="272"/>
      <c r="AAO102" s="272"/>
      <c r="AAP102" s="272"/>
      <c r="AAQ102" s="272"/>
      <c r="AAR102" s="272"/>
      <c r="AAS102" s="272"/>
      <c r="AAT102" s="272"/>
      <c r="AAU102" s="272"/>
      <c r="AAV102" s="272"/>
      <c r="AAW102" s="272"/>
      <c r="AAX102" s="272"/>
      <c r="AAY102" s="272"/>
      <c r="AAZ102" s="272"/>
      <c r="ABA102" s="272"/>
      <c r="ABB102" s="272"/>
      <c r="ABC102" s="272"/>
      <c r="ABD102" s="272"/>
      <c r="ABE102" s="272"/>
      <c r="ABF102" s="272"/>
      <c r="ABG102" s="272"/>
    </row>
    <row r="103" spans="1:735" s="86" customFormat="1" ht="12.75" customHeight="1">
      <c r="A103" s="39"/>
      <c r="B103" s="40"/>
      <c r="C103" s="597"/>
      <c r="D103" s="600"/>
      <c r="E103" s="619"/>
      <c r="F103" s="626"/>
      <c r="G103" s="636"/>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2"/>
      <c r="BA103" s="272"/>
      <c r="BB103" s="272"/>
      <c r="BC103" s="272"/>
      <c r="BD103" s="272"/>
      <c r="BE103" s="272"/>
      <c r="BF103" s="272"/>
      <c r="BG103" s="272"/>
      <c r="BH103" s="272"/>
      <c r="BI103" s="272"/>
      <c r="BJ103" s="272"/>
      <c r="BK103" s="272"/>
      <c r="BL103" s="272"/>
      <c r="BM103" s="272"/>
      <c r="BN103" s="272"/>
      <c r="BO103" s="272"/>
      <c r="BP103" s="272"/>
      <c r="BQ103" s="272"/>
      <c r="BR103" s="272"/>
      <c r="BS103" s="272"/>
      <c r="BT103" s="272"/>
      <c r="BU103" s="272"/>
      <c r="BV103" s="272"/>
      <c r="BW103" s="272"/>
      <c r="BX103" s="272"/>
      <c r="BY103" s="272"/>
      <c r="BZ103" s="272"/>
      <c r="CA103" s="272"/>
      <c r="CB103" s="272"/>
      <c r="CC103" s="272"/>
      <c r="CD103" s="272"/>
      <c r="CE103" s="272"/>
      <c r="CF103" s="272"/>
      <c r="CG103" s="272"/>
      <c r="CH103" s="272"/>
      <c r="CI103" s="272"/>
      <c r="CJ103" s="272"/>
      <c r="CK103" s="272"/>
      <c r="CL103" s="272"/>
      <c r="CM103" s="272"/>
      <c r="CN103" s="272"/>
      <c r="CO103" s="272"/>
      <c r="CP103" s="272"/>
      <c r="CQ103" s="272"/>
      <c r="CR103" s="272"/>
      <c r="CS103" s="272"/>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2"/>
      <c r="DQ103" s="272"/>
      <c r="DR103" s="272"/>
      <c r="DS103" s="272"/>
      <c r="DT103" s="272"/>
      <c r="DU103" s="272"/>
      <c r="DV103" s="272"/>
      <c r="DW103" s="272"/>
      <c r="DX103" s="272"/>
      <c r="DY103" s="272"/>
      <c r="DZ103" s="272"/>
      <c r="EA103" s="272"/>
      <c r="EB103" s="272"/>
      <c r="EC103" s="272"/>
      <c r="ED103" s="272"/>
      <c r="EE103" s="272"/>
      <c r="EF103" s="272"/>
      <c r="EG103" s="272"/>
      <c r="EH103" s="272"/>
      <c r="EI103" s="272"/>
      <c r="EJ103" s="272"/>
      <c r="EK103" s="272"/>
      <c r="EL103" s="272"/>
      <c r="EM103" s="272"/>
      <c r="EN103" s="272"/>
      <c r="EO103" s="272"/>
      <c r="EP103" s="272"/>
      <c r="EQ103" s="272"/>
      <c r="ER103" s="272"/>
      <c r="ES103" s="272"/>
      <c r="ET103" s="272"/>
      <c r="EU103" s="272"/>
      <c r="EV103" s="272"/>
      <c r="EW103" s="272"/>
      <c r="EX103" s="272"/>
      <c r="EY103" s="272"/>
      <c r="EZ103" s="272"/>
      <c r="FA103" s="272"/>
      <c r="FB103" s="272"/>
      <c r="FC103" s="272"/>
      <c r="FD103" s="272"/>
      <c r="FE103" s="272"/>
      <c r="FF103" s="272"/>
      <c r="FG103" s="272"/>
      <c r="FH103" s="272"/>
      <c r="FI103" s="272"/>
      <c r="FJ103" s="272"/>
      <c r="FK103" s="272"/>
      <c r="FL103" s="272"/>
      <c r="FM103" s="272"/>
      <c r="FN103" s="272"/>
      <c r="FO103" s="272"/>
      <c r="FP103" s="272"/>
      <c r="FQ103" s="272"/>
      <c r="FR103" s="272"/>
      <c r="FS103" s="272"/>
      <c r="FT103" s="272"/>
      <c r="FU103" s="272"/>
      <c r="FV103" s="272"/>
      <c r="FW103" s="272"/>
      <c r="FX103" s="272"/>
      <c r="FY103" s="272"/>
      <c r="FZ103" s="272"/>
      <c r="GA103" s="272"/>
      <c r="GB103" s="272"/>
      <c r="GC103" s="272"/>
      <c r="GD103" s="272"/>
      <c r="GE103" s="272"/>
      <c r="GF103" s="272"/>
      <c r="GG103" s="272"/>
      <c r="GH103" s="272"/>
      <c r="GI103" s="272"/>
      <c r="GJ103" s="272"/>
      <c r="GK103" s="272"/>
      <c r="GL103" s="272"/>
      <c r="GM103" s="272"/>
      <c r="GN103" s="272"/>
      <c r="GO103" s="272"/>
      <c r="GP103" s="272"/>
      <c r="GQ103" s="272"/>
      <c r="GR103" s="272"/>
      <c r="GS103" s="272"/>
      <c r="GT103" s="272"/>
      <c r="GU103" s="272"/>
      <c r="GV103" s="272"/>
      <c r="GW103" s="272"/>
      <c r="GX103" s="272"/>
      <c r="GY103" s="272"/>
      <c r="GZ103" s="272"/>
      <c r="HA103" s="272"/>
      <c r="HB103" s="272"/>
      <c r="HC103" s="272"/>
      <c r="HD103" s="272"/>
      <c r="HE103" s="272"/>
      <c r="HF103" s="272"/>
      <c r="HG103" s="272"/>
      <c r="HH103" s="272"/>
      <c r="HI103" s="272"/>
      <c r="HJ103" s="272"/>
      <c r="HK103" s="272"/>
      <c r="HL103" s="272"/>
      <c r="HM103" s="272"/>
      <c r="HN103" s="272"/>
      <c r="HO103" s="272"/>
      <c r="HP103" s="272"/>
      <c r="HQ103" s="272"/>
      <c r="HR103" s="272"/>
      <c r="HS103" s="272"/>
      <c r="HT103" s="272"/>
      <c r="HU103" s="272"/>
      <c r="HV103" s="272"/>
      <c r="HW103" s="272"/>
      <c r="HX103" s="272"/>
      <c r="HY103" s="272"/>
      <c r="HZ103" s="272"/>
      <c r="IA103" s="272"/>
      <c r="IB103" s="272"/>
      <c r="IC103" s="272"/>
      <c r="ID103" s="272"/>
      <c r="IE103" s="272"/>
      <c r="IF103" s="272"/>
      <c r="IG103" s="272"/>
      <c r="IH103" s="272"/>
      <c r="II103" s="272"/>
      <c r="IJ103" s="272"/>
      <c r="IK103" s="272"/>
      <c r="IL103" s="272"/>
      <c r="IM103" s="272"/>
      <c r="IN103" s="272"/>
      <c r="IO103" s="272"/>
      <c r="IP103" s="272"/>
      <c r="IQ103" s="272"/>
      <c r="IR103" s="272"/>
      <c r="IS103" s="272"/>
      <c r="IT103" s="272"/>
      <c r="IU103" s="272"/>
      <c r="IV103" s="272"/>
      <c r="IW103" s="272"/>
      <c r="IX103" s="272"/>
      <c r="IY103" s="272"/>
      <c r="IZ103" s="272"/>
      <c r="JA103" s="272"/>
      <c r="JB103" s="272"/>
      <c r="JC103" s="272"/>
      <c r="JD103" s="272"/>
      <c r="JE103" s="272"/>
      <c r="JF103" s="272"/>
      <c r="JG103" s="272"/>
      <c r="JH103" s="272"/>
      <c r="JI103" s="272"/>
      <c r="JJ103" s="272"/>
      <c r="JK103" s="272"/>
      <c r="JL103" s="272"/>
      <c r="JM103" s="272"/>
      <c r="JN103" s="272"/>
      <c r="JO103" s="272"/>
      <c r="JP103" s="272"/>
      <c r="JQ103" s="272"/>
      <c r="JR103" s="272"/>
      <c r="JS103" s="272"/>
      <c r="JT103" s="272"/>
      <c r="JU103" s="272"/>
      <c r="JV103" s="272"/>
      <c r="JW103" s="272"/>
      <c r="JX103" s="272"/>
      <c r="JY103" s="272"/>
      <c r="JZ103" s="272"/>
      <c r="KA103" s="272"/>
      <c r="KB103" s="272"/>
      <c r="KC103" s="272"/>
      <c r="KD103" s="272"/>
      <c r="KE103" s="272"/>
      <c r="KF103" s="272"/>
      <c r="KG103" s="272"/>
      <c r="KH103" s="272"/>
      <c r="KI103" s="272"/>
      <c r="KJ103" s="272"/>
      <c r="KK103" s="272"/>
      <c r="KL103" s="272"/>
      <c r="KM103" s="272"/>
      <c r="KN103" s="272"/>
      <c r="KO103" s="272"/>
      <c r="KP103" s="272"/>
      <c r="KQ103" s="272"/>
      <c r="KR103" s="272"/>
      <c r="KS103" s="272"/>
      <c r="KT103" s="272"/>
      <c r="KU103" s="272"/>
      <c r="KV103" s="272"/>
      <c r="KW103" s="272"/>
      <c r="KX103" s="272"/>
      <c r="KY103" s="272"/>
      <c r="KZ103" s="272"/>
      <c r="LA103" s="272"/>
      <c r="LB103" s="272"/>
      <c r="LC103" s="272"/>
      <c r="LD103" s="272"/>
      <c r="LE103" s="272"/>
      <c r="LF103" s="272"/>
      <c r="LG103" s="272"/>
      <c r="LH103" s="272"/>
      <c r="LI103" s="272"/>
      <c r="LJ103" s="272"/>
      <c r="LK103" s="272"/>
      <c r="LL103" s="272"/>
      <c r="LM103" s="272"/>
      <c r="LN103" s="272"/>
      <c r="LO103" s="272"/>
      <c r="LP103" s="272"/>
      <c r="LQ103" s="272"/>
      <c r="LR103" s="272"/>
      <c r="LS103" s="272"/>
      <c r="LT103" s="272"/>
      <c r="LU103" s="272"/>
      <c r="LV103" s="272"/>
      <c r="LW103" s="272"/>
      <c r="LX103" s="272"/>
      <c r="LY103" s="272"/>
      <c r="LZ103" s="272"/>
      <c r="MA103" s="272"/>
      <c r="MB103" s="272"/>
      <c r="MC103" s="272"/>
      <c r="MD103" s="272"/>
      <c r="ME103" s="272"/>
      <c r="MF103" s="272"/>
      <c r="MG103" s="272"/>
      <c r="MH103" s="272"/>
      <c r="MI103" s="272"/>
      <c r="MJ103" s="272"/>
      <c r="MK103" s="272"/>
      <c r="ML103" s="272"/>
      <c r="MM103" s="272"/>
      <c r="MN103" s="272"/>
      <c r="MO103" s="272"/>
      <c r="MP103" s="272"/>
      <c r="MQ103" s="272"/>
      <c r="MR103" s="272"/>
      <c r="MS103" s="272"/>
      <c r="MT103" s="272"/>
      <c r="MU103" s="272"/>
      <c r="MV103" s="272"/>
      <c r="MW103" s="272"/>
      <c r="MX103" s="272"/>
      <c r="MY103" s="272"/>
      <c r="MZ103" s="272"/>
      <c r="NA103" s="272"/>
      <c r="NB103" s="272"/>
      <c r="NC103" s="272"/>
      <c r="ND103" s="272"/>
      <c r="NE103" s="272"/>
      <c r="NF103" s="272"/>
      <c r="NG103" s="272"/>
      <c r="NH103" s="272"/>
      <c r="NI103" s="272"/>
      <c r="NJ103" s="272"/>
      <c r="NK103" s="272"/>
      <c r="NL103" s="272"/>
      <c r="NM103" s="272"/>
      <c r="NN103" s="272"/>
      <c r="NO103" s="272"/>
      <c r="NP103" s="272"/>
      <c r="NQ103" s="272"/>
      <c r="NR103" s="272"/>
      <c r="NS103" s="272"/>
      <c r="NT103" s="272"/>
      <c r="NU103" s="272"/>
      <c r="NV103" s="272"/>
      <c r="NW103" s="272"/>
      <c r="NX103" s="272"/>
      <c r="NY103" s="272"/>
      <c r="NZ103" s="272"/>
      <c r="OA103" s="272"/>
      <c r="OB103" s="272"/>
      <c r="OC103" s="272"/>
      <c r="OD103" s="272"/>
      <c r="OE103" s="272"/>
      <c r="OF103" s="272"/>
      <c r="OG103" s="272"/>
      <c r="OH103" s="272"/>
      <c r="OI103" s="272"/>
      <c r="OJ103" s="272"/>
      <c r="OK103" s="272"/>
      <c r="OL103" s="272"/>
      <c r="OM103" s="272"/>
      <c r="ON103" s="272"/>
      <c r="OO103" s="272"/>
      <c r="OP103" s="272"/>
      <c r="OQ103" s="272"/>
      <c r="OR103" s="272"/>
      <c r="OS103" s="272"/>
      <c r="OT103" s="272"/>
      <c r="OU103" s="272"/>
      <c r="OV103" s="272"/>
      <c r="OW103" s="272"/>
      <c r="OX103" s="272"/>
      <c r="OY103" s="272"/>
      <c r="OZ103" s="272"/>
      <c r="PA103" s="272"/>
      <c r="PB103" s="272"/>
      <c r="PC103" s="272"/>
      <c r="PD103" s="272"/>
      <c r="PE103" s="272"/>
      <c r="PF103" s="272"/>
      <c r="PG103" s="272"/>
      <c r="PH103" s="272"/>
      <c r="PI103" s="272"/>
      <c r="PJ103" s="272"/>
      <c r="PK103" s="272"/>
      <c r="PL103" s="272"/>
      <c r="PM103" s="272"/>
      <c r="PN103" s="272"/>
      <c r="PO103" s="272"/>
      <c r="PP103" s="272"/>
      <c r="PQ103" s="272"/>
      <c r="PR103" s="272"/>
      <c r="PS103" s="272"/>
      <c r="PT103" s="272"/>
      <c r="PU103" s="272"/>
      <c r="PV103" s="272"/>
      <c r="PW103" s="272"/>
      <c r="PX103" s="272"/>
      <c r="PY103" s="272"/>
      <c r="PZ103" s="272"/>
      <c r="QA103" s="272"/>
      <c r="QB103" s="272"/>
      <c r="QC103" s="272"/>
      <c r="QD103" s="272"/>
      <c r="QE103" s="272"/>
      <c r="QF103" s="272"/>
      <c r="QG103" s="272"/>
      <c r="QH103" s="272"/>
      <c r="QI103" s="272"/>
      <c r="QJ103" s="272"/>
      <c r="QK103" s="272"/>
      <c r="QL103" s="272"/>
      <c r="QM103" s="272"/>
      <c r="QN103" s="272"/>
      <c r="QO103" s="272"/>
      <c r="QP103" s="272"/>
      <c r="QQ103" s="272"/>
      <c r="QR103" s="272"/>
      <c r="QS103" s="272"/>
      <c r="QT103" s="272"/>
      <c r="QU103" s="272"/>
      <c r="QV103" s="272"/>
      <c r="QW103" s="272"/>
      <c r="QX103" s="272"/>
      <c r="QY103" s="272"/>
      <c r="QZ103" s="272"/>
      <c r="RA103" s="272"/>
      <c r="RB103" s="272"/>
      <c r="RC103" s="272"/>
      <c r="RD103" s="272"/>
      <c r="RE103" s="272"/>
      <c r="RF103" s="272"/>
      <c r="RG103" s="272"/>
      <c r="RH103" s="272"/>
      <c r="RI103" s="272"/>
      <c r="RJ103" s="272"/>
      <c r="RK103" s="272"/>
      <c r="RL103" s="272"/>
      <c r="RM103" s="272"/>
      <c r="RN103" s="272"/>
      <c r="RO103" s="272"/>
      <c r="RP103" s="272"/>
      <c r="RQ103" s="272"/>
      <c r="RR103" s="272"/>
      <c r="RS103" s="272"/>
      <c r="RT103" s="272"/>
      <c r="RU103" s="272"/>
      <c r="RV103" s="272"/>
      <c r="RW103" s="272"/>
      <c r="RX103" s="272"/>
      <c r="RY103" s="272"/>
      <c r="RZ103" s="272"/>
      <c r="SA103" s="272"/>
      <c r="SB103" s="272"/>
      <c r="SC103" s="272"/>
      <c r="SD103" s="272"/>
      <c r="SE103" s="272"/>
      <c r="SF103" s="272"/>
      <c r="SG103" s="272"/>
      <c r="SH103" s="272"/>
      <c r="SI103" s="272"/>
      <c r="SJ103" s="272"/>
      <c r="SK103" s="272"/>
      <c r="SL103" s="272"/>
      <c r="SM103" s="272"/>
      <c r="SN103" s="272"/>
      <c r="SO103" s="272"/>
      <c r="SP103" s="272"/>
      <c r="SQ103" s="272"/>
      <c r="SR103" s="272"/>
      <c r="SS103" s="272"/>
      <c r="ST103" s="272"/>
      <c r="SU103" s="272"/>
      <c r="SV103" s="272"/>
      <c r="SW103" s="272"/>
      <c r="SX103" s="272"/>
      <c r="SY103" s="272"/>
      <c r="SZ103" s="272"/>
      <c r="TA103" s="272"/>
      <c r="TB103" s="272"/>
      <c r="TC103" s="272"/>
      <c r="TD103" s="272"/>
      <c r="TE103" s="272"/>
      <c r="TF103" s="272"/>
      <c r="TG103" s="272"/>
      <c r="TH103" s="272"/>
      <c r="TI103" s="272"/>
      <c r="TJ103" s="272"/>
      <c r="TK103" s="272"/>
      <c r="TL103" s="272"/>
      <c r="TM103" s="272"/>
      <c r="TN103" s="272"/>
      <c r="TO103" s="272"/>
      <c r="TP103" s="272"/>
      <c r="TQ103" s="272"/>
      <c r="TR103" s="272"/>
      <c r="TS103" s="272"/>
      <c r="TT103" s="272"/>
      <c r="TU103" s="272"/>
      <c r="TV103" s="272"/>
      <c r="TW103" s="272"/>
      <c r="TX103" s="272"/>
      <c r="TY103" s="272"/>
      <c r="TZ103" s="272"/>
      <c r="UA103" s="272"/>
      <c r="UB103" s="272"/>
      <c r="UC103" s="272"/>
      <c r="UD103" s="272"/>
      <c r="UE103" s="272"/>
      <c r="UF103" s="272"/>
      <c r="UG103" s="272"/>
      <c r="UH103" s="272"/>
      <c r="UI103" s="272"/>
      <c r="UJ103" s="272"/>
      <c r="UK103" s="272"/>
      <c r="UL103" s="272"/>
      <c r="UM103" s="272"/>
      <c r="UN103" s="272"/>
      <c r="UO103" s="272"/>
      <c r="UP103" s="272"/>
      <c r="UQ103" s="272"/>
      <c r="UR103" s="272"/>
      <c r="US103" s="272"/>
      <c r="UT103" s="272"/>
      <c r="UU103" s="272"/>
      <c r="UV103" s="272"/>
      <c r="UW103" s="272"/>
      <c r="UX103" s="272"/>
      <c r="UY103" s="272"/>
      <c r="UZ103" s="272"/>
      <c r="VA103" s="272"/>
      <c r="VB103" s="272"/>
      <c r="VC103" s="272"/>
      <c r="VD103" s="272"/>
      <c r="VE103" s="272"/>
      <c r="VF103" s="272"/>
      <c r="VG103" s="272"/>
      <c r="VH103" s="272"/>
      <c r="VI103" s="272"/>
      <c r="VJ103" s="272"/>
      <c r="VK103" s="272"/>
      <c r="VL103" s="272"/>
      <c r="VM103" s="272"/>
      <c r="VN103" s="272"/>
      <c r="VO103" s="272"/>
      <c r="VP103" s="272"/>
      <c r="VQ103" s="272"/>
      <c r="VR103" s="272"/>
      <c r="VS103" s="272"/>
      <c r="VT103" s="272"/>
      <c r="VU103" s="272"/>
      <c r="VV103" s="272"/>
      <c r="VW103" s="272"/>
      <c r="VX103" s="272"/>
      <c r="VY103" s="272"/>
      <c r="VZ103" s="272"/>
      <c r="WA103" s="272"/>
      <c r="WB103" s="272"/>
      <c r="WC103" s="272"/>
      <c r="WD103" s="272"/>
      <c r="WE103" s="272"/>
      <c r="WF103" s="272"/>
      <c r="WG103" s="272"/>
      <c r="WH103" s="272"/>
      <c r="WI103" s="272"/>
      <c r="WJ103" s="272"/>
      <c r="WK103" s="272"/>
      <c r="WL103" s="272"/>
      <c r="WM103" s="272"/>
      <c r="WN103" s="272"/>
      <c r="WO103" s="272"/>
      <c r="WP103" s="272"/>
      <c r="WQ103" s="272"/>
      <c r="WR103" s="272"/>
      <c r="WS103" s="272"/>
      <c r="WT103" s="272"/>
      <c r="WU103" s="272"/>
      <c r="WV103" s="272"/>
      <c r="WW103" s="272"/>
      <c r="WX103" s="272"/>
      <c r="WY103" s="272"/>
      <c r="WZ103" s="272"/>
      <c r="XA103" s="272"/>
      <c r="XB103" s="272"/>
      <c r="XC103" s="272"/>
      <c r="XD103" s="272"/>
      <c r="XE103" s="272"/>
      <c r="XF103" s="272"/>
      <c r="XG103" s="272"/>
      <c r="XH103" s="272"/>
      <c r="XI103" s="272"/>
      <c r="XJ103" s="272"/>
      <c r="XK103" s="272"/>
      <c r="XL103" s="272"/>
      <c r="XM103" s="272"/>
      <c r="XN103" s="272"/>
      <c r="XO103" s="272"/>
      <c r="XP103" s="272"/>
      <c r="XQ103" s="272"/>
      <c r="XR103" s="272"/>
      <c r="XS103" s="272"/>
      <c r="XT103" s="272"/>
      <c r="XU103" s="272"/>
      <c r="XV103" s="272"/>
      <c r="XW103" s="272"/>
      <c r="XX103" s="272"/>
      <c r="XY103" s="272"/>
      <c r="XZ103" s="272"/>
      <c r="YA103" s="272"/>
      <c r="YB103" s="272"/>
      <c r="YC103" s="272"/>
      <c r="YD103" s="272"/>
      <c r="YE103" s="272"/>
      <c r="YF103" s="272"/>
      <c r="YG103" s="272"/>
      <c r="YH103" s="272"/>
      <c r="YI103" s="272"/>
      <c r="YJ103" s="272"/>
      <c r="YK103" s="272"/>
      <c r="YL103" s="272"/>
      <c r="YM103" s="272"/>
      <c r="YN103" s="272"/>
      <c r="YO103" s="272"/>
      <c r="YP103" s="272"/>
      <c r="YQ103" s="272"/>
      <c r="YR103" s="272"/>
      <c r="YS103" s="272"/>
      <c r="YT103" s="272"/>
      <c r="YU103" s="272"/>
      <c r="YV103" s="272"/>
      <c r="YW103" s="272"/>
      <c r="YX103" s="272"/>
      <c r="YY103" s="272"/>
      <c r="YZ103" s="272"/>
      <c r="ZA103" s="272"/>
      <c r="ZB103" s="272"/>
      <c r="ZC103" s="272"/>
      <c r="ZD103" s="272"/>
      <c r="ZE103" s="272"/>
      <c r="ZF103" s="272"/>
      <c r="ZG103" s="272"/>
      <c r="ZH103" s="272"/>
      <c r="ZI103" s="272"/>
      <c r="ZJ103" s="272"/>
      <c r="ZK103" s="272"/>
      <c r="ZL103" s="272"/>
      <c r="ZM103" s="272"/>
      <c r="ZN103" s="272"/>
      <c r="ZO103" s="272"/>
      <c r="ZP103" s="272"/>
      <c r="ZQ103" s="272"/>
      <c r="ZR103" s="272"/>
      <c r="ZS103" s="272"/>
      <c r="ZT103" s="272"/>
      <c r="ZU103" s="272"/>
      <c r="ZV103" s="272"/>
      <c r="ZW103" s="272"/>
      <c r="ZX103" s="272"/>
      <c r="ZY103" s="272"/>
      <c r="ZZ103" s="272"/>
      <c r="AAA103" s="272"/>
      <c r="AAB103" s="272"/>
      <c r="AAC103" s="272"/>
      <c r="AAD103" s="272"/>
      <c r="AAE103" s="272"/>
      <c r="AAF103" s="272"/>
      <c r="AAG103" s="272"/>
      <c r="AAH103" s="272"/>
      <c r="AAI103" s="272"/>
      <c r="AAJ103" s="272"/>
      <c r="AAK103" s="272"/>
      <c r="AAL103" s="272"/>
      <c r="AAM103" s="272"/>
      <c r="AAN103" s="272"/>
      <c r="AAO103" s="272"/>
      <c r="AAP103" s="272"/>
      <c r="AAQ103" s="272"/>
      <c r="AAR103" s="272"/>
      <c r="AAS103" s="272"/>
      <c r="AAT103" s="272"/>
      <c r="AAU103" s="272"/>
      <c r="AAV103" s="272"/>
      <c r="AAW103" s="272"/>
      <c r="AAX103" s="272"/>
      <c r="AAY103" s="272"/>
      <c r="AAZ103" s="272"/>
      <c r="ABA103" s="272"/>
      <c r="ABB103" s="272"/>
      <c r="ABC103" s="272"/>
      <c r="ABD103" s="272"/>
      <c r="ABE103" s="272"/>
      <c r="ABF103" s="272"/>
      <c r="ABG103" s="272"/>
    </row>
    <row r="104" spans="1:735" s="86" customFormat="1" ht="12.75" customHeight="1">
      <c r="A104" s="39"/>
      <c r="B104" s="40"/>
      <c r="C104" s="597"/>
      <c r="D104" s="600"/>
      <c r="E104" s="619"/>
      <c r="F104" s="626"/>
      <c r="G104" s="636"/>
      <c r="H104" s="272"/>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2"/>
      <c r="BA104" s="272"/>
      <c r="BB104" s="272"/>
      <c r="BC104" s="272"/>
      <c r="BD104" s="272"/>
      <c r="BE104" s="272"/>
      <c r="BF104" s="272"/>
      <c r="BG104" s="272"/>
      <c r="BH104" s="272"/>
      <c r="BI104" s="272"/>
      <c r="BJ104" s="272"/>
      <c r="BK104" s="272"/>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c r="DG104" s="272"/>
      <c r="DH104" s="272"/>
      <c r="DI104" s="272"/>
      <c r="DJ104" s="272"/>
      <c r="DK104" s="272"/>
      <c r="DL104" s="272"/>
      <c r="DM104" s="272"/>
      <c r="DN104" s="272"/>
      <c r="DO104" s="272"/>
      <c r="DP104" s="272"/>
      <c r="DQ104" s="272"/>
      <c r="DR104" s="272"/>
      <c r="DS104" s="272"/>
      <c r="DT104" s="272"/>
      <c r="DU104" s="272"/>
      <c r="DV104" s="272"/>
      <c r="DW104" s="272"/>
      <c r="DX104" s="272"/>
      <c r="DY104" s="272"/>
      <c r="DZ104" s="272"/>
      <c r="EA104" s="272"/>
      <c r="EB104" s="272"/>
      <c r="EC104" s="272"/>
      <c r="ED104" s="272"/>
      <c r="EE104" s="272"/>
      <c r="EF104" s="272"/>
      <c r="EG104" s="272"/>
      <c r="EH104" s="272"/>
      <c r="EI104" s="272"/>
      <c r="EJ104" s="272"/>
      <c r="EK104" s="272"/>
      <c r="EL104" s="272"/>
      <c r="EM104" s="272"/>
      <c r="EN104" s="272"/>
      <c r="EO104" s="272"/>
      <c r="EP104" s="272"/>
      <c r="EQ104" s="272"/>
      <c r="ER104" s="272"/>
      <c r="ES104" s="272"/>
      <c r="ET104" s="272"/>
      <c r="EU104" s="272"/>
      <c r="EV104" s="272"/>
      <c r="EW104" s="272"/>
      <c r="EX104" s="272"/>
      <c r="EY104" s="272"/>
      <c r="EZ104" s="272"/>
      <c r="FA104" s="272"/>
      <c r="FB104" s="272"/>
      <c r="FC104" s="272"/>
      <c r="FD104" s="272"/>
      <c r="FE104" s="272"/>
      <c r="FF104" s="272"/>
      <c r="FG104" s="272"/>
      <c r="FH104" s="272"/>
      <c r="FI104" s="272"/>
      <c r="FJ104" s="272"/>
      <c r="FK104" s="272"/>
      <c r="FL104" s="272"/>
      <c r="FM104" s="272"/>
      <c r="FN104" s="272"/>
      <c r="FO104" s="272"/>
      <c r="FP104" s="272"/>
      <c r="FQ104" s="272"/>
      <c r="FR104" s="272"/>
      <c r="FS104" s="272"/>
      <c r="FT104" s="272"/>
      <c r="FU104" s="272"/>
      <c r="FV104" s="272"/>
      <c r="FW104" s="272"/>
      <c r="FX104" s="272"/>
      <c r="FY104" s="272"/>
      <c r="FZ104" s="272"/>
      <c r="GA104" s="272"/>
      <c r="GB104" s="272"/>
      <c r="GC104" s="272"/>
      <c r="GD104" s="272"/>
      <c r="GE104" s="272"/>
      <c r="GF104" s="272"/>
      <c r="GG104" s="272"/>
      <c r="GH104" s="272"/>
      <c r="GI104" s="272"/>
      <c r="GJ104" s="272"/>
      <c r="GK104" s="272"/>
      <c r="GL104" s="272"/>
      <c r="GM104" s="272"/>
      <c r="GN104" s="272"/>
      <c r="GO104" s="272"/>
      <c r="GP104" s="272"/>
      <c r="GQ104" s="272"/>
      <c r="GR104" s="272"/>
      <c r="GS104" s="272"/>
      <c r="GT104" s="272"/>
      <c r="GU104" s="272"/>
      <c r="GV104" s="272"/>
      <c r="GW104" s="272"/>
      <c r="GX104" s="272"/>
      <c r="GY104" s="272"/>
      <c r="GZ104" s="272"/>
      <c r="HA104" s="272"/>
      <c r="HB104" s="272"/>
      <c r="HC104" s="272"/>
      <c r="HD104" s="272"/>
      <c r="HE104" s="272"/>
      <c r="HF104" s="272"/>
      <c r="HG104" s="272"/>
      <c r="HH104" s="272"/>
      <c r="HI104" s="272"/>
      <c r="HJ104" s="272"/>
      <c r="HK104" s="272"/>
      <c r="HL104" s="272"/>
      <c r="HM104" s="272"/>
      <c r="HN104" s="272"/>
      <c r="HO104" s="272"/>
      <c r="HP104" s="272"/>
      <c r="HQ104" s="272"/>
      <c r="HR104" s="272"/>
      <c r="HS104" s="272"/>
      <c r="HT104" s="272"/>
      <c r="HU104" s="272"/>
      <c r="HV104" s="272"/>
      <c r="HW104" s="272"/>
      <c r="HX104" s="272"/>
      <c r="HY104" s="272"/>
      <c r="HZ104" s="272"/>
      <c r="IA104" s="272"/>
      <c r="IB104" s="272"/>
      <c r="IC104" s="272"/>
      <c r="ID104" s="272"/>
      <c r="IE104" s="272"/>
      <c r="IF104" s="272"/>
      <c r="IG104" s="272"/>
      <c r="IH104" s="272"/>
      <c r="II104" s="272"/>
      <c r="IJ104" s="272"/>
      <c r="IK104" s="272"/>
      <c r="IL104" s="272"/>
      <c r="IM104" s="272"/>
      <c r="IN104" s="272"/>
      <c r="IO104" s="272"/>
      <c r="IP104" s="272"/>
      <c r="IQ104" s="272"/>
      <c r="IR104" s="272"/>
      <c r="IS104" s="272"/>
      <c r="IT104" s="272"/>
      <c r="IU104" s="272"/>
      <c r="IV104" s="272"/>
      <c r="IW104" s="272"/>
      <c r="IX104" s="272"/>
      <c r="IY104" s="272"/>
      <c r="IZ104" s="272"/>
      <c r="JA104" s="272"/>
      <c r="JB104" s="272"/>
      <c r="JC104" s="272"/>
      <c r="JD104" s="272"/>
      <c r="JE104" s="272"/>
      <c r="JF104" s="272"/>
      <c r="JG104" s="272"/>
      <c r="JH104" s="272"/>
      <c r="JI104" s="272"/>
      <c r="JJ104" s="272"/>
      <c r="JK104" s="272"/>
      <c r="JL104" s="272"/>
      <c r="JM104" s="272"/>
      <c r="JN104" s="272"/>
      <c r="JO104" s="272"/>
      <c r="JP104" s="272"/>
      <c r="JQ104" s="272"/>
      <c r="JR104" s="272"/>
      <c r="JS104" s="272"/>
      <c r="JT104" s="272"/>
      <c r="JU104" s="272"/>
      <c r="JV104" s="272"/>
      <c r="JW104" s="272"/>
      <c r="JX104" s="272"/>
      <c r="JY104" s="272"/>
      <c r="JZ104" s="272"/>
      <c r="KA104" s="272"/>
      <c r="KB104" s="272"/>
      <c r="KC104" s="272"/>
      <c r="KD104" s="272"/>
      <c r="KE104" s="272"/>
      <c r="KF104" s="272"/>
      <c r="KG104" s="272"/>
      <c r="KH104" s="272"/>
      <c r="KI104" s="272"/>
      <c r="KJ104" s="272"/>
      <c r="KK104" s="272"/>
      <c r="KL104" s="272"/>
      <c r="KM104" s="272"/>
      <c r="KN104" s="272"/>
      <c r="KO104" s="272"/>
      <c r="KP104" s="272"/>
      <c r="KQ104" s="272"/>
      <c r="KR104" s="272"/>
      <c r="KS104" s="272"/>
      <c r="KT104" s="272"/>
      <c r="KU104" s="272"/>
      <c r="KV104" s="272"/>
      <c r="KW104" s="272"/>
      <c r="KX104" s="272"/>
      <c r="KY104" s="272"/>
      <c r="KZ104" s="272"/>
      <c r="LA104" s="272"/>
      <c r="LB104" s="272"/>
      <c r="LC104" s="272"/>
      <c r="LD104" s="272"/>
      <c r="LE104" s="272"/>
      <c r="LF104" s="272"/>
      <c r="LG104" s="272"/>
      <c r="LH104" s="272"/>
      <c r="LI104" s="272"/>
      <c r="LJ104" s="272"/>
      <c r="LK104" s="272"/>
      <c r="LL104" s="272"/>
      <c r="LM104" s="272"/>
      <c r="LN104" s="272"/>
      <c r="LO104" s="272"/>
      <c r="LP104" s="272"/>
      <c r="LQ104" s="272"/>
      <c r="LR104" s="272"/>
      <c r="LS104" s="272"/>
      <c r="LT104" s="272"/>
      <c r="LU104" s="272"/>
      <c r="LV104" s="272"/>
      <c r="LW104" s="272"/>
      <c r="LX104" s="272"/>
      <c r="LY104" s="272"/>
      <c r="LZ104" s="272"/>
      <c r="MA104" s="272"/>
      <c r="MB104" s="272"/>
      <c r="MC104" s="272"/>
      <c r="MD104" s="272"/>
      <c r="ME104" s="272"/>
      <c r="MF104" s="272"/>
      <c r="MG104" s="272"/>
      <c r="MH104" s="272"/>
      <c r="MI104" s="272"/>
      <c r="MJ104" s="272"/>
      <c r="MK104" s="272"/>
      <c r="ML104" s="272"/>
      <c r="MM104" s="272"/>
      <c r="MN104" s="272"/>
      <c r="MO104" s="272"/>
      <c r="MP104" s="272"/>
      <c r="MQ104" s="272"/>
      <c r="MR104" s="272"/>
      <c r="MS104" s="272"/>
      <c r="MT104" s="272"/>
      <c r="MU104" s="272"/>
      <c r="MV104" s="272"/>
      <c r="MW104" s="272"/>
      <c r="MX104" s="272"/>
      <c r="MY104" s="272"/>
      <c r="MZ104" s="272"/>
      <c r="NA104" s="272"/>
      <c r="NB104" s="272"/>
      <c r="NC104" s="272"/>
      <c r="ND104" s="272"/>
      <c r="NE104" s="272"/>
      <c r="NF104" s="272"/>
      <c r="NG104" s="272"/>
      <c r="NH104" s="272"/>
      <c r="NI104" s="272"/>
      <c r="NJ104" s="272"/>
      <c r="NK104" s="272"/>
      <c r="NL104" s="272"/>
      <c r="NM104" s="272"/>
      <c r="NN104" s="272"/>
      <c r="NO104" s="272"/>
      <c r="NP104" s="272"/>
      <c r="NQ104" s="272"/>
      <c r="NR104" s="272"/>
      <c r="NS104" s="272"/>
      <c r="NT104" s="272"/>
      <c r="NU104" s="272"/>
      <c r="NV104" s="272"/>
      <c r="NW104" s="272"/>
      <c r="NX104" s="272"/>
      <c r="NY104" s="272"/>
      <c r="NZ104" s="272"/>
      <c r="OA104" s="272"/>
      <c r="OB104" s="272"/>
      <c r="OC104" s="272"/>
      <c r="OD104" s="272"/>
      <c r="OE104" s="272"/>
      <c r="OF104" s="272"/>
      <c r="OG104" s="272"/>
      <c r="OH104" s="272"/>
      <c r="OI104" s="272"/>
      <c r="OJ104" s="272"/>
      <c r="OK104" s="272"/>
      <c r="OL104" s="272"/>
      <c r="OM104" s="272"/>
      <c r="ON104" s="272"/>
      <c r="OO104" s="272"/>
      <c r="OP104" s="272"/>
      <c r="OQ104" s="272"/>
      <c r="OR104" s="272"/>
      <c r="OS104" s="272"/>
      <c r="OT104" s="272"/>
      <c r="OU104" s="272"/>
      <c r="OV104" s="272"/>
      <c r="OW104" s="272"/>
      <c r="OX104" s="272"/>
      <c r="OY104" s="272"/>
      <c r="OZ104" s="272"/>
      <c r="PA104" s="272"/>
      <c r="PB104" s="272"/>
      <c r="PC104" s="272"/>
      <c r="PD104" s="272"/>
      <c r="PE104" s="272"/>
      <c r="PF104" s="272"/>
      <c r="PG104" s="272"/>
      <c r="PH104" s="272"/>
      <c r="PI104" s="272"/>
      <c r="PJ104" s="272"/>
      <c r="PK104" s="272"/>
      <c r="PL104" s="272"/>
      <c r="PM104" s="272"/>
      <c r="PN104" s="272"/>
      <c r="PO104" s="272"/>
      <c r="PP104" s="272"/>
      <c r="PQ104" s="272"/>
      <c r="PR104" s="272"/>
      <c r="PS104" s="272"/>
      <c r="PT104" s="272"/>
      <c r="PU104" s="272"/>
      <c r="PV104" s="272"/>
      <c r="PW104" s="272"/>
      <c r="PX104" s="272"/>
      <c r="PY104" s="272"/>
      <c r="PZ104" s="272"/>
      <c r="QA104" s="272"/>
      <c r="QB104" s="272"/>
      <c r="QC104" s="272"/>
      <c r="QD104" s="272"/>
      <c r="QE104" s="272"/>
      <c r="QF104" s="272"/>
      <c r="QG104" s="272"/>
      <c r="QH104" s="272"/>
      <c r="QI104" s="272"/>
      <c r="QJ104" s="272"/>
      <c r="QK104" s="272"/>
      <c r="QL104" s="272"/>
      <c r="QM104" s="272"/>
      <c r="QN104" s="272"/>
      <c r="QO104" s="272"/>
      <c r="QP104" s="272"/>
      <c r="QQ104" s="272"/>
      <c r="QR104" s="272"/>
      <c r="QS104" s="272"/>
      <c r="QT104" s="272"/>
      <c r="QU104" s="272"/>
      <c r="QV104" s="272"/>
      <c r="QW104" s="272"/>
      <c r="QX104" s="272"/>
      <c r="QY104" s="272"/>
      <c r="QZ104" s="272"/>
      <c r="RA104" s="272"/>
      <c r="RB104" s="272"/>
      <c r="RC104" s="272"/>
      <c r="RD104" s="272"/>
      <c r="RE104" s="272"/>
      <c r="RF104" s="272"/>
      <c r="RG104" s="272"/>
      <c r="RH104" s="272"/>
      <c r="RI104" s="272"/>
      <c r="RJ104" s="272"/>
      <c r="RK104" s="272"/>
      <c r="RL104" s="272"/>
      <c r="RM104" s="272"/>
      <c r="RN104" s="272"/>
      <c r="RO104" s="272"/>
      <c r="RP104" s="272"/>
      <c r="RQ104" s="272"/>
      <c r="RR104" s="272"/>
      <c r="RS104" s="272"/>
      <c r="RT104" s="272"/>
      <c r="RU104" s="272"/>
      <c r="RV104" s="272"/>
      <c r="RW104" s="272"/>
      <c r="RX104" s="272"/>
      <c r="RY104" s="272"/>
      <c r="RZ104" s="272"/>
      <c r="SA104" s="272"/>
      <c r="SB104" s="272"/>
      <c r="SC104" s="272"/>
      <c r="SD104" s="272"/>
      <c r="SE104" s="272"/>
      <c r="SF104" s="272"/>
      <c r="SG104" s="272"/>
      <c r="SH104" s="272"/>
      <c r="SI104" s="272"/>
      <c r="SJ104" s="272"/>
      <c r="SK104" s="272"/>
      <c r="SL104" s="272"/>
      <c r="SM104" s="272"/>
      <c r="SN104" s="272"/>
      <c r="SO104" s="272"/>
      <c r="SP104" s="272"/>
      <c r="SQ104" s="272"/>
      <c r="SR104" s="272"/>
      <c r="SS104" s="272"/>
      <c r="ST104" s="272"/>
      <c r="SU104" s="272"/>
      <c r="SV104" s="272"/>
      <c r="SW104" s="272"/>
      <c r="SX104" s="272"/>
      <c r="SY104" s="272"/>
      <c r="SZ104" s="272"/>
      <c r="TA104" s="272"/>
      <c r="TB104" s="272"/>
      <c r="TC104" s="272"/>
      <c r="TD104" s="272"/>
      <c r="TE104" s="272"/>
      <c r="TF104" s="272"/>
      <c r="TG104" s="272"/>
      <c r="TH104" s="272"/>
      <c r="TI104" s="272"/>
      <c r="TJ104" s="272"/>
      <c r="TK104" s="272"/>
      <c r="TL104" s="272"/>
      <c r="TM104" s="272"/>
      <c r="TN104" s="272"/>
      <c r="TO104" s="272"/>
      <c r="TP104" s="272"/>
      <c r="TQ104" s="272"/>
      <c r="TR104" s="272"/>
      <c r="TS104" s="272"/>
      <c r="TT104" s="272"/>
      <c r="TU104" s="272"/>
      <c r="TV104" s="272"/>
      <c r="TW104" s="272"/>
      <c r="TX104" s="272"/>
      <c r="TY104" s="272"/>
      <c r="TZ104" s="272"/>
      <c r="UA104" s="272"/>
      <c r="UB104" s="272"/>
      <c r="UC104" s="272"/>
      <c r="UD104" s="272"/>
      <c r="UE104" s="272"/>
      <c r="UF104" s="272"/>
      <c r="UG104" s="272"/>
      <c r="UH104" s="272"/>
      <c r="UI104" s="272"/>
      <c r="UJ104" s="272"/>
      <c r="UK104" s="272"/>
      <c r="UL104" s="272"/>
      <c r="UM104" s="272"/>
      <c r="UN104" s="272"/>
      <c r="UO104" s="272"/>
      <c r="UP104" s="272"/>
      <c r="UQ104" s="272"/>
      <c r="UR104" s="272"/>
      <c r="US104" s="272"/>
      <c r="UT104" s="272"/>
      <c r="UU104" s="272"/>
      <c r="UV104" s="272"/>
      <c r="UW104" s="272"/>
      <c r="UX104" s="272"/>
      <c r="UY104" s="272"/>
      <c r="UZ104" s="272"/>
      <c r="VA104" s="272"/>
      <c r="VB104" s="272"/>
      <c r="VC104" s="272"/>
      <c r="VD104" s="272"/>
      <c r="VE104" s="272"/>
      <c r="VF104" s="272"/>
      <c r="VG104" s="272"/>
      <c r="VH104" s="272"/>
      <c r="VI104" s="272"/>
      <c r="VJ104" s="272"/>
      <c r="VK104" s="272"/>
      <c r="VL104" s="272"/>
      <c r="VM104" s="272"/>
      <c r="VN104" s="272"/>
      <c r="VO104" s="272"/>
      <c r="VP104" s="272"/>
      <c r="VQ104" s="272"/>
      <c r="VR104" s="272"/>
      <c r="VS104" s="272"/>
      <c r="VT104" s="272"/>
      <c r="VU104" s="272"/>
      <c r="VV104" s="272"/>
      <c r="VW104" s="272"/>
      <c r="VX104" s="272"/>
      <c r="VY104" s="272"/>
      <c r="VZ104" s="272"/>
      <c r="WA104" s="272"/>
      <c r="WB104" s="272"/>
      <c r="WC104" s="272"/>
      <c r="WD104" s="272"/>
      <c r="WE104" s="272"/>
      <c r="WF104" s="272"/>
      <c r="WG104" s="272"/>
      <c r="WH104" s="272"/>
      <c r="WI104" s="272"/>
      <c r="WJ104" s="272"/>
      <c r="WK104" s="272"/>
      <c r="WL104" s="272"/>
      <c r="WM104" s="272"/>
      <c r="WN104" s="272"/>
      <c r="WO104" s="272"/>
      <c r="WP104" s="272"/>
      <c r="WQ104" s="272"/>
      <c r="WR104" s="272"/>
      <c r="WS104" s="272"/>
      <c r="WT104" s="272"/>
      <c r="WU104" s="272"/>
      <c r="WV104" s="272"/>
      <c r="WW104" s="272"/>
      <c r="WX104" s="272"/>
      <c r="WY104" s="272"/>
      <c r="WZ104" s="272"/>
      <c r="XA104" s="272"/>
      <c r="XB104" s="272"/>
      <c r="XC104" s="272"/>
      <c r="XD104" s="272"/>
      <c r="XE104" s="272"/>
      <c r="XF104" s="272"/>
      <c r="XG104" s="272"/>
      <c r="XH104" s="272"/>
      <c r="XI104" s="272"/>
      <c r="XJ104" s="272"/>
      <c r="XK104" s="272"/>
      <c r="XL104" s="272"/>
      <c r="XM104" s="272"/>
      <c r="XN104" s="272"/>
      <c r="XO104" s="272"/>
      <c r="XP104" s="272"/>
      <c r="XQ104" s="272"/>
      <c r="XR104" s="272"/>
      <c r="XS104" s="272"/>
      <c r="XT104" s="272"/>
      <c r="XU104" s="272"/>
      <c r="XV104" s="272"/>
      <c r="XW104" s="272"/>
      <c r="XX104" s="272"/>
      <c r="XY104" s="272"/>
      <c r="XZ104" s="272"/>
      <c r="YA104" s="272"/>
      <c r="YB104" s="272"/>
      <c r="YC104" s="272"/>
      <c r="YD104" s="272"/>
      <c r="YE104" s="272"/>
      <c r="YF104" s="272"/>
      <c r="YG104" s="272"/>
      <c r="YH104" s="272"/>
      <c r="YI104" s="272"/>
      <c r="YJ104" s="272"/>
      <c r="YK104" s="272"/>
      <c r="YL104" s="272"/>
      <c r="YM104" s="272"/>
      <c r="YN104" s="272"/>
      <c r="YO104" s="272"/>
      <c r="YP104" s="272"/>
      <c r="YQ104" s="272"/>
      <c r="YR104" s="272"/>
      <c r="YS104" s="272"/>
      <c r="YT104" s="272"/>
      <c r="YU104" s="272"/>
      <c r="YV104" s="272"/>
      <c r="YW104" s="272"/>
      <c r="YX104" s="272"/>
      <c r="YY104" s="272"/>
      <c r="YZ104" s="272"/>
      <c r="ZA104" s="272"/>
      <c r="ZB104" s="272"/>
      <c r="ZC104" s="272"/>
      <c r="ZD104" s="272"/>
      <c r="ZE104" s="272"/>
      <c r="ZF104" s="272"/>
      <c r="ZG104" s="272"/>
      <c r="ZH104" s="272"/>
      <c r="ZI104" s="272"/>
      <c r="ZJ104" s="272"/>
      <c r="ZK104" s="272"/>
      <c r="ZL104" s="272"/>
      <c r="ZM104" s="272"/>
      <c r="ZN104" s="272"/>
      <c r="ZO104" s="272"/>
      <c r="ZP104" s="272"/>
      <c r="ZQ104" s="272"/>
      <c r="ZR104" s="272"/>
      <c r="ZS104" s="272"/>
      <c r="ZT104" s="272"/>
      <c r="ZU104" s="272"/>
      <c r="ZV104" s="272"/>
      <c r="ZW104" s="272"/>
      <c r="ZX104" s="272"/>
      <c r="ZY104" s="272"/>
      <c r="ZZ104" s="272"/>
      <c r="AAA104" s="272"/>
      <c r="AAB104" s="272"/>
      <c r="AAC104" s="272"/>
      <c r="AAD104" s="272"/>
      <c r="AAE104" s="272"/>
      <c r="AAF104" s="272"/>
      <c r="AAG104" s="272"/>
      <c r="AAH104" s="272"/>
      <c r="AAI104" s="272"/>
      <c r="AAJ104" s="272"/>
      <c r="AAK104" s="272"/>
      <c r="AAL104" s="272"/>
      <c r="AAM104" s="272"/>
      <c r="AAN104" s="272"/>
      <c r="AAO104" s="272"/>
      <c r="AAP104" s="272"/>
      <c r="AAQ104" s="272"/>
      <c r="AAR104" s="272"/>
      <c r="AAS104" s="272"/>
      <c r="AAT104" s="272"/>
      <c r="AAU104" s="272"/>
      <c r="AAV104" s="272"/>
      <c r="AAW104" s="272"/>
      <c r="AAX104" s="272"/>
      <c r="AAY104" s="272"/>
      <c r="AAZ104" s="272"/>
      <c r="ABA104" s="272"/>
      <c r="ABB104" s="272"/>
      <c r="ABC104" s="272"/>
      <c r="ABD104" s="272"/>
      <c r="ABE104" s="272"/>
      <c r="ABF104" s="272"/>
      <c r="ABG104" s="272"/>
    </row>
    <row r="105" spans="1:735" s="86" customFormat="1" ht="12.75" customHeight="1">
      <c r="A105" s="39"/>
      <c r="B105" s="40"/>
      <c r="C105" s="597"/>
      <c r="D105" s="600"/>
      <c r="E105" s="619"/>
      <c r="F105" s="626"/>
      <c r="G105" s="636"/>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c r="BJ105" s="272"/>
      <c r="BK105" s="272"/>
      <c r="BL105" s="272"/>
      <c r="BM105" s="272"/>
      <c r="BN105" s="272"/>
      <c r="BO105" s="272"/>
      <c r="BP105" s="272"/>
      <c r="BQ105" s="272"/>
      <c r="BR105" s="272"/>
      <c r="BS105" s="272"/>
      <c r="BT105" s="272"/>
      <c r="BU105" s="272"/>
      <c r="BV105" s="272"/>
      <c r="BW105" s="272"/>
      <c r="BX105" s="272"/>
      <c r="BY105" s="272"/>
      <c r="BZ105" s="272"/>
      <c r="CA105" s="272"/>
      <c r="CB105" s="272"/>
      <c r="CC105" s="272"/>
      <c r="CD105" s="272"/>
      <c r="CE105" s="272"/>
      <c r="CF105" s="272"/>
      <c r="CG105" s="272"/>
      <c r="CH105" s="272"/>
      <c r="CI105" s="272"/>
      <c r="CJ105" s="272"/>
      <c r="CK105" s="272"/>
      <c r="CL105" s="272"/>
      <c r="CM105" s="272"/>
      <c r="CN105" s="272"/>
      <c r="CO105" s="272"/>
      <c r="CP105" s="272"/>
      <c r="CQ105" s="272"/>
      <c r="CR105" s="272"/>
      <c r="CS105" s="272"/>
      <c r="CT105" s="272"/>
      <c r="CU105" s="272"/>
      <c r="CV105" s="272"/>
      <c r="CW105" s="272"/>
      <c r="CX105" s="272"/>
      <c r="CY105" s="272"/>
      <c r="CZ105" s="272"/>
      <c r="DA105" s="272"/>
      <c r="DB105" s="272"/>
      <c r="DC105" s="272"/>
      <c r="DD105" s="272"/>
      <c r="DE105" s="272"/>
      <c r="DF105" s="272"/>
      <c r="DG105" s="272"/>
      <c r="DH105" s="272"/>
      <c r="DI105" s="272"/>
      <c r="DJ105" s="272"/>
      <c r="DK105" s="272"/>
      <c r="DL105" s="272"/>
      <c r="DM105" s="272"/>
      <c r="DN105" s="272"/>
      <c r="DO105" s="272"/>
      <c r="DP105" s="272"/>
      <c r="DQ105" s="272"/>
      <c r="DR105" s="272"/>
      <c r="DS105" s="272"/>
      <c r="DT105" s="272"/>
      <c r="DU105" s="272"/>
      <c r="DV105" s="272"/>
      <c r="DW105" s="272"/>
      <c r="DX105" s="272"/>
      <c r="DY105" s="272"/>
      <c r="DZ105" s="272"/>
      <c r="EA105" s="272"/>
      <c r="EB105" s="272"/>
      <c r="EC105" s="272"/>
      <c r="ED105" s="272"/>
      <c r="EE105" s="272"/>
      <c r="EF105" s="272"/>
      <c r="EG105" s="272"/>
      <c r="EH105" s="272"/>
      <c r="EI105" s="272"/>
      <c r="EJ105" s="272"/>
      <c r="EK105" s="272"/>
      <c r="EL105" s="272"/>
      <c r="EM105" s="272"/>
      <c r="EN105" s="272"/>
      <c r="EO105" s="272"/>
      <c r="EP105" s="272"/>
      <c r="EQ105" s="272"/>
      <c r="ER105" s="272"/>
      <c r="ES105" s="272"/>
      <c r="ET105" s="272"/>
      <c r="EU105" s="272"/>
      <c r="EV105" s="272"/>
      <c r="EW105" s="272"/>
      <c r="EX105" s="272"/>
      <c r="EY105" s="272"/>
      <c r="EZ105" s="272"/>
      <c r="FA105" s="272"/>
      <c r="FB105" s="272"/>
      <c r="FC105" s="272"/>
      <c r="FD105" s="272"/>
      <c r="FE105" s="272"/>
      <c r="FF105" s="272"/>
      <c r="FG105" s="272"/>
      <c r="FH105" s="272"/>
      <c r="FI105" s="272"/>
      <c r="FJ105" s="272"/>
      <c r="FK105" s="272"/>
      <c r="FL105" s="272"/>
      <c r="FM105" s="272"/>
      <c r="FN105" s="272"/>
      <c r="FO105" s="272"/>
      <c r="FP105" s="272"/>
      <c r="FQ105" s="272"/>
      <c r="FR105" s="272"/>
      <c r="FS105" s="272"/>
      <c r="FT105" s="272"/>
      <c r="FU105" s="272"/>
      <c r="FV105" s="272"/>
      <c r="FW105" s="272"/>
      <c r="FX105" s="272"/>
      <c r="FY105" s="272"/>
      <c r="FZ105" s="272"/>
      <c r="GA105" s="272"/>
      <c r="GB105" s="272"/>
      <c r="GC105" s="272"/>
      <c r="GD105" s="272"/>
      <c r="GE105" s="272"/>
      <c r="GF105" s="272"/>
      <c r="GG105" s="272"/>
      <c r="GH105" s="272"/>
      <c r="GI105" s="272"/>
      <c r="GJ105" s="272"/>
      <c r="GK105" s="272"/>
      <c r="GL105" s="272"/>
      <c r="GM105" s="272"/>
      <c r="GN105" s="272"/>
      <c r="GO105" s="272"/>
      <c r="GP105" s="272"/>
      <c r="GQ105" s="272"/>
      <c r="GR105" s="272"/>
      <c r="GS105" s="272"/>
      <c r="GT105" s="272"/>
      <c r="GU105" s="272"/>
      <c r="GV105" s="272"/>
      <c r="GW105" s="272"/>
      <c r="GX105" s="272"/>
      <c r="GY105" s="272"/>
      <c r="GZ105" s="272"/>
      <c r="HA105" s="272"/>
      <c r="HB105" s="272"/>
      <c r="HC105" s="272"/>
      <c r="HD105" s="272"/>
      <c r="HE105" s="272"/>
      <c r="HF105" s="272"/>
      <c r="HG105" s="272"/>
      <c r="HH105" s="272"/>
      <c r="HI105" s="272"/>
      <c r="HJ105" s="272"/>
      <c r="HK105" s="272"/>
      <c r="HL105" s="272"/>
      <c r="HM105" s="272"/>
      <c r="HN105" s="272"/>
      <c r="HO105" s="272"/>
      <c r="HP105" s="272"/>
      <c r="HQ105" s="272"/>
      <c r="HR105" s="272"/>
      <c r="HS105" s="272"/>
      <c r="HT105" s="272"/>
      <c r="HU105" s="272"/>
      <c r="HV105" s="272"/>
      <c r="HW105" s="272"/>
      <c r="HX105" s="272"/>
      <c r="HY105" s="272"/>
      <c r="HZ105" s="272"/>
      <c r="IA105" s="272"/>
      <c r="IB105" s="272"/>
      <c r="IC105" s="272"/>
      <c r="ID105" s="272"/>
      <c r="IE105" s="272"/>
      <c r="IF105" s="272"/>
      <c r="IG105" s="272"/>
      <c r="IH105" s="272"/>
      <c r="II105" s="272"/>
      <c r="IJ105" s="272"/>
      <c r="IK105" s="272"/>
      <c r="IL105" s="272"/>
      <c r="IM105" s="272"/>
      <c r="IN105" s="272"/>
      <c r="IO105" s="272"/>
      <c r="IP105" s="272"/>
      <c r="IQ105" s="272"/>
      <c r="IR105" s="272"/>
      <c r="IS105" s="272"/>
      <c r="IT105" s="272"/>
      <c r="IU105" s="272"/>
      <c r="IV105" s="272"/>
      <c r="IW105" s="272"/>
      <c r="IX105" s="272"/>
      <c r="IY105" s="272"/>
      <c r="IZ105" s="272"/>
      <c r="JA105" s="272"/>
      <c r="JB105" s="272"/>
      <c r="JC105" s="272"/>
      <c r="JD105" s="272"/>
      <c r="JE105" s="272"/>
      <c r="JF105" s="272"/>
      <c r="JG105" s="272"/>
      <c r="JH105" s="272"/>
      <c r="JI105" s="272"/>
      <c r="JJ105" s="272"/>
      <c r="JK105" s="272"/>
      <c r="JL105" s="272"/>
      <c r="JM105" s="272"/>
      <c r="JN105" s="272"/>
      <c r="JO105" s="272"/>
      <c r="JP105" s="272"/>
      <c r="JQ105" s="272"/>
      <c r="JR105" s="272"/>
      <c r="JS105" s="272"/>
      <c r="JT105" s="272"/>
      <c r="JU105" s="272"/>
      <c r="JV105" s="272"/>
      <c r="JW105" s="272"/>
      <c r="JX105" s="272"/>
      <c r="JY105" s="272"/>
      <c r="JZ105" s="272"/>
      <c r="KA105" s="272"/>
      <c r="KB105" s="272"/>
      <c r="KC105" s="272"/>
      <c r="KD105" s="272"/>
      <c r="KE105" s="272"/>
      <c r="KF105" s="272"/>
      <c r="KG105" s="272"/>
      <c r="KH105" s="272"/>
      <c r="KI105" s="272"/>
      <c r="KJ105" s="272"/>
      <c r="KK105" s="272"/>
      <c r="KL105" s="272"/>
      <c r="KM105" s="272"/>
      <c r="KN105" s="272"/>
      <c r="KO105" s="272"/>
      <c r="KP105" s="272"/>
      <c r="KQ105" s="272"/>
      <c r="KR105" s="272"/>
      <c r="KS105" s="272"/>
      <c r="KT105" s="272"/>
      <c r="KU105" s="272"/>
      <c r="KV105" s="272"/>
      <c r="KW105" s="272"/>
      <c r="KX105" s="272"/>
      <c r="KY105" s="272"/>
      <c r="KZ105" s="272"/>
      <c r="LA105" s="272"/>
      <c r="LB105" s="272"/>
      <c r="LC105" s="272"/>
      <c r="LD105" s="272"/>
      <c r="LE105" s="272"/>
      <c r="LF105" s="272"/>
      <c r="LG105" s="272"/>
      <c r="LH105" s="272"/>
      <c r="LI105" s="272"/>
      <c r="LJ105" s="272"/>
      <c r="LK105" s="272"/>
      <c r="LL105" s="272"/>
      <c r="LM105" s="272"/>
      <c r="LN105" s="272"/>
      <c r="LO105" s="272"/>
      <c r="LP105" s="272"/>
      <c r="LQ105" s="272"/>
      <c r="LR105" s="272"/>
      <c r="LS105" s="272"/>
      <c r="LT105" s="272"/>
      <c r="LU105" s="272"/>
      <c r="LV105" s="272"/>
      <c r="LW105" s="272"/>
      <c r="LX105" s="272"/>
      <c r="LY105" s="272"/>
      <c r="LZ105" s="272"/>
      <c r="MA105" s="272"/>
      <c r="MB105" s="272"/>
      <c r="MC105" s="272"/>
      <c r="MD105" s="272"/>
      <c r="ME105" s="272"/>
      <c r="MF105" s="272"/>
      <c r="MG105" s="272"/>
      <c r="MH105" s="272"/>
      <c r="MI105" s="272"/>
      <c r="MJ105" s="272"/>
      <c r="MK105" s="272"/>
      <c r="ML105" s="272"/>
      <c r="MM105" s="272"/>
      <c r="MN105" s="272"/>
      <c r="MO105" s="272"/>
      <c r="MP105" s="272"/>
      <c r="MQ105" s="272"/>
      <c r="MR105" s="272"/>
      <c r="MS105" s="272"/>
      <c r="MT105" s="272"/>
      <c r="MU105" s="272"/>
      <c r="MV105" s="272"/>
      <c r="MW105" s="272"/>
      <c r="MX105" s="272"/>
      <c r="MY105" s="272"/>
      <c r="MZ105" s="272"/>
      <c r="NA105" s="272"/>
      <c r="NB105" s="272"/>
      <c r="NC105" s="272"/>
      <c r="ND105" s="272"/>
      <c r="NE105" s="272"/>
      <c r="NF105" s="272"/>
      <c r="NG105" s="272"/>
      <c r="NH105" s="272"/>
      <c r="NI105" s="272"/>
      <c r="NJ105" s="272"/>
      <c r="NK105" s="272"/>
      <c r="NL105" s="272"/>
      <c r="NM105" s="272"/>
      <c r="NN105" s="272"/>
      <c r="NO105" s="272"/>
      <c r="NP105" s="272"/>
      <c r="NQ105" s="272"/>
      <c r="NR105" s="272"/>
      <c r="NS105" s="272"/>
      <c r="NT105" s="272"/>
      <c r="NU105" s="272"/>
      <c r="NV105" s="272"/>
      <c r="NW105" s="272"/>
      <c r="NX105" s="272"/>
      <c r="NY105" s="272"/>
      <c r="NZ105" s="272"/>
      <c r="OA105" s="272"/>
      <c r="OB105" s="272"/>
      <c r="OC105" s="272"/>
      <c r="OD105" s="272"/>
      <c r="OE105" s="272"/>
      <c r="OF105" s="272"/>
      <c r="OG105" s="272"/>
      <c r="OH105" s="272"/>
      <c r="OI105" s="272"/>
      <c r="OJ105" s="272"/>
      <c r="OK105" s="272"/>
      <c r="OL105" s="272"/>
      <c r="OM105" s="272"/>
      <c r="ON105" s="272"/>
      <c r="OO105" s="272"/>
      <c r="OP105" s="272"/>
      <c r="OQ105" s="272"/>
      <c r="OR105" s="272"/>
      <c r="OS105" s="272"/>
      <c r="OT105" s="272"/>
      <c r="OU105" s="272"/>
      <c r="OV105" s="272"/>
      <c r="OW105" s="272"/>
      <c r="OX105" s="272"/>
      <c r="OY105" s="272"/>
      <c r="OZ105" s="272"/>
      <c r="PA105" s="272"/>
      <c r="PB105" s="272"/>
      <c r="PC105" s="272"/>
      <c r="PD105" s="272"/>
      <c r="PE105" s="272"/>
      <c r="PF105" s="272"/>
      <c r="PG105" s="272"/>
      <c r="PH105" s="272"/>
      <c r="PI105" s="272"/>
      <c r="PJ105" s="272"/>
      <c r="PK105" s="272"/>
      <c r="PL105" s="272"/>
      <c r="PM105" s="272"/>
      <c r="PN105" s="272"/>
      <c r="PO105" s="272"/>
      <c r="PP105" s="272"/>
      <c r="PQ105" s="272"/>
      <c r="PR105" s="272"/>
      <c r="PS105" s="272"/>
      <c r="PT105" s="272"/>
      <c r="PU105" s="272"/>
      <c r="PV105" s="272"/>
      <c r="PW105" s="272"/>
      <c r="PX105" s="272"/>
      <c r="PY105" s="272"/>
      <c r="PZ105" s="272"/>
      <c r="QA105" s="272"/>
      <c r="QB105" s="272"/>
      <c r="QC105" s="272"/>
      <c r="QD105" s="272"/>
      <c r="QE105" s="272"/>
      <c r="QF105" s="272"/>
      <c r="QG105" s="272"/>
      <c r="QH105" s="272"/>
      <c r="QI105" s="272"/>
      <c r="QJ105" s="272"/>
      <c r="QK105" s="272"/>
      <c r="QL105" s="272"/>
      <c r="QM105" s="272"/>
      <c r="QN105" s="272"/>
      <c r="QO105" s="272"/>
      <c r="QP105" s="272"/>
      <c r="QQ105" s="272"/>
      <c r="QR105" s="272"/>
      <c r="QS105" s="272"/>
      <c r="QT105" s="272"/>
      <c r="QU105" s="272"/>
      <c r="QV105" s="272"/>
      <c r="QW105" s="272"/>
      <c r="QX105" s="272"/>
      <c r="QY105" s="272"/>
      <c r="QZ105" s="272"/>
      <c r="RA105" s="272"/>
      <c r="RB105" s="272"/>
      <c r="RC105" s="272"/>
      <c r="RD105" s="272"/>
      <c r="RE105" s="272"/>
      <c r="RF105" s="272"/>
      <c r="RG105" s="272"/>
      <c r="RH105" s="272"/>
      <c r="RI105" s="272"/>
      <c r="RJ105" s="272"/>
      <c r="RK105" s="272"/>
      <c r="RL105" s="272"/>
      <c r="RM105" s="272"/>
      <c r="RN105" s="272"/>
      <c r="RO105" s="272"/>
      <c r="RP105" s="272"/>
      <c r="RQ105" s="272"/>
      <c r="RR105" s="272"/>
      <c r="RS105" s="272"/>
      <c r="RT105" s="272"/>
      <c r="RU105" s="272"/>
      <c r="RV105" s="272"/>
      <c r="RW105" s="272"/>
      <c r="RX105" s="272"/>
      <c r="RY105" s="272"/>
      <c r="RZ105" s="272"/>
      <c r="SA105" s="272"/>
      <c r="SB105" s="272"/>
      <c r="SC105" s="272"/>
      <c r="SD105" s="272"/>
      <c r="SE105" s="272"/>
      <c r="SF105" s="272"/>
      <c r="SG105" s="272"/>
      <c r="SH105" s="272"/>
      <c r="SI105" s="272"/>
      <c r="SJ105" s="272"/>
      <c r="SK105" s="272"/>
      <c r="SL105" s="272"/>
      <c r="SM105" s="272"/>
      <c r="SN105" s="272"/>
      <c r="SO105" s="272"/>
      <c r="SP105" s="272"/>
      <c r="SQ105" s="272"/>
      <c r="SR105" s="272"/>
      <c r="SS105" s="272"/>
      <c r="ST105" s="272"/>
      <c r="SU105" s="272"/>
      <c r="SV105" s="272"/>
      <c r="SW105" s="272"/>
      <c r="SX105" s="272"/>
      <c r="SY105" s="272"/>
      <c r="SZ105" s="272"/>
      <c r="TA105" s="272"/>
      <c r="TB105" s="272"/>
      <c r="TC105" s="272"/>
      <c r="TD105" s="272"/>
      <c r="TE105" s="272"/>
      <c r="TF105" s="272"/>
      <c r="TG105" s="272"/>
      <c r="TH105" s="272"/>
      <c r="TI105" s="272"/>
      <c r="TJ105" s="272"/>
      <c r="TK105" s="272"/>
      <c r="TL105" s="272"/>
      <c r="TM105" s="272"/>
      <c r="TN105" s="272"/>
      <c r="TO105" s="272"/>
      <c r="TP105" s="272"/>
      <c r="TQ105" s="272"/>
      <c r="TR105" s="272"/>
      <c r="TS105" s="272"/>
      <c r="TT105" s="272"/>
      <c r="TU105" s="272"/>
      <c r="TV105" s="272"/>
      <c r="TW105" s="272"/>
      <c r="TX105" s="272"/>
      <c r="TY105" s="272"/>
      <c r="TZ105" s="272"/>
      <c r="UA105" s="272"/>
      <c r="UB105" s="272"/>
      <c r="UC105" s="272"/>
      <c r="UD105" s="272"/>
      <c r="UE105" s="272"/>
      <c r="UF105" s="272"/>
      <c r="UG105" s="272"/>
      <c r="UH105" s="272"/>
      <c r="UI105" s="272"/>
      <c r="UJ105" s="272"/>
      <c r="UK105" s="272"/>
      <c r="UL105" s="272"/>
      <c r="UM105" s="272"/>
      <c r="UN105" s="272"/>
      <c r="UO105" s="272"/>
      <c r="UP105" s="272"/>
      <c r="UQ105" s="272"/>
      <c r="UR105" s="272"/>
      <c r="US105" s="272"/>
      <c r="UT105" s="272"/>
      <c r="UU105" s="272"/>
      <c r="UV105" s="272"/>
      <c r="UW105" s="272"/>
      <c r="UX105" s="272"/>
      <c r="UY105" s="272"/>
      <c r="UZ105" s="272"/>
      <c r="VA105" s="272"/>
      <c r="VB105" s="272"/>
      <c r="VC105" s="272"/>
      <c r="VD105" s="272"/>
      <c r="VE105" s="272"/>
      <c r="VF105" s="272"/>
      <c r="VG105" s="272"/>
      <c r="VH105" s="272"/>
      <c r="VI105" s="272"/>
      <c r="VJ105" s="272"/>
      <c r="VK105" s="272"/>
      <c r="VL105" s="272"/>
      <c r="VM105" s="272"/>
      <c r="VN105" s="272"/>
      <c r="VO105" s="272"/>
      <c r="VP105" s="272"/>
      <c r="VQ105" s="272"/>
      <c r="VR105" s="272"/>
      <c r="VS105" s="272"/>
      <c r="VT105" s="272"/>
      <c r="VU105" s="272"/>
      <c r="VV105" s="272"/>
      <c r="VW105" s="272"/>
      <c r="VX105" s="272"/>
      <c r="VY105" s="272"/>
      <c r="VZ105" s="272"/>
      <c r="WA105" s="272"/>
      <c r="WB105" s="272"/>
      <c r="WC105" s="272"/>
      <c r="WD105" s="272"/>
      <c r="WE105" s="272"/>
      <c r="WF105" s="272"/>
      <c r="WG105" s="272"/>
      <c r="WH105" s="272"/>
      <c r="WI105" s="272"/>
      <c r="WJ105" s="272"/>
      <c r="WK105" s="272"/>
      <c r="WL105" s="272"/>
      <c r="WM105" s="272"/>
      <c r="WN105" s="272"/>
      <c r="WO105" s="272"/>
      <c r="WP105" s="272"/>
      <c r="WQ105" s="272"/>
      <c r="WR105" s="272"/>
      <c r="WS105" s="272"/>
      <c r="WT105" s="272"/>
      <c r="WU105" s="272"/>
      <c r="WV105" s="272"/>
      <c r="WW105" s="272"/>
      <c r="WX105" s="272"/>
      <c r="WY105" s="272"/>
      <c r="WZ105" s="272"/>
      <c r="XA105" s="272"/>
      <c r="XB105" s="272"/>
      <c r="XC105" s="272"/>
      <c r="XD105" s="272"/>
      <c r="XE105" s="272"/>
      <c r="XF105" s="272"/>
      <c r="XG105" s="272"/>
      <c r="XH105" s="272"/>
      <c r="XI105" s="272"/>
      <c r="XJ105" s="272"/>
      <c r="XK105" s="272"/>
      <c r="XL105" s="272"/>
      <c r="XM105" s="272"/>
      <c r="XN105" s="272"/>
      <c r="XO105" s="272"/>
      <c r="XP105" s="272"/>
      <c r="XQ105" s="272"/>
      <c r="XR105" s="272"/>
      <c r="XS105" s="272"/>
      <c r="XT105" s="272"/>
      <c r="XU105" s="272"/>
      <c r="XV105" s="272"/>
      <c r="XW105" s="272"/>
      <c r="XX105" s="272"/>
      <c r="XY105" s="272"/>
      <c r="XZ105" s="272"/>
      <c r="YA105" s="272"/>
      <c r="YB105" s="272"/>
      <c r="YC105" s="272"/>
      <c r="YD105" s="272"/>
      <c r="YE105" s="272"/>
      <c r="YF105" s="272"/>
      <c r="YG105" s="272"/>
      <c r="YH105" s="272"/>
      <c r="YI105" s="272"/>
      <c r="YJ105" s="272"/>
      <c r="YK105" s="272"/>
      <c r="YL105" s="272"/>
      <c r="YM105" s="272"/>
      <c r="YN105" s="272"/>
      <c r="YO105" s="272"/>
      <c r="YP105" s="272"/>
      <c r="YQ105" s="272"/>
      <c r="YR105" s="272"/>
      <c r="YS105" s="272"/>
      <c r="YT105" s="272"/>
      <c r="YU105" s="272"/>
      <c r="YV105" s="272"/>
      <c r="YW105" s="272"/>
      <c r="YX105" s="272"/>
      <c r="YY105" s="272"/>
      <c r="YZ105" s="272"/>
      <c r="ZA105" s="272"/>
      <c r="ZB105" s="272"/>
      <c r="ZC105" s="272"/>
      <c r="ZD105" s="272"/>
      <c r="ZE105" s="272"/>
      <c r="ZF105" s="272"/>
      <c r="ZG105" s="272"/>
      <c r="ZH105" s="272"/>
      <c r="ZI105" s="272"/>
      <c r="ZJ105" s="272"/>
      <c r="ZK105" s="272"/>
      <c r="ZL105" s="272"/>
      <c r="ZM105" s="272"/>
      <c r="ZN105" s="272"/>
      <c r="ZO105" s="272"/>
      <c r="ZP105" s="272"/>
      <c r="ZQ105" s="272"/>
      <c r="ZR105" s="272"/>
      <c r="ZS105" s="272"/>
      <c r="ZT105" s="272"/>
      <c r="ZU105" s="272"/>
      <c r="ZV105" s="272"/>
      <c r="ZW105" s="272"/>
      <c r="ZX105" s="272"/>
      <c r="ZY105" s="272"/>
      <c r="ZZ105" s="272"/>
      <c r="AAA105" s="272"/>
      <c r="AAB105" s="272"/>
      <c r="AAC105" s="272"/>
      <c r="AAD105" s="272"/>
      <c r="AAE105" s="272"/>
      <c r="AAF105" s="272"/>
      <c r="AAG105" s="272"/>
      <c r="AAH105" s="272"/>
      <c r="AAI105" s="272"/>
      <c r="AAJ105" s="272"/>
      <c r="AAK105" s="272"/>
      <c r="AAL105" s="272"/>
      <c r="AAM105" s="272"/>
      <c r="AAN105" s="272"/>
      <c r="AAO105" s="272"/>
      <c r="AAP105" s="272"/>
      <c r="AAQ105" s="272"/>
      <c r="AAR105" s="272"/>
      <c r="AAS105" s="272"/>
      <c r="AAT105" s="272"/>
      <c r="AAU105" s="272"/>
      <c r="AAV105" s="272"/>
      <c r="AAW105" s="272"/>
      <c r="AAX105" s="272"/>
      <c r="AAY105" s="272"/>
      <c r="AAZ105" s="272"/>
      <c r="ABA105" s="272"/>
      <c r="ABB105" s="272"/>
      <c r="ABC105" s="272"/>
      <c r="ABD105" s="272"/>
      <c r="ABE105" s="272"/>
      <c r="ABF105" s="272"/>
      <c r="ABG105" s="272"/>
    </row>
    <row r="106" spans="1:735" s="86" customFormat="1" ht="12.75" customHeight="1">
      <c r="A106" s="39"/>
      <c r="B106" s="40"/>
      <c r="C106" s="597"/>
      <c r="D106" s="600"/>
      <c r="E106" s="619"/>
      <c r="F106" s="626"/>
      <c r="G106" s="636"/>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72"/>
      <c r="BR106" s="272"/>
      <c r="BS106" s="272"/>
      <c r="BT106" s="272"/>
      <c r="BU106" s="272"/>
      <c r="BV106" s="272"/>
      <c r="BW106" s="272"/>
      <c r="BX106" s="272"/>
      <c r="BY106" s="272"/>
      <c r="BZ106" s="272"/>
      <c r="CA106" s="272"/>
      <c r="CB106" s="272"/>
      <c r="CC106" s="272"/>
      <c r="CD106" s="272"/>
      <c r="CE106" s="272"/>
      <c r="CF106" s="272"/>
      <c r="CG106" s="272"/>
      <c r="CH106" s="272"/>
      <c r="CI106" s="272"/>
      <c r="CJ106" s="272"/>
      <c r="CK106" s="272"/>
      <c r="CL106" s="272"/>
      <c r="CM106" s="272"/>
      <c r="CN106" s="272"/>
      <c r="CO106" s="272"/>
      <c r="CP106" s="272"/>
      <c r="CQ106" s="272"/>
      <c r="CR106" s="272"/>
      <c r="CS106" s="272"/>
      <c r="CT106" s="272"/>
      <c r="CU106" s="272"/>
      <c r="CV106" s="272"/>
      <c r="CW106" s="272"/>
      <c r="CX106" s="272"/>
      <c r="CY106" s="272"/>
      <c r="CZ106" s="272"/>
      <c r="DA106" s="272"/>
      <c r="DB106" s="272"/>
      <c r="DC106" s="272"/>
      <c r="DD106" s="272"/>
      <c r="DE106" s="272"/>
      <c r="DF106" s="272"/>
      <c r="DG106" s="272"/>
      <c r="DH106" s="272"/>
      <c r="DI106" s="272"/>
      <c r="DJ106" s="272"/>
      <c r="DK106" s="272"/>
      <c r="DL106" s="272"/>
      <c r="DM106" s="272"/>
      <c r="DN106" s="272"/>
      <c r="DO106" s="272"/>
      <c r="DP106" s="272"/>
      <c r="DQ106" s="272"/>
      <c r="DR106" s="272"/>
      <c r="DS106" s="272"/>
      <c r="DT106" s="272"/>
      <c r="DU106" s="272"/>
      <c r="DV106" s="272"/>
      <c r="DW106" s="272"/>
      <c r="DX106" s="272"/>
      <c r="DY106" s="272"/>
      <c r="DZ106" s="272"/>
      <c r="EA106" s="272"/>
      <c r="EB106" s="272"/>
      <c r="EC106" s="272"/>
      <c r="ED106" s="272"/>
      <c r="EE106" s="272"/>
      <c r="EF106" s="272"/>
      <c r="EG106" s="272"/>
      <c r="EH106" s="272"/>
      <c r="EI106" s="272"/>
      <c r="EJ106" s="272"/>
      <c r="EK106" s="272"/>
      <c r="EL106" s="272"/>
      <c r="EM106" s="272"/>
      <c r="EN106" s="272"/>
      <c r="EO106" s="272"/>
      <c r="EP106" s="272"/>
      <c r="EQ106" s="272"/>
      <c r="ER106" s="272"/>
      <c r="ES106" s="272"/>
      <c r="ET106" s="272"/>
      <c r="EU106" s="272"/>
      <c r="EV106" s="272"/>
      <c r="EW106" s="272"/>
      <c r="EX106" s="272"/>
      <c r="EY106" s="272"/>
      <c r="EZ106" s="272"/>
      <c r="FA106" s="272"/>
      <c r="FB106" s="272"/>
      <c r="FC106" s="272"/>
      <c r="FD106" s="272"/>
      <c r="FE106" s="272"/>
      <c r="FF106" s="272"/>
      <c r="FG106" s="272"/>
      <c r="FH106" s="272"/>
      <c r="FI106" s="272"/>
      <c r="FJ106" s="272"/>
      <c r="FK106" s="272"/>
      <c r="FL106" s="272"/>
      <c r="FM106" s="272"/>
      <c r="FN106" s="272"/>
      <c r="FO106" s="272"/>
      <c r="FP106" s="272"/>
      <c r="FQ106" s="272"/>
      <c r="FR106" s="272"/>
      <c r="FS106" s="272"/>
      <c r="FT106" s="272"/>
      <c r="FU106" s="272"/>
      <c r="FV106" s="272"/>
      <c r="FW106" s="272"/>
      <c r="FX106" s="272"/>
      <c r="FY106" s="272"/>
      <c r="FZ106" s="272"/>
      <c r="GA106" s="272"/>
      <c r="GB106" s="272"/>
      <c r="GC106" s="272"/>
      <c r="GD106" s="272"/>
      <c r="GE106" s="272"/>
      <c r="GF106" s="272"/>
      <c r="GG106" s="272"/>
      <c r="GH106" s="272"/>
      <c r="GI106" s="272"/>
      <c r="GJ106" s="272"/>
      <c r="GK106" s="272"/>
      <c r="GL106" s="272"/>
      <c r="GM106" s="272"/>
      <c r="GN106" s="272"/>
      <c r="GO106" s="272"/>
      <c r="GP106" s="272"/>
      <c r="GQ106" s="272"/>
      <c r="GR106" s="272"/>
      <c r="GS106" s="272"/>
      <c r="GT106" s="272"/>
      <c r="GU106" s="272"/>
      <c r="GV106" s="272"/>
      <c r="GW106" s="272"/>
      <c r="GX106" s="272"/>
      <c r="GY106" s="272"/>
      <c r="GZ106" s="272"/>
      <c r="HA106" s="272"/>
      <c r="HB106" s="272"/>
      <c r="HC106" s="272"/>
      <c r="HD106" s="272"/>
      <c r="HE106" s="272"/>
      <c r="HF106" s="272"/>
      <c r="HG106" s="272"/>
      <c r="HH106" s="272"/>
      <c r="HI106" s="272"/>
      <c r="HJ106" s="272"/>
      <c r="HK106" s="272"/>
      <c r="HL106" s="272"/>
      <c r="HM106" s="272"/>
      <c r="HN106" s="272"/>
      <c r="HO106" s="272"/>
      <c r="HP106" s="272"/>
      <c r="HQ106" s="272"/>
      <c r="HR106" s="272"/>
      <c r="HS106" s="272"/>
      <c r="HT106" s="272"/>
      <c r="HU106" s="272"/>
      <c r="HV106" s="272"/>
      <c r="HW106" s="272"/>
      <c r="HX106" s="272"/>
      <c r="HY106" s="272"/>
      <c r="HZ106" s="272"/>
      <c r="IA106" s="272"/>
      <c r="IB106" s="272"/>
      <c r="IC106" s="272"/>
      <c r="ID106" s="272"/>
      <c r="IE106" s="272"/>
      <c r="IF106" s="272"/>
      <c r="IG106" s="272"/>
      <c r="IH106" s="272"/>
      <c r="II106" s="272"/>
      <c r="IJ106" s="272"/>
      <c r="IK106" s="272"/>
      <c r="IL106" s="272"/>
      <c r="IM106" s="272"/>
      <c r="IN106" s="272"/>
      <c r="IO106" s="272"/>
      <c r="IP106" s="272"/>
      <c r="IQ106" s="272"/>
      <c r="IR106" s="272"/>
      <c r="IS106" s="272"/>
      <c r="IT106" s="272"/>
      <c r="IU106" s="272"/>
      <c r="IV106" s="272"/>
      <c r="IW106" s="272"/>
      <c r="IX106" s="272"/>
      <c r="IY106" s="272"/>
      <c r="IZ106" s="272"/>
      <c r="JA106" s="272"/>
      <c r="JB106" s="272"/>
      <c r="JC106" s="272"/>
      <c r="JD106" s="272"/>
      <c r="JE106" s="272"/>
      <c r="JF106" s="272"/>
      <c r="JG106" s="272"/>
      <c r="JH106" s="272"/>
      <c r="JI106" s="272"/>
      <c r="JJ106" s="272"/>
      <c r="JK106" s="272"/>
      <c r="JL106" s="272"/>
      <c r="JM106" s="272"/>
      <c r="JN106" s="272"/>
      <c r="JO106" s="272"/>
      <c r="JP106" s="272"/>
      <c r="JQ106" s="272"/>
      <c r="JR106" s="272"/>
      <c r="JS106" s="272"/>
      <c r="JT106" s="272"/>
      <c r="JU106" s="272"/>
      <c r="JV106" s="272"/>
      <c r="JW106" s="272"/>
      <c r="JX106" s="272"/>
      <c r="JY106" s="272"/>
      <c r="JZ106" s="272"/>
      <c r="KA106" s="272"/>
      <c r="KB106" s="272"/>
      <c r="KC106" s="272"/>
      <c r="KD106" s="272"/>
      <c r="KE106" s="272"/>
      <c r="KF106" s="272"/>
      <c r="KG106" s="272"/>
      <c r="KH106" s="272"/>
      <c r="KI106" s="272"/>
      <c r="KJ106" s="272"/>
      <c r="KK106" s="272"/>
      <c r="KL106" s="272"/>
      <c r="KM106" s="272"/>
      <c r="KN106" s="272"/>
      <c r="KO106" s="272"/>
      <c r="KP106" s="272"/>
      <c r="KQ106" s="272"/>
      <c r="KR106" s="272"/>
      <c r="KS106" s="272"/>
      <c r="KT106" s="272"/>
      <c r="KU106" s="272"/>
      <c r="KV106" s="272"/>
      <c r="KW106" s="272"/>
      <c r="KX106" s="272"/>
      <c r="KY106" s="272"/>
      <c r="KZ106" s="272"/>
      <c r="LA106" s="272"/>
      <c r="LB106" s="272"/>
      <c r="LC106" s="272"/>
      <c r="LD106" s="272"/>
      <c r="LE106" s="272"/>
      <c r="LF106" s="272"/>
      <c r="LG106" s="272"/>
      <c r="LH106" s="272"/>
      <c r="LI106" s="272"/>
      <c r="LJ106" s="272"/>
      <c r="LK106" s="272"/>
      <c r="LL106" s="272"/>
      <c r="LM106" s="272"/>
      <c r="LN106" s="272"/>
      <c r="LO106" s="272"/>
      <c r="LP106" s="272"/>
      <c r="LQ106" s="272"/>
      <c r="LR106" s="272"/>
      <c r="LS106" s="272"/>
      <c r="LT106" s="272"/>
      <c r="LU106" s="272"/>
      <c r="LV106" s="272"/>
      <c r="LW106" s="272"/>
      <c r="LX106" s="272"/>
      <c r="LY106" s="272"/>
      <c r="LZ106" s="272"/>
      <c r="MA106" s="272"/>
      <c r="MB106" s="272"/>
      <c r="MC106" s="272"/>
      <c r="MD106" s="272"/>
      <c r="ME106" s="272"/>
      <c r="MF106" s="272"/>
      <c r="MG106" s="272"/>
      <c r="MH106" s="272"/>
      <c r="MI106" s="272"/>
      <c r="MJ106" s="272"/>
      <c r="MK106" s="272"/>
      <c r="ML106" s="272"/>
      <c r="MM106" s="272"/>
      <c r="MN106" s="272"/>
      <c r="MO106" s="272"/>
      <c r="MP106" s="272"/>
      <c r="MQ106" s="272"/>
      <c r="MR106" s="272"/>
      <c r="MS106" s="272"/>
      <c r="MT106" s="272"/>
      <c r="MU106" s="272"/>
      <c r="MV106" s="272"/>
      <c r="MW106" s="272"/>
      <c r="MX106" s="272"/>
      <c r="MY106" s="272"/>
      <c r="MZ106" s="272"/>
      <c r="NA106" s="272"/>
      <c r="NB106" s="272"/>
      <c r="NC106" s="272"/>
      <c r="ND106" s="272"/>
      <c r="NE106" s="272"/>
      <c r="NF106" s="272"/>
      <c r="NG106" s="272"/>
      <c r="NH106" s="272"/>
      <c r="NI106" s="272"/>
      <c r="NJ106" s="272"/>
      <c r="NK106" s="272"/>
      <c r="NL106" s="272"/>
      <c r="NM106" s="272"/>
      <c r="NN106" s="272"/>
      <c r="NO106" s="272"/>
      <c r="NP106" s="272"/>
      <c r="NQ106" s="272"/>
      <c r="NR106" s="272"/>
      <c r="NS106" s="272"/>
      <c r="NT106" s="272"/>
      <c r="NU106" s="272"/>
      <c r="NV106" s="272"/>
      <c r="NW106" s="272"/>
      <c r="NX106" s="272"/>
      <c r="NY106" s="272"/>
      <c r="NZ106" s="272"/>
      <c r="OA106" s="272"/>
      <c r="OB106" s="272"/>
      <c r="OC106" s="272"/>
      <c r="OD106" s="272"/>
      <c r="OE106" s="272"/>
      <c r="OF106" s="272"/>
      <c r="OG106" s="272"/>
      <c r="OH106" s="272"/>
      <c r="OI106" s="272"/>
      <c r="OJ106" s="272"/>
      <c r="OK106" s="272"/>
      <c r="OL106" s="272"/>
      <c r="OM106" s="272"/>
      <c r="ON106" s="272"/>
      <c r="OO106" s="272"/>
      <c r="OP106" s="272"/>
      <c r="OQ106" s="272"/>
      <c r="OR106" s="272"/>
      <c r="OS106" s="272"/>
      <c r="OT106" s="272"/>
      <c r="OU106" s="272"/>
      <c r="OV106" s="272"/>
      <c r="OW106" s="272"/>
      <c r="OX106" s="272"/>
      <c r="OY106" s="272"/>
      <c r="OZ106" s="272"/>
      <c r="PA106" s="272"/>
      <c r="PB106" s="272"/>
      <c r="PC106" s="272"/>
      <c r="PD106" s="272"/>
      <c r="PE106" s="272"/>
      <c r="PF106" s="272"/>
      <c r="PG106" s="272"/>
      <c r="PH106" s="272"/>
      <c r="PI106" s="272"/>
      <c r="PJ106" s="272"/>
      <c r="PK106" s="272"/>
      <c r="PL106" s="272"/>
      <c r="PM106" s="272"/>
      <c r="PN106" s="272"/>
      <c r="PO106" s="272"/>
      <c r="PP106" s="272"/>
      <c r="PQ106" s="272"/>
      <c r="PR106" s="272"/>
      <c r="PS106" s="272"/>
      <c r="PT106" s="272"/>
      <c r="PU106" s="272"/>
      <c r="PV106" s="272"/>
      <c r="PW106" s="272"/>
      <c r="PX106" s="272"/>
      <c r="PY106" s="272"/>
      <c r="PZ106" s="272"/>
      <c r="QA106" s="272"/>
      <c r="QB106" s="272"/>
      <c r="QC106" s="272"/>
      <c r="QD106" s="272"/>
      <c r="QE106" s="272"/>
      <c r="QF106" s="272"/>
      <c r="QG106" s="272"/>
      <c r="QH106" s="272"/>
      <c r="QI106" s="272"/>
      <c r="QJ106" s="272"/>
      <c r="QK106" s="272"/>
      <c r="QL106" s="272"/>
      <c r="QM106" s="272"/>
      <c r="QN106" s="272"/>
      <c r="QO106" s="272"/>
      <c r="QP106" s="272"/>
      <c r="QQ106" s="272"/>
      <c r="QR106" s="272"/>
      <c r="QS106" s="272"/>
      <c r="QT106" s="272"/>
      <c r="QU106" s="272"/>
      <c r="QV106" s="272"/>
      <c r="QW106" s="272"/>
      <c r="QX106" s="272"/>
      <c r="QY106" s="272"/>
      <c r="QZ106" s="272"/>
      <c r="RA106" s="272"/>
      <c r="RB106" s="272"/>
      <c r="RC106" s="272"/>
      <c r="RD106" s="272"/>
      <c r="RE106" s="272"/>
      <c r="RF106" s="272"/>
      <c r="RG106" s="272"/>
      <c r="RH106" s="272"/>
      <c r="RI106" s="272"/>
      <c r="RJ106" s="272"/>
      <c r="RK106" s="272"/>
      <c r="RL106" s="272"/>
      <c r="RM106" s="272"/>
      <c r="RN106" s="272"/>
      <c r="RO106" s="272"/>
      <c r="RP106" s="272"/>
      <c r="RQ106" s="272"/>
      <c r="RR106" s="272"/>
      <c r="RS106" s="272"/>
      <c r="RT106" s="272"/>
      <c r="RU106" s="272"/>
      <c r="RV106" s="272"/>
      <c r="RW106" s="272"/>
      <c r="RX106" s="272"/>
      <c r="RY106" s="272"/>
      <c r="RZ106" s="272"/>
      <c r="SA106" s="272"/>
      <c r="SB106" s="272"/>
      <c r="SC106" s="272"/>
      <c r="SD106" s="272"/>
      <c r="SE106" s="272"/>
      <c r="SF106" s="272"/>
      <c r="SG106" s="272"/>
      <c r="SH106" s="272"/>
      <c r="SI106" s="272"/>
      <c r="SJ106" s="272"/>
      <c r="SK106" s="272"/>
      <c r="SL106" s="272"/>
      <c r="SM106" s="272"/>
      <c r="SN106" s="272"/>
      <c r="SO106" s="272"/>
      <c r="SP106" s="272"/>
      <c r="SQ106" s="272"/>
      <c r="SR106" s="272"/>
      <c r="SS106" s="272"/>
      <c r="ST106" s="272"/>
      <c r="SU106" s="272"/>
      <c r="SV106" s="272"/>
      <c r="SW106" s="272"/>
      <c r="SX106" s="272"/>
      <c r="SY106" s="272"/>
      <c r="SZ106" s="272"/>
      <c r="TA106" s="272"/>
      <c r="TB106" s="272"/>
      <c r="TC106" s="272"/>
      <c r="TD106" s="272"/>
      <c r="TE106" s="272"/>
      <c r="TF106" s="272"/>
      <c r="TG106" s="272"/>
      <c r="TH106" s="272"/>
      <c r="TI106" s="272"/>
      <c r="TJ106" s="272"/>
      <c r="TK106" s="272"/>
      <c r="TL106" s="272"/>
      <c r="TM106" s="272"/>
      <c r="TN106" s="272"/>
      <c r="TO106" s="272"/>
      <c r="TP106" s="272"/>
      <c r="TQ106" s="272"/>
      <c r="TR106" s="272"/>
      <c r="TS106" s="272"/>
      <c r="TT106" s="272"/>
      <c r="TU106" s="272"/>
      <c r="TV106" s="272"/>
      <c r="TW106" s="272"/>
      <c r="TX106" s="272"/>
      <c r="TY106" s="272"/>
      <c r="TZ106" s="272"/>
      <c r="UA106" s="272"/>
      <c r="UB106" s="272"/>
      <c r="UC106" s="272"/>
      <c r="UD106" s="272"/>
      <c r="UE106" s="272"/>
      <c r="UF106" s="272"/>
      <c r="UG106" s="272"/>
      <c r="UH106" s="272"/>
      <c r="UI106" s="272"/>
      <c r="UJ106" s="272"/>
      <c r="UK106" s="272"/>
      <c r="UL106" s="272"/>
      <c r="UM106" s="272"/>
      <c r="UN106" s="272"/>
      <c r="UO106" s="272"/>
      <c r="UP106" s="272"/>
      <c r="UQ106" s="272"/>
      <c r="UR106" s="272"/>
      <c r="US106" s="272"/>
      <c r="UT106" s="272"/>
      <c r="UU106" s="272"/>
      <c r="UV106" s="272"/>
      <c r="UW106" s="272"/>
      <c r="UX106" s="272"/>
      <c r="UY106" s="272"/>
      <c r="UZ106" s="272"/>
      <c r="VA106" s="272"/>
      <c r="VB106" s="272"/>
      <c r="VC106" s="272"/>
      <c r="VD106" s="272"/>
      <c r="VE106" s="272"/>
      <c r="VF106" s="272"/>
      <c r="VG106" s="272"/>
      <c r="VH106" s="272"/>
      <c r="VI106" s="272"/>
      <c r="VJ106" s="272"/>
      <c r="VK106" s="272"/>
      <c r="VL106" s="272"/>
      <c r="VM106" s="272"/>
      <c r="VN106" s="272"/>
      <c r="VO106" s="272"/>
      <c r="VP106" s="272"/>
      <c r="VQ106" s="272"/>
      <c r="VR106" s="272"/>
      <c r="VS106" s="272"/>
      <c r="VT106" s="272"/>
      <c r="VU106" s="272"/>
      <c r="VV106" s="272"/>
      <c r="VW106" s="272"/>
      <c r="VX106" s="272"/>
      <c r="VY106" s="272"/>
      <c r="VZ106" s="272"/>
      <c r="WA106" s="272"/>
      <c r="WB106" s="272"/>
      <c r="WC106" s="272"/>
      <c r="WD106" s="272"/>
      <c r="WE106" s="272"/>
      <c r="WF106" s="272"/>
      <c r="WG106" s="272"/>
      <c r="WH106" s="272"/>
      <c r="WI106" s="272"/>
      <c r="WJ106" s="272"/>
      <c r="WK106" s="272"/>
      <c r="WL106" s="272"/>
      <c r="WM106" s="272"/>
      <c r="WN106" s="272"/>
      <c r="WO106" s="272"/>
      <c r="WP106" s="272"/>
      <c r="WQ106" s="272"/>
      <c r="WR106" s="272"/>
      <c r="WS106" s="272"/>
      <c r="WT106" s="272"/>
      <c r="WU106" s="272"/>
      <c r="WV106" s="272"/>
      <c r="WW106" s="272"/>
      <c r="WX106" s="272"/>
      <c r="WY106" s="272"/>
      <c r="WZ106" s="272"/>
      <c r="XA106" s="272"/>
      <c r="XB106" s="272"/>
      <c r="XC106" s="272"/>
      <c r="XD106" s="272"/>
      <c r="XE106" s="272"/>
      <c r="XF106" s="272"/>
      <c r="XG106" s="272"/>
      <c r="XH106" s="272"/>
      <c r="XI106" s="272"/>
      <c r="XJ106" s="272"/>
      <c r="XK106" s="272"/>
      <c r="XL106" s="272"/>
      <c r="XM106" s="272"/>
      <c r="XN106" s="272"/>
      <c r="XO106" s="272"/>
      <c r="XP106" s="272"/>
      <c r="XQ106" s="272"/>
      <c r="XR106" s="272"/>
      <c r="XS106" s="272"/>
      <c r="XT106" s="272"/>
      <c r="XU106" s="272"/>
      <c r="XV106" s="272"/>
      <c r="XW106" s="272"/>
      <c r="XX106" s="272"/>
      <c r="XY106" s="272"/>
      <c r="XZ106" s="272"/>
      <c r="YA106" s="272"/>
      <c r="YB106" s="272"/>
      <c r="YC106" s="272"/>
      <c r="YD106" s="272"/>
      <c r="YE106" s="272"/>
      <c r="YF106" s="272"/>
      <c r="YG106" s="272"/>
      <c r="YH106" s="272"/>
      <c r="YI106" s="272"/>
      <c r="YJ106" s="272"/>
      <c r="YK106" s="272"/>
      <c r="YL106" s="272"/>
      <c r="YM106" s="272"/>
      <c r="YN106" s="272"/>
      <c r="YO106" s="272"/>
      <c r="YP106" s="272"/>
      <c r="YQ106" s="272"/>
      <c r="YR106" s="272"/>
      <c r="YS106" s="272"/>
      <c r="YT106" s="272"/>
      <c r="YU106" s="272"/>
      <c r="YV106" s="272"/>
      <c r="YW106" s="272"/>
      <c r="YX106" s="272"/>
      <c r="YY106" s="272"/>
      <c r="YZ106" s="272"/>
      <c r="ZA106" s="272"/>
      <c r="ZB106" s="272"/>
      <c r="ZC106" s="272"/>
      <c r="ZD106" s="272"/>
      <c r="ZE106" s="272"/>
      <c r="ZF106" s="272"/>
      <c r="ZG106" s="272"/>
      <c r="ZH106" s="272"/>
      <c r="ZI106" s="272"/>
      <c r="ZJ106" s="272"/>
      <c r="ZK106" s="272"/>
      <c r="ZL106" s="272"/>
      <c r="ZM106" s="272"/>
      <c r="ZN106" s="272"/>
      <c r="ZO106" s="272"/>
      <c r="ZP106" s="272"/>
      <c r="ZQ106" s="272"/>
      <c r="ZR106" s="272"/>
      <c r="ZS106" s="272"/>
      <c r="ZT106" s="272"/>
      <c r="ZU106" s="272"/>
      <c r="ZV106" s="272"/>
      <c r="ZW106" s="272"/>
      <c r="ZX106" s="272"/>
      <c r="ZY106" s="272"/>
      <c r="ZZ106" s="272"/>
      <c r="AAA106" s="272"/>
      <c r="AAB106" s="272"/>
      <c r="AAC106" s="272"/>
      <c r="AAD106" s="272"/>
      <c r="AAE106" s="272"/>
      <c r="AAF106" s="272"/>
      <c r="AAG106" s="272"/>
      <c r="AAH106" s="272"/>
      <c r="AAI106" s="272"/>
      <c r="AAJ106" s="272"/>
      <c r="AAK106" s="272"/>
      <c r="AAL106" s="272"/>
      <c r="AAM106" s="272"/>
      <c r="AAN106" s="272"/>
      <c r="AAO106" s="272"/>
      <c r="AAP106" s="272"/>
      <c r="AAQ106" s="272"/>
      <c r="AAR106" s="272"/>
      <c r="AAS106" s="272"/>
      <c r="AAT106" s="272"/>
      <c r="AAU106" s="272"/>
      <c r="AAV106" s="272"/>
      <c r="AAW106" s="272"/>
      <c r="AAX106" s="272"/>
      <c r="AAY106" s="272"/>
      <c r="AAZ106" s="272"/>
      <c r="ABA106" s="272"/>
      <c r="ABB106" s="272"/>
      <c r="ABC106" s="272"/>
      <c r="ABD106" s="272"/>
      <c r="ABE106" s="272"/>
      <c r="ABF106" s="272"/>
      <c r="ABG106" s="272"/>
    </row>
    <row r="107" spans="1:735" s="86" customFormat="1" ht="12.75" customHeight="1">
      <c r="A107" s="39"/>
      <c r="B107" s="40"/>
      <c r="C107" s="598"/>
      <c r="D107" s="601"/>
      <c r="E107" s="619"/>
      <c r="F107" s="627"/>
      <c r="G107" s="635"/>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c r="EA107" s="272"/>
      <c r="EB107" s="272"/>
      <c r="EC107" s="272"/>
      <c r="ED107" s="272"/>
      <c r="EE107" s="272"/>
      <c r="EF107" s="272"/>
      <c r="EG107" s="272"/>
      <c r="EH107" s="272"/>
      <c r="EI107" s="272"/>
      <c r="EJ107" s="272"/>
      <c r="EK107" s="272"/>
      <c r="EL107" s="272"/>
      <c r="EM107" s="272"/>
      <c r="EN107" s="272"/>
      <c r="EO107" s="272"/>
      <c r="EP107" s="272"/>
      <c r="EQ107" s="272"/>
      <c r="ER107" s="272"/>
      <c r="ES107" s="272"/>
      <c r="ET107" s="272"/>
      <c r="EU107" s="272"/>
      <c r="EV107" s="272"/>
      <c r="EW107" s="272"/>
      <c r="EX107" s="272"/>
      <c r="EY107" s="272"/>
      <c r="EZ107" s="272"/>
      <c r="FA107" s="272"/>
      <c r="FB107" s="272"/>
      <c r="FC107" s="272"/>
      <c r="FD107" s="272"/>
      <c r="FE107" s="272"/>
      <c r="FF107" s="272"/>
      <c r="FG107" s="272"/>
      <c r="FH107" s="272"/>
      <c r="FI107" s="272"/>
      <c r="FJ107" s="272"/>
      <c r="FK107" s="272"/>
      <c r="FL107" s="272"/>
      <c r="FM107" s="272"/>
      <c r="FN107" s="272"/>
      <c r="FO107" s="272"/>
      <c r="FP107" s="272"/>
      <c r="FQ107" s="272"/>
      <c r="FR107" s="272"/>
      <c r="FS107" s="272"/>
      <c r="FT107" s="272"/>
      <c r="FU107" s="272"/>
      <c r="FV107" s="272"/>
      <c r="FW107" s="272"/>
      <c r="FX107" s="272"/>
      <c r="FY107" s="272"/>
      <c r="FZ107" s="272"/>
      <c r="GA107" s="272"/>
      <c r="GB107" s="272"/>
      <c r="GC107" s="272"/>
      <c r="GD107" s="272"/>
      <c r="GE107" s="272"/>
      <c r="GF107" s="272"/>
      <c r="GG107" s="272"/>
      <c r="GH107" s="272"/>
      <c r="GI107" s="272"/>
      <c r="GJ107" s="272"/>
      <c r="GK107" s="272"/>
      <c r="GL107" s="272"/>
      <c r="GM107" s="272"/>
      <c r="GN107" s="272"/>
      <c r="GO107" s="272"/>
      <c r="GP107" s="272"/>
      <c r="GQ107" s="272"/>
      <c r="GR107" s="272"/>
      <c r="GS107" s="272"/>
      <c r="GT107" s="272"/>
      <c r="GU107" s="272"/>
      <c r="GV107" s="272"/>
      <c r="GW107" s="272"/>
      <c r="GX107" s="272"/>
      <c r="GY107" s="272"/>
      <c r="GZ107" s="272"/>
      <c r="HA107" s="272"/>
      <c r="HB107" s="272"/>
      <c r="HC107" s="272"/>
      <c r="HD107" s="272"/>
      <c r="HE107" s="272"/>
      <c r="HF107" s="272"/>
      <c r="HG107" s="272"/>
      <c r="HH107" s="272"/>
      <c r="HI107" s="272"/>
      <c r="HJ107" s="272"/>
      <c r="HK107" s="272"/>
      <c r="HL107" s="272"/>
      <c r="HM107" s="272"/>
      <c r="HN107" s="272"/>
      <c r="HO107" s="272"/>
      <c r="HP107" s="272"/>
      <c r="HQ107" s="272"/>
      <c r="HR107" s="272"/>
      <c r="HS107" s="272"/>
      <c r="HT107" s="272"/>
      <c r="HU107" s="272"/>
      <c r="HV107" s="272"/>
      <c r="HW107" s="272"/>
      <c r="HX107" s="272"/>
      <c r="HY107" s="272"/>
      <c r="HZ107" s="272"/>
      <c r="IA107" s="272"/>
      <c r="IB107" s="272"/>
      <c r="IC107" s="272"/>
      <c r="ID107" s="272"/>
      <c r="IE107" s="272"/>
      <c r="IF107" s="272"/>
      <c r="IG107" s="272"/>
      <c r="IH107" s="272"/>
      <c r="II107" s="272"/>
      <c r="IJ107" s="272"/>
      <c r="IK107" s="272"/>
      <c r="IL107" s="272"/>
      <c r="IM107" s="272"/>
      <c r="IN107" s="272"/>
      <c r="IO107" s="272"/>
      <c r="IP107" s="272"/>
      <c r="IQ107" s="272"/>
      <c r="IR107" s="272"/>
      <c r="IS107" s="272"/>
      <c r="IT107" s="272"/>
      <c r="IU107" s="272"/>
      <c r="IV107" s="272"/>
      <c r="IW107" s="272"/>
      <c r="IX107" s="272"/>
      <c r="IY107" s="272"/>
      <c r="IZ107" s="272"/>
      <c r="JA107" s="272"/>
      <c r="JB107" s="272"/>
      <c r="JC107" s="272"/>
      <c r="JD107" s="272"/>
      <c r="JE107" s="272"/>
      <c r="JF107" s="272"/>
      <c r="JG107" s="272"/>
      <c r="JH107" s="272"/>
      <c r="JI107" s="272"/>
      <c r="JJ107" s="272"/>
      <c r="JK107" s="272"/>
      <c r="JL107" s="272"/>
      <c r="JM107" s="272"/>
      <c r="JN107" s="272"/>
      <c r="JO107" s="272"/>
      <c r="JP107" s="272"/>
      <c r="JQ107" s="272"/>
      <c r="JR107" s="272"/>
      <c r="JS107" s="272"/>
      <c r="JT107" s="272"/>
      <c r="JU107" s="272"/>
      <c r="JV107" s="272"/>
      <c r="JW107" s="272"/>
      <c r="JX107" s="272"/>
      <c r="JY107" s="272"/>
      <c r="JZ107" s="272"/>
      <c r="KA107" s="272"/>
      <c r="KB107" s="272"/>
      <c r="KC107" s="272"/>
      <c r="KD107" s="272"/>
      <c r="KE107" s="272"/>
      <c r="KF107" s="272"/>
      <c r="KG107" s="272"/>
      <c r="KH107" s="272"/>
      <c r="KI107" s="272"/>
      <c r="KJ107" s="272"/>
      <c r="KK107" s="272"/>
      <c r="KL107" s="272"/>
      <c r="KM107" s="272"/>
      <c r="KN107" s="272"/>
      <c r="KO107" s="272"/>
      <c r="KP107" s="272"/>
      <c r="KQ107" s="272"/>
      <c r="KR107" s="272"/>
      <c r="KS107" s="272"/>
      <c r="KT107" s="272"/>
      <c r="KU107" s="272"/>
      <c r="KV107" s="272"/>
      <c r="KW107" s="272"/>
      <c r="KX107" s="272"/>
      <c r="KY107" s="272"/>
      <c r="KZ107" s="272"/>
      <c r="LA107" s="272"/>
      <c r="LB107" s="272"/>
      <c r="LC107" s="272"/>
      <c r="LD107" s="272"/>
      <c r="LE107" s="272"/>
      <c r="LF107" s="272"/>
      <c r="LG107" s="272"/>
      <c r="LH107" s="272"/>
      <c r="LI107" s="272"/>
      <c r="LJ107" s="272"/>
      <c r="LK107" s="272"/>
      <c r="LL107" s="272"/>
      <c r="LM107" s="272"/>
      <c r="LN107" s="272"/>
      <c r="LO107" s="272"/>
      <c r="LP107" s="272"/>
      <c r="LQ107" s="272"/>
      <c r="LR107" s="272"/>
      <c r="LS107" s="272"/>
      <c r="LT107" s="272"/>
      <c r="LU107" s="272"/>
      <c r="LV107" s="272"/>
      <c r="LW107" s="272"/>
      <c r="LX107" s="272"/>
      <c r="LY107" s="272"/>
      <c r="LZ107" s="272"/>
      <c r="MA107" s="272"/>
      <c r="MB107" s="272"/>
      <c r="MC107" s="272"/>
      <c r="MD107" s="272"/>
      <c r="ME107" s="272"/>
      <c r="MF107" s="272"/>
      <c r="MG107" s="272"/>
      <c r="MH107" s="272"/>
      <c r="MI107" s="272"/>
      <c r="MJ107" s="272"/>
      <c r="MK107" s="272"/>
      <c r="ML107" s="272"/>
      <c r="MM107" s="272"/>
      <c r="MN107" s="272"/>
      <c r="MO107" s="272"/>
      <c r="MP107" s="272"/>
      <c r="MQ107" s="272"/>
      <c r="MR107" s="272"/>
      <c r="MS107" s="272"/>
      <c r="MT107" s="272"/>
      <c r="MU107" s="272"/>
      <c r="MV107" s="272"/>
      <c r="MW107" s="272"/>
      <c r="MX107" s="272"/>
      <c r="MY107" s="272"/>
      <c r="MZ107" s="272"/>
      <c r="NA107" s="272"/>
      <c r="NB107" s="272"/>
      <c r="NC107" s="272"/>
      <c r="ND107" s="272"/>
      <c r="NE107" s="272"/>
      <c r="NF107" s="272"/>
      <c r="NG107" s="272"/>
      <c r="NH107" s="272"/>
      <c r="NI107" s="272"/>
      <c r="NJ107" s="272"/>
      <c r="NK107" s="272"/>
      <c r="NL107" s="272"/>
      <c r="NM107" s="272"/>
      <c r="NN107" s="272"/>
      <c r="NO107" s="272"/>
      <c r="NP107" s="272"/>
      <c r="NQ107" s="272"/>
      <c r="NR107" s="272"/>
      <c r="NS107" s="272"/>
      <c r="NT107" s="272"/>
      <c r="NU107" s="272"/>
      <c r="NV107" s="272"/>
      <c r="NW107" s="272"/>
      <c r="NX107" s="272"/>
      <c r="NY107" s="272"/>
      <c r="NZ107" s="272"/>
      <c r="OA107" s="272"/>
      <c r="OB107" s="272"/>
      <c r="OC107" s="272"/>
      <c r="OD107" s="272"/>
      <c r="OE107" s="272"/>
      <c r="OF107" s="272"/>
      <c r="OG107" s="272"/>
      <c r="OH107" s="272"/>
      <c r="OI107" s="272"/>
      <c r="OJ107" s="272"/>
      <c r="OK107" s="272"/>
      <c r="OL107" s="272"/>
      <c r="OM107" s="272"/>
      <c r="ON107" s="272"/>
      <c r="OO107" s="272"/>
      <c r="OP107" s="272"/>
      <c r="OQ107" s="272"/>
      <c r="OR107" s="272"/>
      <c r="OS107" s="272"/>
      <c r="OT107" s="272"/>
      <c r="OU107" s="272"/>
      <c r="OV107" s="272"/>
      <c r="OW107" s="272"/>
      <c r="OX107" s="272"/>
      <c r="OY107" s="272"/>
      <c r="OZ107" s="272"/>
      <c r="PA107" s="272"/>
      <c r="PB107" s="272"/>
      <c r="PC107" s="272"/>
      <c r="PD107" s="272"/>
      <c r="PE107" s="272"/>
      <c r="PF107" s="272"/>
      <c r="PG107" s="272"/>
      <c r="PH107" s="272"/>
      <c r="PI107" s="272"/>
      <c r="PJ107" s="272"/>
      <c r="PK107" s="272"/>
      <c r="PL107" s="272"/>
      <c r="PM107" s="272"/>
      <c r="PN107" s="272"/>
      <c r="PO107" s="272"/>
      <c r="PP107" s="272"/>
      <c r="PQ107" s="272"/>
      <c r="PR107" s="272"/>
      <c r="PS107" s="272"/>
      <c r="PT107" s="272"/>
      <c r="PU107" s="272"/>
      <c r="PV107" s="272"/>
      <c r="PW107" s="272"/>
      <c r="PX107" s="272"/>
      <c r="PY107" s="272"/>
      <c r="PZ107" s="272"/>
      <c r="QA107" s="272"/>
      <c r="QB107" s="272"/>
      <c r="QC107" s="272"/>
      <c r="QD107" s="272"/>
      <c r="QE107" s="272"/>
      <c r="QF107" s="272"/>
      <c r="QG107" s="272"/>
      <c r="QH107" s="272"/>
      <c r="QI107" s="272"/>
      <c r="QJ107" s="272"/>
      <c r="QK107" s="272"/>
      <c r="QL107" s="272"/>
      <c r="QM107" s="272"/>
      <c r="QN107" s="272"/>
      <c r="QO107" s="272"/>
      <c r="QP107" s="272"/>
      <c r="QQ107" s="272"/>
      <c r="QR107" s="272"/>
      <c r="QS107" s="272"/>
      <c r="QT107" s="272"/>
      <c r="QU107" s="272"/>
      <c r="QV107" s="272"/>
      <c r="QW107" s="272"/>
      <c r="QX107" s="272"/>
      <c r="QY107" s="272"/>
      <c r="QZ107" s="272"/>
      <c r="RA107" s="272"/>
      <c r="RB107" s="272"/>
      <c r="RC107" s="272"/>
      <c r="RD107" s="272"/>
      <c r="RE107" s="272"/>
      <c r="RF107" s="272"/>
      <c r="RG107" s="272"/>
      <c r="RH107" s="272"/>
      <c r="RI107" s="272"/>
      <c r="RJ107" s="272"/>
      <c r="RK107" s="272"/>
      <c r="RL107" s="272"/>
      <c r="RM107" s="272"/>
      <c r="RN107" s="272"/>
      <c r="RO107" s="272"/>
      <c r="RP107" s="272"/>
      <c r="RQ107" s="272"/>
      <c r="RR107" s="272"/>
      <c r="RS107" s="272"/>
      <c r="RT107" s="272"/>
      <c r="RU107" s="272"/>
      <c r="RV107" s="272"/>
      <c r="RW107" s="272"/>
      <c r="RX107" s="272"/>
      <c r="RY107" s="272"/>
      <c r="RZ107" s="272"/>
      <c r="SA107" s="272"/>
      <c r="SB107" s="272"/>
      <c r="SC107" s="272"/>
      <c r="SD107" s="272"/>
      <c r="SE107" s="272"/>
      <c r="SF107" s="272"/>
      <c r="SG107" s="272"/>
      <c r="SH107" s="272"/>
      <c r="SI107" s="272"/>
      <c r="SJ107" s="272"/>
      <c r="SK107" s="272"/>
      <c r="SL107" s="272"/>
      <c r="SM107" s="272"/>
      <c r="SN107" s="272"/>
      <c r="SO107" s="272"/>
      <c r="SP107" s="272"/>
      <c r="SQ107" s="272"/>
      <c r="SR107" s="272"/>
      <c r="SS107" s="272"/>
      <c r="ST107" s="272"/>
      <c r="SU107" s="272"/>
      <c r="SV107" s="272"/>
      <c r="SW107" s="272"/>
      <c r="SX107" s="272"/>
      <c r="SY107" s="272"/>
      <c r="SZ107" s="272"/>
      <c r="TA107" s="272"/>
      <c r="TB107" s="272"/>
      <c r="TC107" s="272"/>
      <c r="TD107" s="272"/>
      <c r="TE107" s="272"/>
      <c r="TF107" s="272"/>
      <c r="TG107" s="272"/>
      <c r="TH107" s="272"/>
      <c r="TI107" s="272"/>
      <c r="TJ107" s="272"/>
      <c r="TK107" s="272"/>
      <c r="TL107" s="272"/>
      <c r="TM107" s="272"/>
      <c r="TN107" s="272"/>
      <c r="TO107" s="272"/>
      <c r="TP107" s="272"/>
      <c r="TQ107" s="272"/>
      <c r="TR107" s="272"/>
      <c r="TS107" s="272"/>
      <c r="TT107" s="272"/>
      <c r="TU107" s="272"/>
      <c r="TV107" s="272"/>
      <c r="TW107" s="272"/>
      <c r="TX107" s="272"/>
      <c r="TY107" s="272"/>
      <c r="TZ107" s="272"/>
      <c r="UA107" s="272"/>
      <c r="UB107" s="272"/>
      <c r="UC107" s="272"/>
      <c r="UD107" s="272"/>
      <c r="UE107" s="272"/>
      <c r="UF107" s="272"/>
      <c r="UG107" s="272"/>
      <c r="UH107" s="272"/>
      <c r="UI107" s="272"/>
      <c r="UJ107" s="272"/>
      <c r="UK107" s="272"/>
      <c r="UL107" s="272"/>
      <c r="UM107" s="272"/>
      <c r="UN107" s="272"/>
      <c r="UO107" s="272"/>
      <c r="UP107" s="272"/>
      <c r="UQ107" s="272"/>
      <c r="UR107" s="272"/>
      <c r="US107" s="272"/>
      <c r="UT107" s="272"/>
      <c r="UU107" s="272"/>
      <c r="UV107" s="272"/>
      <c r="UW107" s="272"/>
      <c r="UX107" s="272"/>
      <c r="UY107" s="272"/>
      <c r="UZ107" s="272"/>
      <c r="VA107" s="272"/>
      <c r="VB107" s="272"/>
      <c r="VC107" s="272"/>
      <c r="VD107" s="272"/>
      <c r="VE107" s="272"/>
      <c r="VF107" s="272"/>
      <c r="VG107" s="272"/>
      <c r="VH107" s="272"/>
      <c r="VI107" s="272"/>
      <c r="VJ107" s="272"/>
      <c r="VK107" s="272"/>
      <c r="VL107" s="272"/>
      <c r="VM107" s="272"/>
      <c r="VN107" s="272"/>
      <c r="VO107" s="272"/>
      <c r="VP107" s="272"/>
      <c r="VQ107" s="272"/>
      <c r="VR107" s="272"/>
      <c r="VS107" s="272"/>
      <c r="VT107" s="272"/>
      <c r="VU107" s="272"/>
      <c r="VV107" s="272"/>
      <c r="VW107" s="272"/>
      <c r="VX107" s="272"/>
      <c r="VY107" s="272"/>
      <c r="VZ107" s="272"/>
      <c r="WA107" s="272"/>
      <c r="WB107" s="272"/>
      <c r="WC107" s="272"/>
      <c r="WD107" s="272"/>
      <c r="WE107" s="272"/>
      <c r="WF107" s="272"/>
      <c r="WG107" s="272"/>
      <c r="WH107" s="272"/>
      <c r="WI107" s="272"/>
      <c r="WJ107" s="272"/>
      <c r="WK107" s="272"/>
      <c r="WL107" s="272"/>
      <c r="WM107" s="272"/>
      <c r="WN107" s="272"/>
      <c r="WO107" s="272"/>
      <c r="WP107" s="272"/>
      <c r="WQ107" s="272"/>
      <c r="WR107" s="272"/>
      <c r="WS107" s="272"/>
      <c r="WT107" s="272"/>
      <c r="WU107" s="272"/>
      <c r="WV107" s="272"/>
      <c r="WW107" s="272"/>
      <c r="WX107" s="272"/>
      <c r="WY107" s="272"/>
      <c r="WZ107" s="272"/>
      <c r="XA107" s="272"/>
      <c r="XB107" s="272"/>
      <c r="XC107" s="272"/>
      <c r="XD107" s="272"/>
      <c r="XE107" s="272"/>
      <c r="XF107" s="272"/>
      <c r="XG107" s="272"/>
      <c r="XH107" s="272"/>
      <c r="XI107" s="272"/>
      <c r="XJ107" s="272"/>
      <c r="XK107" s="272"/>
      <c r="XL107" s="272"/>
      <c r="XM107" s="272"/>
      <c r="XN107" s="272"/>
      <c r="XO107" s="272"/>
      <c r="XP107" s="272"/>
      <c r="XQ107" s="272"/>
      <c r="XR107" s="272"/>
      <c r="XS107" s="272"/>
      <c r="XT107" s="272"/>
      <c r="XU107" s="272"/>
      <c r="XV107" s="272"/>
      <c r="XW107" s="272"/>
      <c r="XX107" s="272"/>
      <c r="XY107" s="272"/>
      <c r="XZ107" s="272"/>
      <c r="YA107" s="272"/>
      <c r="YB107" s="272"/>
      <c r="YC107" s="272"/>
      <c r="YD107" s="272"/>
      <c r="YE107" s="272"/>
      <c r="YF107" s="272"/>
      <c r="YG107" s="272"/>
      <c r="YH107" s="272"/>
      <c r="YI107" s="272"/>
      <c r="YJ107" s="272"/>
      <c r="YK107" s="272"/>
      <c r="YL107" s="272"/>
      <c r="YM107" s="272"/>
      <c r="YN107" s="272"/>
      <c r="YO107" s="272"/>
      <c r="YP107" s="272"/>
      <c r="YQ107" s="272"/>
      <c r="YR107" s="272"/>
      <c r="YS107" s="272"/>
      <c r="YT107" s="272"/>
      <c r="YU107" s="272"/>
      <c r="YV107" s="272"/>
      <c r="YW107" s="272"/>
      <c r="YX107" s="272"/>
      <c r="YY107" s="272"/>
      <c r="YZ107" s="272"/>
      <c r="ZA107" s="272"/>
      <c r="ZB107" s="272"/>
      <c r="ZC107" s="272"/>
      <c r="ZD107" s="272"/>
      <c r="ZE107" s="272"/>
      <c r="ZF107" s="272"/>
      <c r="ZG107" s="272"/>
      <c r="ZH107" s="272"/>
      <c r="ZI107" s="272"/>
      <c r="ZJ107" s="272"/>
      <c r="ZK107" s="272"/>
      <c r="ZL107" s="272"/>
      <c r="ZM107" s="272"/>
      <c r="ZN107" s="272"/>
      <c r="ZO107" s="272"/>
      <c r="ZP107" s="272"/>
      <c r="ZQ107" s="272"/>
      <c r="ZR107" s="272"/>
      <c r="ZS107" s="272"/>
      <c r="ZT107" s="272"/>
      <c r="ZU107" s="272"/>
      <c r="ZV107" s="272"/>
      <c r="ZW107" s="272"/>
      <c r="ZX107" s="272"/>
      <c r="ZY107" s="272"/>
      <c r="ZZ107" s="272"/>
      <c r="AAA107" s="272"/>
      <c r="AAB107" s="272"/>
      <c r="AAC107" s="272"/>
      <c r="AAD107" s="272"/>
      <c r="AAE107" s="272"/>
      <c r="AAF107" s="272"/>
      <c r="AAG107" s="272"/>
      <c r="AAH107" s="272"/>
      <c r="AAI107" s="272"/>
      <c r="AAJ107" s="272"/>
      <c r="AAK107" s="272"/>
      <c r="AAL107" s="272"/>
      <c r="AAM107" s="272"/>
      <c r="AAN107" s="272"/>
      <c r="AAO107" s="272"/>
      <c r="AAP107" s="272"/>
      <c r="AAQ107" s="272"/>
      <c r="AAR107" s="272"/>
      <c r="AAS107" s="272"/>
      <c r="AAT107" s="272"/>
      <c r="AAU107" s="272"/>
      <c r="AAV107" s="272"/>
      <c r="AAW107" s="272"/>
      <c r="AAX107" s="272"/>
      <c r="AAY107" s="272"/>
      <c r="AAZ107" s="272"/>
      <c r="ABA107" s="272"/>
      <c r="ABB107" s="272"/>
      <c r="ABC107" s="272"/>
      <c r="ABD107" s="272"/>
      <c r="ABE107" s="272"/>
      <c r="ABF107" s="272"/>
      <c r="ABG107" s="272"/>
    </row>
    <row r="108" spans="1:735" s="19" customFormat="1" ht="15">
      <c r="A108" s="39"/>
      <c r="B108" s="74"/>
      <c r="C108" s="55" t="s">
        <v>53</v>
      </c>
      <c r="D108" s="55"/>
      <c r="E108" s="64"/>
      <c r="F108" s="263"/>
      <c r="G108" s="388"/>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c r="BZ108" s="272"/>
      <c r="CA108" s="272"/>
      <c r="CB108" s="272"/>
      <c r="CC108" s="272"/>
      <c r="CD108" s="272"/>
      <c r="CE108" s="272"/>
      <c r="CF108" s="272"/>
      <c r="CG108" s="272"/>
      <c r="CH108" s="272"/>
      <c r="CI108" s="272"/>
      <c r="CJ108" s="272"/>
      <c r="CK108" s="272"/>
      <c r="CL108" s="272"/>
      <c r="CM108" s="272"/>
      <c r="CN108" s="272"/>
      <c r="CO108" s="272"/>
      <c r="CP108" s="272"/>
      <c r="CQ108" s="272"/>
      <c r="CR108" s="272"/>
      <c r="CS108" s="272"/>
      <c r="CT108" s="272"/>
      <c r="CU108" s="272"/>
      <c r="CV108" s="272"/>
      <c r="CW108" s="272"/>
      <c r="CX108" s="272"/>
      <c r="CY108" s="272"/>
      <c r="CZ108" s="272"/>
      <c r="DA108" s="272"/>
      <c r="DB108" s="272"/>
      <c r="DC108" s="272"/>
      <c r="DD108" s="272"/>
      <c r="DE108" s="272"/>
      <c r="DF108" s="272"/>
      <c r="DG108" s="272"/>
      <c r="DH108" s="272"/>
      <c r="DI108" s="272"/>
      <c r="DJ108" s="272"/>
      <c r="DK108" s="272"/>
      <c r="DL108" s="272"/>
      <c r="DM108" s="272"/>
      <c r="DN108" s="272"/>
      <c r="DO108" s="272"/>
      <c r="DP108" s="272"/>
      <c r="DQ108" s="272"/>
      <c r="DR108" s="272"/>
      <c r="DS108" s="272"/>
      <c r="DT108" s="272"/>
      <c r="DU108" s="272"/>
      <c r="DV108" s="272"/>
      <c r="DW108" s="272"/>
      <c r="DX108" s="272"/>
      <c r="DY108" s="272"/>
      <c r="DZ108" s="272"/>
      <c r="EA108" s="272"/>
      <c r="EB108" s="272"/>
      <c r="EC108" s="272"/>
      <c r="ED108" s="272"/>
      <c r="EE108" s="272"/>
      <c r="EF108" s="272"/>
      <c r="EG108" s="272"/>
      <c r="EH108" s="272"/>
      <c r="EI108" s="272"/>
      <c r="EJ108" s="272"/>
      <c r="EK108" s="272"/>
      <c r="EL108" s="272"/>
      <c r="EM108" s="272"/>
      <c r="EN108" s="272"/>
      <c r="EO108" s="272"/>
      <c r="EP108" s="272"/>
      <c r="EQ108" s="272"/>
      <c r="ER108" s="272"/>
      <c r="ES108" s="272"/>
      <c r="ET108" s="272"/>
      <c r="EU108" s="272"/>
      <c r="EV108" s="272"/>
      <c r="EW108" s="272"/>
      <c r="EX108" s="272"/>
      <c r="EY108" s="272"/>
      <c r="EZ108" s="272"/>
      <c r="FA108" s="272"/>
      <c r="FB108" s="272"/>
      <c r="FC108" s="272"/>
      <c r="FD108" s="272"/>
      <c r="FE108" s="272"/>
      <c r="FF108" s="272"/>
      <c r="FG108" s="272"/>
      <c r="FH108" s="272"/>
      <c r="FI108" s="272"/>
      <c r="FJ108" s="272"/>
      <c r="FK108" s="272"/>
      <c r="FL108" s="272"/>
      <c r="FM108" s="272"/>
      <c r="FN108" s="272"/>
      <c r="FO108" s="272"/>
      <c r="FP108" s="272"/>
      <c r="FQ108" s="272"/>
      <c r="FR108" s="272"/>
      <c r="FS108" s="272"/>
      <c r="FT108" s="272"/>
      <c r="FU108" s="272"/>
      <c r="FV108" s="272"/>
      <c r="FW108" s="272"/>
      <c r="FX108" s="272"/>
      <c r="FY108" s="272"/>
      <c r="FZ108" s="272"/>
      <c r="GA108" s="272"/>
      <c r="GB108" s="272"/>
      <c r="GC108" s="272"/>
      <c r="GD108" s="272"/>
      <c r="GE108" s="272"/>
      <c r="GF108" s="272"/>
      <c r="GG108" s="272"/>
      <c r="GH108" s="272"/>
      <c r="GI108" s="272"/>
      <c r="GJ108" s="272"/>
      <c r="GK108" s="272"/>
      <c r="GL108" s="272"/>
      <c r="GM108" s="272"/>
      <c r="GN108" s="272"/>
      <c r="GO108" s="272"/>
      <c r="GP108" s="272"/>
      <c r="GQ108" s="272"/>
      <c r="GR108" s="272"/>
      <c r="GS108" s="272"/>
      <c r="GT108" s="272"/>
      <c r="GU108" s="272"/>
      <c r="GV108" s="272"/>
      <c r="GW108" s="272"/>
      <c r="GX108" s="272"/>
      <c r="GY108" s="272"/>
      <c r="GZ108" s="272"/>
      <c r="HA108" s="272"/>
      <c r="HB108" s="272"/>
      <c r="HC108" s="272"/>
      <c r="HD108" s="272"/>
      <c r="HE108" s="272"/>
      <c r="HF108" s="272"/>
      <c r="HG108" s="272"/>
      <c r="HH108" s="272"/>
      <c r="HI108" s="272"/>
      <c r="HJ108" s="272"/>
      <c r="HK108" s="272"/>
      <c r="HL108" s="272"/>
      <c r="HM108" s="272"/>
      <c r="HN108" s="272"/>
      <c r="HO108" s="272"/>
      <c r="HP108" s="272"/>
      <c r="HQ108" s="272"/>
      <c r="HR108" s="272"/>
      <c r="HS108" s="272"/>
      <c r="HT108" s="272"/>
      <c r="HU108" s="272"/>
      <c r="HV108" s="272"/>
      <c r="HW108" s="272"/>
      <c r="HX108" s="272"/>
      <c r="HY108" s="272"/>
      <c r="HZ108" s="272"/>
      <c r="IA108" s="272"/>
      <c r="IB108" s="272"/>
      <c r="IC108" s="272"/>
      <c r="ID108" s="272"/>
      <c r="IE108" s="272"/>
      <c r="IF108" s="272"/>
      <c r="IG108" s="272"/>
      <c r="IH108" s="272"/>
      <c r="II108" s="272"/>
      <c r="IJ108" s="272"/>
      <c r="IK108" s="272"/>
      <c r="IL108" s="272"/>
      <c r="IM108" s="272"/>
      <c r="IN108" s="272"/>
      <c r="IO108" s="272"/>
      <c r="IP108" s="272"/>
      <c r="IQ108" s="272"/>
      <c r="IR108" s="272"/>
      <c r="IS108" s="272"/>
      <c r="IT108" s="272"/>
      <c r="IU108" s="272"/>
      <c r="IV108" s="272"/>
      <c r="IW108" s="272"/>
      <c r="IX108" s="272"/>
      <c r="IY108" s="272"/>
      <c r="IZ108" s="272"/>
      <c r="JA108" s="272"/>
      <c r="JB108" s="272"/>
      <c r="JC108" s="272"/>
      <c r="JD108" s="272"/>
      <c r="JE108" s="272"/>
      <c r="JF108" s="272"/>
      <c r="JG108" s="272"/>
      <c r="JH108" s="272"/>
      <c r="JI108" s="272"/>
      <c r="JJ108" s="272"/>
      <c r="JK108" s="272"/>
      <c r="JL108" s="272"/>
      <c r="JM108" s="272"/>
      <c r="JN108" s="272"/>
      <c r="JO108" s="272"/>
      <c r="JP108" s="272"/>
      <c r="JQ108" s="272"/>
      <c r="JR108" s="272"/>
      <c r="JS108" s="272"/>
      <c r="JT108" s="272"/>
      <c r="JU108" s="272"/>
      <c r="JV108" s="272"/>
      <c r="JW108" s="272"/>
      <c r="JX108" s="272"/>
      <c r="JY108" s="272"/>
      <c r="JZ108" s="272"/>
      <c r="KA108" s="272"/>
      <c r="KB108" s="272"/>
      <c r="KC108" s="272"/>
      <c r="KD108" s="272"/>
      <c r="KE108" s="272"/>
      <c r="KF108" s="272"/>
      <c r="KG108" s="272"/>
      <c r="KH108" s="272"/>
      <c r="KI108" s="272"/>
      <c r="KJ108" s="272"/>
      <c r="KK108" s="272"/>
      <c r="KL108" s="272"/>
      <c r="KM108" s="272"/>
      <c r="KN108" s="272"/>
      <c r="KO108" s="272"/>
      <c r="KP108" s="272"/>
      <c r="KQ108" s="272"/>
      <c r="KR108" s="272"/>
      <c r="KS108" s="272"/>
      <c r="KT108" s="272"/>
      <c r="KU108" s="272"/>
      <c r="KV108" s="272"/>
      <c r="KW108" s="272"/>
      <c r="KX108" s="272"/>
      <c r="KY108" s="272"/>
      <c r="KZ108" s="272"/>
      <c r="LA108" s="272"/>
      <c r="LB108" s="272"/>
      <c r="LC108" s="272"/>
      <c r="LD108" s="272"/>
      <c r="LE108" s="272"/>
      <c r="LF108" s="272"/>
      <c r="LG108" s="272"/>
      <c r="LH108" s="272"/>
      <c r="LI108" s="272"/>
      <c r="LJ108" s="272"/>
      <c r="LK108" s="272"/>
      <c r="LL108" s="272"/>
      <c r="LM108" s="272"/>
      <c r="LN108" s="272"/>
      <c r="LO108" s="272"/>
      <c r="LP108" s="272"/>
      <c r="LQ108" s="272"/>
      <c r="LR108" s="272"/>
      <c r="LS108" s="272"/>
      <c r="LT108" s="272"/>
      <c r="LU108" s="272"/>
      <c r="LV108" s="272"/>
      <c r="LW108" s="272"/>
      <c r="LX108" s="272"/>
      <c r="LY108" s="272"/>
      <c r="LZ108" s="272"/>
      <c r="MA108" s="272"/>
      <c r="MB108" s="272"/>
      <c r="MC108" s="272"/>
      <c r="MD108" s="272"/>
      <c r="ME108" s="272"/>
      <c r="MF108" s="272"/>
      <c r="MG108" s="272"/>
      <c r="MH108" s="272"/>
      <c r="MI108" s="272"/>
      <c r="MJ108" s="272"/>
      <c r="MK108" s="272"/>
      <c r="ML108" s="272"/>
      <c r="MM108" s="272"/>
      <c r="MN108" s="272"/>
      <c r="MO108" s="272"/>
      <c r="MP108" s="272"/>
      <c r="MQ108" s="272"/>
      <c r="MR108" s="272"/>
      <c r="MS108" s="272"/>
      <c r="MT108" s="272"/>
      <c r="MU108" s="272"/>
      <c r="MV108" s="272"/>
      <c r="MW108" s="272"/>
      <c r="MX108" s="272"/>
      <c r="MY108" s="272"/>
      <c r="MZ108" s="272"/>
      <c r="NA108" s="272"/>
      <c r="NB108" s="272"/>
      <c r="NC108" s="272"/>
      <c r="ND108" s="272"/>
      <c r="NE108" s="272"/>
      <c r="NF108" s="272"/>
      <c r="NG108" s="272"/>
      <c r="NH108" s="272"/>
      <c r="NI108" s="272"/>
      <c r="NJ108" s="272"/>
      <c r="NK108" s="272"/>
      <c r="NL108" s="272"/>
      <c r="NM108" s="272"/>
      <c r="NN108" s="272"/>
      <c r="NO108" s="272"/>
      <c r="NP108" s="272"/>
      <c r="NQ108" s="272"/>
      <c r="NR108" s="272"/>
      <c r="NS108" s="272"/>
      <c r="NT108" s="272"/>
      <c r="NU108" s="272"/>
      <c r="NV108" s="272"/>
      <c r="NW108" s="272"/>
      <c r="NX108" s="272"/>
      <c r="NY108" s="272"/>
      <c r="NZ108" s="272"/>
      <c r="OA108" s="272"/>
      <c r="OB108" s="272"/>
      <c r="OC108" s="272"/>
      <c r="OD108" s="272"/>
      <c r="OE108" s="272"/>
      <c r="OF108" s="272"/>
      <c r="OG108" s="272"/>
      <c r="OH108" s="272"/>
      <c r="OI108" s="272"/>
      <c r="OJ108" s="272"/>
      <c r="OK108" s="272"/>
      <c r="OL108" s="272"/>
      <c r="OM108" s="272"/>
      <c r="ON108" s="272"/>
      <c r="OO108" s="272"/>
      <c r="OP108" s="272"/>
      <c r="OQ108" s="272"/>
      <c r="OR108" s="272"/>
      <c r="OS108" s="272"/>
      <c r="OT108" s="272"/>
      <c r="OU108" s="272"/>
      <c r="OV108" s="272"/>
      <c r="OW108" s="272"/>
      <c r="OX108" s="272"/>
      <c r="OY108" s="272"/>
      <c r="OZ108" s="272"/>
      <c r="PA108" s="272"/>
      <c r="PB108" s="272"/>
      <c r="PC108" s="272"/>
      <c r="PD108" s="272"/>
      <c r="PE108" s="272"/>
      <c r="PF108" s="272"/>
      <c r="PG108" s="272"/>
      <c r="PH108" s="272"/>
      <c r="PI108" s="272"/>
      <c r="PJ108" s="272"/>
      <c r="PK108" s="272"/>
      <c r="PL108" s="272"/>
      <c r="PM108" s="272"/>
      <c r="PN108" s="272"/>
      <c r="PO108" s="272"/>
      <c r="PP108" s="272"/>
      <c r="PQ108" s="272"/>
      <c r="PR108" s="272"/>
      <c r="PS108" s="272"/>
      <c r="PT108" s="272"/>
      <c r="PU108" s="272"/>
      <c r="PV108" s="272"/>
      <c r="PW108" s="272"/>
      <c r="PX108" s="272"/>
      <c r="PY108" s="272"/>
      <c r="PZ108" s="272"/>
      <c r="QA108" s="272"/>
      <c r="QB108" s="272"/>
      <c r="QC108" s="272"/>
      <c r="QD108" s="272"/>
      <c r="QE108" s="272"/>
      <c r="QF108" s="272"/>
      <c r="QG108" s="272"/>
      <c r="QH108" s="272"/>
      <c r="QI108" s="272"/>
      <c r="QJ108" s="272"/>
      <c r="QK108" s="272"/>
      <c r="QL108" s="272"/>
      <c r="QM108" s="272"/>
      <c r="QN108" s="272"/>
      <c r="QO108" s="272"/>
      <c r="QP108" s="272"/>
      <c r="QQ108" s="272"/>
      <c r="QR108" s="272"/>
      <c r="QS108" s="272"/>
      <c r="QT108" s="272"/>
      <c r="QU108" s="272"/>
      <c r="QV108" s="272"/>
      <c r="QW108" s="272"/>
      <c r="QX108" s="272"/>
      <c r="QY108" s="272"/>
      <c r="QZ108" s="272"/>
      <c r="RA108" s="272"/>
      <c r="RB108" s="272"/>
      <c r="RC108" s="272"/>
      <c r="RD108" s="272"/>
      <c r="RE108" s="272"/>
      <c r="RF108" s="272"/>
      <c r="RG108" s="272"/>
      <c r="RH108" s="272"/>
      <c r="RI108" s="272"/>
      <c r="RJ108" s="272"/>
      <c r="RK108" s="272"/>
      <c r="RL108" s="272"/>
      <c r="RM108" s="272"/>
      <c r="RN108" s="272"/>
      <c r="RO108" s="272"/>
      <c r="RP108" s="272"/>
      <c r="RQ108" s="272"/>
      <c r="RR108" s="272"/>
      <c r="RS108" s="272"/>
      <c r="RT108" s="272"/>
      <c r="RU108" s="272"/>
      <c r="RV108" s="272"/>
      <c r="RW108" s="272"/>
      <c r="RX108" s="272"/>
      <c r="RY108" s="272"/>
      <c r="RZ108" s="272"/>
      <c r="SA108" s="272"/>
      <c r="SB108" s="272"/>
      <c r="SC108" s="272"/>
      <c r="SD108" s="272"/>
      <c r="SE108" s="272"/>
      <c r="SF108" s="272"/>
      <c r="SG108" s="272"/>
      <c r="SH108" s="272"/>
      <c r="SI108" s="272"/>
      <c r="SJ108" s="272"/>
      <c r="SK108" s="272"/>
      <c r="SL108" s="272"/>
      <c r="SM108" s="272"/>
      <c r="SN108" s="272"/>
      <c r="SO108" s="272"/>
      <c r="SP108" s="272"/>
      <c r="SQ108" s="272"/>
      <c r="SR108" s="272"/>
      <c r="SS108" s="272"/>
      <c r="ST108" s="272"/>
      <c r="SU108" s="272"/>
      <c r="SV108" s="272"/>
      <c r="SW108" s="272"/>
      <c r="SX108" s="272"/>
      <c r="SY108" s="272"/>
      <c r="SZ108" s="272"/>
      <c r="TA108" s="272"/>
      <c r="TB108" s="272"/>
      <c r="TC108" s="272"/>
      <c r="TD108" s="272"/>
      <c r="TE108" s="272"/>
      <c r="TF108" s="272"/>
      <c r="TG108" s="272"/>
      <c r="TH108" s="272"/>
      <c r="TI108" s="272"/>
      <c r="TJ108" s="272"/>
      <c r="TK108" s="272"/>
      <c r="TL108" s="272"/>
      <c r="TM108" s="272"/>
      <c r="TN108" s="272"/>
      <c r="TO108" s="272"/>
      <c r="TP108" s="272"/>
      <c r="TQ108" s="272"/>
      <c r="TR108" s="272"/>
      <c r="TS108" s="272"/>
      <c r="TT108" s="272"/>
      <c r="TU108" s="272"/>
      <c r="TV108" s="272"/>
      <c r="TW108" s="272"/>
      <c r="TX108" s="272"/>
      <c r="TY108" s="272"/>
      <c r="TZ108" s="272"/>
      <c r="UA108" s="272"/>
      <c r="UB108" s="272"/>
      <c r="UC108" s="272"/>
      <c r="UD108" s="272"/>
      <c r="UE108" s="272"/>
      <c r="UF108" s="272"/>
      <c r="UG108" s="272"/>
      <c r="UH108" s="272"/>
      <c r="UI108" s="272"/>
      <c r="UJ108" s="272"/>
      <c r="UK108" s="272"/>
      <c r="UL108" s="272"/>
      <c r="UM108" s="272"/>
      <c r="UN108" s="272"/>
      <c r="UO108" s="272"/>
      <c r="UP108" s="272"/>
      <c r="UQ108" s="272"/>
      <c r="UR108" s="272"/>
      <c r="US108" s="272"/>
      <c r="UT108" s="272"/>
      <c r="UU108" s="272"/>
      <c r="UV108" s="272"/>
      <c r="UW108" s="272"/>
      <c r="UX108" s="272"/>
      <c r="UY108" s="272"/>
      <c r="UZ108" s="272"/>
      <c r="VA108" s="272"/>
      <c r="VB108" s="272"/>
      <c r="VC108" s="272"/>
      <c r="VD108" s="272"/>
      <c r="VE108" s="272"/>
      <c r="VF108" s="272"/>
      <c r="VG108" s="272"/>
      <c r="VH108" s="272"/>
      <c r="VI108" s="272"/>
      <c r="VJ108" s="272"/>
      <c r="VK108" s="272"/>
      <c r="VL108" s="272"/>
      <c r="VM108" s="272"/>
      <c r="VN108" s="272"/>
      <c r="VO108" s="272"/>
      <c r="VP108" s="272"/>
      <c r="VQ108" s="272"/>
      <c r="VR108" s="272"/>
      <c r="VS108" s="272"/>
      <c r="VT108" s="272"/>
      <c r="VU108" s="272"/>
      <c r="VV108" s="272"/>
      <c r="VW108" s="272"/>
      <c r="VX108" s="272"/>
      <c r="VY108" s="272"/>
      <c r="VZ108" s="272"/>
      <c r="WA108" s="272"/>
      <c r="WB108" s="272"/>
      <c r="WC108" s="272"/>
      <c r="WD108" s="272"/>
      <c r="WE108" s="272"/>
      <c r="WF108" s="272"/>
      <c r="WG108" s="272"/>
      <c r="WH108" s="272"/>
      <c r="WI108" s="272"/>
      <c r="WJ108" s="272"/>
      <c r="WK108" s="272"/>
      <c r="WL108" s="272"/>
      <c r="WM108" s="272"/>
      <c r="WN108" s="272"/>
      <c r="WO108" s="272"/>
      <c r="WP108" s="272"/>
      <c r="WQ108" s="272"/>
      <c r="WR108" s="272"/>
      <c r="WS108" s="272"/>
      <c r="WT108" s="272"/>
      <c r="WU108" s="272"/>
      <c r="WV108" s="272"/>
      <c r="WW108" s="272"/>
      <c r="WX108" s="272"/>
      <c r="WY108" s="272"/>
      <c r="WZ108" s="272"/>
      <c r="XA108" s="272"/>
      <c r="XB108" s="272"/>
      <c r="XC108" s="272"/>
      <c r="XD108" s="272"/>
      <c r="XE108" s="272"/>
      <c r="XF108" s="272"/>
      <c r="XG108" s="272"/>
      <c r="XH108" s="272"/>
      <c r="XI108" s="272"/>
      <c r="XJ108" s="272"/>
      <c r="XK108" s="272"/>
      <c r="XL108" s="272"/>
      <c r="XM108" s="272"/>
      <c r="XN108" s="272"/>
      <c r="XO108" s="272"/>
      <c r="XP108" s="272"/>
      <c r="XQ108" s="272"/>
      <c r="XR108" s="272"/>
      <c r="XS108" s="272"/>
      <c r="XT108" s="272"/>
      <c r="XU108" s="272"/>
      <c r="XV108" s="272"/>
      <c r="XW108" s="272"/>
      <c r="XX108" s="272"/>
      <c r="XY108" s="272"/>
      <c r="XZ108" s="272"/>
      <c r="YA108" s="272"/>
      <c r="YB108" s="272"/>
      <c r="YC108" s="272"/>
      <c r="YD108" s="272"/>
      <c r="YE108" s="272"/>
      <c r="YF108" s="272"/>
      <c r="YG108" s="272"/>
      <c r="YH108" s="272"/>
      <c r="YI108" s="272"/>
      <c r="YJ108" s="272"/>
      <c r="YK108" s="272"/>
      <c r="YL108" s="272"/>
      <c r="YM108" s="272"/>
      <c r="YN108" s="272"/>
      <c r="YO108" s="272"/>
      <c r="YP108" s="272"/>
      <c r="YQ108" s="272"/>
      <c r="YR108" s="272"/>
      <c r="YS108" s="272"/>
      <c r="YT108" s="272"/>
      <c r="YU108" s="272"/>
      <c r="YV108" s="272"/>
      <c r="YW108" s="272"/>
      <c r="YX108" s="272"/>
      <c r="YY108" s="272"/>
      <c r="YZ108" s="272"/>
      <c r="ZA108" s="272"/>
      <c r="ZB108" s="272"/>
      <c r="ZC108" s="272"/>
      <c r="ZD108" s="272"/>
      <c r="ZE108" s="272"/>
      <c r="ZF108" s="272"/>
      <c r="ZG108" s="272"/>
      <c r="ZH108" s="272"/>
      <c r="ZI108" s="272"/>
      <c r="ZJ108" s="272"/>
      <c r="ZK108" s="272"/>
      <c r="ZL108" s="272"/>
      <c r="ZM108" s="272"/>
      <c r="ZN108" s="272"/>
      <c r="ZO108" s="272"/>
      <c r="ZP108" s="272"/>
      <c r="ZQ108" s="272"/>
      <c r="ZR108" s="272"/>
      <c r="ZS108" s="272"/>
      <c r="ZT108" s="272"/>
      <c r="ZU108" s="272"/>
      <c r="ZV108" s="272"/>
      <c r="ZW108" s="272"/>
      <c r="ZX108" s="272"/>
      <c r="ZY108" s="272"/>
      <c r="ZZ108" s="272"/>
      <c r="AAA108" s="272"/>
      <c r="AAB108" s="272"/>
      <c r="AAC108" s="272"/>
      <c r="AAD108" s="272"/>
      <c r="AAE108" s="272"/>
      <c r="AAF108" s="272"/>
      <c r="AAG108" s="272"/>
      <c r="AAH108" s="272"/>
      <c r="AAI108" s="272"/>
      <c r="AAJ108" s="272"/>
      <c r="AAK108" s="272"/>
      <c r="AAL108" s="272"/>
      <c r="AAM108" s="272"/>
      <c r="AAN108" s="272"/>
      <c r="AAO108" s="272"/>
      <c r="AAP108" s="272"/>
      <c r="AAQ108" s="272"/>
      <c r="AAR108" s="272"/>
      <c r="AAS108" s="272"/>
      <c r="AAT108" s="272"/>
      <c r="AAU108" s="272"/>
      <c r="AAV108" s="272"/>
      <c r="AAW108" s="272"/>
      <c r="AAX108" s="272"/>
      <c r="AAY108" s="272"/>
      <c r="AAZ108" s="272"/>
      <c r="ABA108" s="272"/>
      <c r="ABB108" s="272"/>
      <c r="ABC108" s="272"/>
      <c r="ABD108" s="272"/>
      <c r="ABE108" s="272"/>
      <c r="ABF108" s="272"/>
      <c r="ABG108" s="272"/>
    </row>
    <row r="109" spans="1:735" s="62" customFormat="1" ht="13.5" thickBot="1">
      <c r="A109" s="48"/>
      <c r="B109" s="75"/>
      <c r="C109" s="32" t="s">
        <v>54</v>
      </c>
      <c r="D109" s="513"/>
      <c r="E109" s="514"/>
      <c r="F109" s="515"/>
      <c r="G109" s="516"/>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272"/>
      <c r="BL109" s="272"/>
      <c r="BM109" s="272"/>
      <c r="BN109" s="272"/>
      <c r="BO109" s="272"/>
      <c r="BP109" s="272"/>
      <c r="BQ109" s="272"/>
      <c r="BR109" s="272"/>
      <c r="BS109" s="272"/>
      <c r="BT109" s="272"/>
      <c r="BU109" s="272"/>
      <c r="BV109" s="272"/>
      <c r="BW109" s="272"/>
      <c r="BX109" s="272"/>
      <c r="BY109" s="272"/>
      <c r="BZ109" s="272"/>
      <c r="CA109" s="272"/>
      <c r="CB109" s="272"/>
      <c r="CC109" s="272"/>
      <c r="CD109" s="272"/>
      <c r="CE109" s="272"/>
      <c r="CF109" s="272"/>
      <c r="CG109" s="272"/>
      <c r="CH109" s="272"/>
      <c r="CI109" s="272"/>
      <c r="CJ109" s="272"/>
      <c r="CK109" s="272"/>
      <c r="CL109" s="272"/>
      <c r="CM109" s="272"/>
      <c r="CN109" s="272"/>
      <c r="CO109" s="272"/>
      <c r="CP109" s="272"/>
      <c r="CQ109" s="272"/>
      <c r="CR109" s="272"/>
      <c r="CS109" s="272"/>
      <c r="CT109" s="272"/>
      <c r="CU109" s="272"/>
      <c r="CV109" s="272"/>
      <c r="CW109" s="272"/>
      <c r="CX109" s="272"/>
      <c r="CY109" s="272"/>
      <c r="CZ109" s="272"/>
      <c r="DA109" s="272"/>
      <c r="DB109" s="272"/>
      <c r="DC109" s="272"/>
      <c r="DD109" s="272"/>
      <c r="DE109" s="272"/>
      <c r="DF109" s="272"/>
      <c r="DG109" s="272"/>
      <c r="DH109" s="272"/>
      <c r="DI109" s="272"/>
      <c r="DJ109" s="272"/>
      <c r="DK109" s="272"/>
      <c r="DL109" s="272"/>
      <c r="DM109" s="272"/>
      <c r="DN109" s="272"/>
      <c r="DO109" s="272"/>
      <c r="DP109" s="272"/>
      <c r="DQ109" s="272"/>
      <c r="DR109" s="272"/>
      <c r="DS109" s="272"/>
      <c r="DT109" s="272"/>
      <c r="DU109" s="272"/>
      <c r="DV109" s="272"/>
      <c r="DW109" s="272"/>
      <c r="DX109" s="272"/>
      <c r="DY109" s="272"/>
      <c r="DZ109" s="272"/>
      <c r="EA109" s="272"/>
      <c r="EB109" s="272"/>
      <c r="EC109" s="272"/>
      <c r="ED109" s="272"/>
      <c r="EE109" s="272"/>
      <c r="EF109" s="272"/>
      <c r="EG109" s="272"/>
      <c r="EH109" s="272"/>
      <c r="EI109" s="272"/>
      <c r="EJ109" s="272"/>
      <c r="EK109" s="272"/>
      <c r="EL109" s="272"/>
      <c r="EM109" s="272"/>
      <c r="EN109" s="272"/>
      <c r="EO109" s="272"/>
      <c r="EP109" s="272"/>
      <c r="EQ109" s="272"/>
      <c r="ER109" s="272"/>
      <c r="ES109" s="272"/>
      <c r="ET109" s="272"/>
      <c r="EU109" s="272"/>
      <c r="EV109" s="272"/>
      <c r="EW109" s="272"/>
      <c r="EX109" s="272"/>
      <c r="EY109" s="272"/>
      <c r="EZ109" s="272"/>
      <c r="FA109" s="272"/>
      <c r="FB109" s="272"/>
      <c r="FC109" s="272"/>
      <c r="FD109" s="272"/>
      <c r="FE109" s="272"/>
      <c r="FF109" s="272"/>
      <c r="FG109" s="272"/>
      <c r="FH109" s="272"/>
      <c r="FI109" s="272"/>
      <c r="FJ109" s="272"/>
      <c r="FK109" s="272"/>
      <c r="FL109" s="272"/>
      <c r="FM109" s="272"/>
      <c r="FN109" s="272"/>
      <c r="FO109" s="272"/>
      <c r="FP109" s="272"/>
      <c r="FQ109" s="272"/>
      <c r="FR109" s="272"/>
      <c r="FS109" s="272"/>
      <c r="FT109" s="272"/>
      <c r="FU109" s="272"/>
      <c r="FV109" s="272"/>
      <c r="FW109" s="272"/>
      <c r="FX109" s="272"/>
      <c r="FY109" s="272"/>
      <c r="FZ109" s="272"/>
      <c r="GA109" s="272"/>
      <c r="GB109" s="272"/>
      <c r="GC109" s="272"/>
      <c r="GD109" s="272"/>
      <c r="GE109" s="272"/>
      <c r="GF109" s="272"/>
      <c r="GG109" s="272"/>
      <c r="GH109" s="272"/>
      <c r="GI109" s="272"/>
      <c r="GJ109" s="272"/>
      <c r="GK109" s="272"/>
      <c r="GL109" s="272"/>
      <c r="GM109" s="272"/>
      <c r="GN109" s="272"/>
      <c r="GO109" s="272"/>
      <c r="GP109" s="272"/>
      <c r="GQ109" s="272"/>
      <c r="GR109" s="272"/>
      <c r="GS109" s="272"/>
      <c r="GT109" s="272"/>
      <c r="GU109" s="272"/>
      <c r="GV109" s="272"/>
      <c r="GW109" s="272"/>
      <c r="GX109" s="272"/>
      <c r="GY109" s="272"/>
      <c r="GZ109" s="272"/>
      <c r="HA109" s="272"/>
      <c r="HB109" s="272"/>
      <c r="HC109" s="272"/>
      <c r="HD109" s="272"/>
      <c r="HE109" s="272"/>
      <c r="HF109" s="272"/>
      <c r="HG109" s="272"/>
      <c r="HH109" s="272"/>
      <c r="HI109" s="272"/>
      <c r="HJ109" s="272"/>
      <c r="HK109" s="272"/>
      <c r="HL109" s="272"/>
      <c r="HM109" s="272"/>
      <c r="HN109" s="272"/>
      <c r="HO109" s="272"/>
      <c r="HP109" s="272"/>
      <c r="HQ109" s="272"/>
      <c r="HR109" s="272"/>
      <c r="HS109" s="272"/>
      <c r="HT109" s="272"/>
      <c r="HU109" s="272"/>
      <c r="HV109" s="272"/>
      <c r="HW109" s="272"/>
      <c r="HX109" s="272"/>
      <c r="HY109" s="272"/>
      <c r="HZ109" s="272"/>
      <c r="IA109" s="272"/>
      <c r="IB109" s="272"/>
      <c r="IC109" s="272"/>
      <c r="ID109" s="272"/>
      <c r="IE109" s="272"/>
      <c r="IF109" s="272"/>
      <c r="IG109" s="272"/>
      <c r="IH109" s="272"/>
      <c r="II109" s="272"/>
      <c r="IJ109" s="272"/>
      <c r="IK109" s="272"/>
      <c r="IL109" s="272"/>
      <c r="IM109" s="272"/>
      <c r="IN109" s="272"/>
      <c r="IO109" s="272"/>
      <c r="IP109" s="272"/>
      <c r="IQ109" s="272"/>
      <c r="IR109" s="272"/>
      <c r="IS109" s="272"/>
      <c r="IT109" s="272"/>
      <c r="IU109" s="272"/>
      <c r="IV109" s="272"/>
      <c r="IW109" s="272"/>
      <c r="IX109" s="272"/>
      <c r="IY109" s="272"/>
      <c r="IZ109" s="272"/>
      <c r="JA109" s="272"/>
      <c r="JB109" s="272"/>
      <c r="JC109" s="272"/>
      <c r="JD109" s="272"/>
      <c r="JE109" s="272"/>
      <c r="JF109" s="272"/>
      <c r="JG109" s="272"/>
      <c r="JH109" s="272"/>
      <c r="JI109" s="272"/>
      <c r="JJ109" s="272"/>
      <c r="JK109" s="272"/>
      <c r="JL109" s="272"/>
      <c r="JM109" s="272"/>
      <c r="JN109" s="272"/>
      <c r="JO109" s="272"/>
      <c r="JP109" s="272"/>
      <c r="JQ109" s="272"/>
      <c r="JR109" s="272"/>
      <c r="JS109" s="272"/>
      <c r="JT109" s="272"/>
      <c r="JU109" s="272"/>
      <c r="JV109" s="272"/>
      <c r="JW109" s="272"/>
      <c r="JX109" s="272"/>
      <c r="JY109" s="272"/>
      <c r="JZ109" s="272"/>
      <c r="KA109" s="272"/>
      <c r="KB109" s="272"/>
      <c r="KC109" s="272"/>
      <c r="KD109" s="272"/>
      <c r="KE109" s="272"/>
      <c r="KF109" s="272"/>
      <c r="KG109" s="272"/>
      <c r="KH109" s="272"/>
      <c r="KI109" s="272"/>
      <c r="KJ109" s="272"/>
      <c r="KK109" s="272"/>
      <c r="KL109" s="272"/>
      <c r="KM109" s="272"/>
      <c r="KN109" s="272"/>
      <c r="KO109" s="272"/>
      <c r="KP109" s="272"/>
      <c r="KQ109" s="272"/>
      <c r="KR109" s="272"/>
      <c r="KS109" s="272"/>
      <c r="KT109" s="272"/>
      <c r="KU109" s="272"/>
      <c r="KV109" s="272"/>
      <c r="KW109" s="272"/>
      <c r="KX109" s="272"/>
      <c r="KY109" s="272"/>
      <c r="KZ109" s="272"/>
      <c r="LA109" s="272"/>
      <c r="LB109" s="272"/>
      <c r="LC109" s="272"/>
      <c r="LD109" s="272"/>
      <c r="LE109" s="272"/>
      <c r="LF109" s="272"/>
      <c r="LG109" s="272"/>
      <c r="LH109" s="272"/>
      <c r="LI109" s="272"/>
      <c r="LJ109" s="272"/>
      <c r="LK109" s="272"/>
      <c r="LL109" s="272"/>
      <c r="LM109" s="272"/>
      <c r="LN109" s="272"/>
      <c r="LO109" s="272"/>
      <c r="LP109" s="272"/>
      <c r="LQ109" s="272"/>
      <c r="LR109" s="272"/>
      <c r="LS109" s="272"/>
      <c r="LT109" s="272"/>
      <c r="LU109" s="272"/>
      <c r="LV109" s="272"/>
      <c r="LW109" s="272"/>
      <c r="LX109" s="272"/>
      <c r="LY109" s="272"/>
      <c r="LZ109" s="272"/>
      <c r="MA109" s="272"/>
      <c r="MB109" s="272"/>
      <c r="MC109" s="272"/>
      <c r="MD109" s="272"/>
      <c r="ME109" s="272"/>
      <c r="MF109" s="272"/>
      <c r="MG109" s="272"/>
      <c r="MH109" s="272"/>
      <c r="MI109" s="272"/>
      <c r="MJ109" s="272"/>
      <c r="MK109" s="272"/>
      <c r="ML109" s="272"/>
      <c r="MM109" s="272"/>
      <c r="MN109" s="272"/>
      <c r="MO109" s="272"/>
      <c r="MP109" s="272"/>
      <c r="MQ109" s="272"/>
      <c r="MR109" s="272"/>
      <c r="MS109" s="272"/>
      <c r="MT109" s="272"/>
      <c r="MU109" s="272"/>
      <c r="MV109" s="272"/>
      <c r="MW109" s="272"/>
      <c r="MX109" s="272"/>
      <c r="MY109" s="272"/>
      <c r="MZ109" s="272"/>
      <c r="NA109" s="272"/>
      <c r="NB109" s="272"/>
      <c r="NC109" s="272"/>
      <c r="ND109" s="272"/>
      <c r="NE109" s="272"/>
      <c r="NF109" s="272"/>
      <c r="NG109" s="272"/>
      <c r="NH109" s="272"/>
      <c r="NI109" s="272"/>
      <c r="NJ109" s="272"/>
      <c r="NK109" s="272"/>
      <c r="NL109" s="272"/>
      <c r="NM109" s="272"/>
      <c r="NN109" s="272"/>
      <c r="NO109" s="272"/>
      <c r="NP109" s="272"/>
      <c r="NQ109" s="272"/>
      <c r="NR109" s="272"/>
      <c r="NS109" s="272"/>
      <c r="NT109" s="272"/>
      <c r="NU109" s="272"/>
      <c r="NV109" s="272"/>
      <c r="NW109" s="272"/>
      <c r="NX109" s="272"/>
      <c r="NY109" s="272"/>
      <c r="NZ109" s="272"/>
      <c r="OA109" s="272"/>
      <c r="OB109" s="272"/>
      <c r="OC109" s="272"/>
      <c r="OD109" s="272"/>
      <c r="OE109" s="272"/>
      <c r="OF109" s="272"/>
      <c r="OG109" s="272"/>
      <c r="OH109" s="272"/>
      <c r="OI109" s="272"/>
      <c r="OJ109" s="272"/>
      <c r="OK109" s="272"/>
      <c r="OL109" s="272"/>
      <c r="OM109" s="272"/>
      <c r="ON109" s="272"/>
      <c r="OO109" s="272"/>
      <c r="OP109" s="272"/>
      <c r="OQ109" s="272"/>
      <c r="OR109" s="272"/>
      <c r="OS109" s="272"/>
      <c r="OT109" s="272"/>
      <c r="OU109" s="272"/>
      <c r="OV109" s="272"/>
      <c r="OW109" s="272"/>
      <c r="OX109" s="272"/>
      <c r="OY109" s="272"/>
      <c r="OZ109" s="272"/>
      <c r="PA109" s="272"/>
      <c r="PB109" s="272"/>
      <c r="PC109" s="272"/>
      <c r="PD109" s="272"/>
      <c r="PE109" s="272"/>
      <c r="PF109" s="272"/>
      <c r="PG109" s="272"/>
      <c r="PH109" s="272"/>
      <c r="PI109" s="272"/>
      <c r="PJ109" s="272"/>
      <c r="PK109" s="272"/>
      <c r="PL109" s="272"/>
      <c r="PM109" s="272"/>
      <c r="PN109" s="272"/>
      <c r="PO109" s="272"/>
      <c r="PP109" s="272"/>
      <c r="PQ109" s="272"/>
      <c r="PR109" s="272"/>
      <c r="PS109" s="272"/>
      <c r="PT109" s="272"/>
      <c r="PU109" s="272"/>
      <c r="PV109" s="272"/>
      <c r="PW109" s="272"/>
      <c r="PX109" s="272"/>
      <c r="PY109" s="272"/>
      <c r="PZ109" s="272"/>
      <c r="QA109" s="272"/>
      <c r="QB109" s="272"/>
      <c r="QC109" s="272"/>
      <c r="QD109" s="272"/>
      <c r="QE109" s="272"/>
      <c r="QF109" s="272"/>
      <c r="QG109" s="272"/>
      <c r="QH109" s="272"/>
      <c r="QI109" s="272"/>
      <c r="QJ109" s="272"/>
      <c r="QK109" s="272"/>
      <c r="QL109" s="272"/>
      <c r="QM109" s="272"/>
      <c r="QN109" s="272"/>
      <c r="QO109" s="272"/>
      <c r="QP109" s="272"/>
      <c r="QQ109" s="272"/>
      <c r="QR109" s="272"/>
      <c r="QS109" s="272"/>
      <c r="QT109" s="272"/>
      <c r="QU109" s="272"/>
      <c r="QV109" s="272"/>
      <c r="QW109" s="272"/>
      <c r="QX109" s="272"/>
      <c r="QY109" s="272"/>
      <c r="QZ109" s="272"/>
      <c r="RA109" s="272"/>
      <c r="RB109" s="272"/>
      <c r="RC109" s="272"/>
      <c r="RD109" s="272"/>
      <c r="RE109" s="272"/>
      <c r="RF109" s="272"/>
      <c r="RG109" s="272"/>
      <c r="RH109" s="272"/>
      <c r="RI109" s="272"/>
      <c r="RJ109" s="272"/>
      <c r="RK109" s="272"/>
      <c r="RL109" s="272"/>
      <c r="RM109" s="272"/>
      <c r="RN109" s="272"/>
      <c r="RO109" s="272"/>
      <c r="RP109" s="272"/>
      <c r="RQ109" s="272"/>
      <c r="RR109" s="272"/>
      <c r="RS109" s="272"/>
      <c r="RT109" s="272"/>
      <c r="RU109" s="272"/>
      <c r="RV109" s="272"/>
      <c r="RW109" s="272"/>
      <c r="RX109" s="272"/>
      <c r="RY109" s="272"/>
      <c r="RZ109" s="272"/>
      <c r="SA109" s="272"/>
      <c r="SB109" s="272"/>
      <c r="SC109" s="272"/>
      <c r="SD109" s="272"/>
      <c r="SE109" s="272"/>
      <c r="SF109" s="272"/>
      <c r="SG109" s="272"/>
      <c r="SH109" s="272"/>
      <c r="SI109" s="272"/>
      <c r="SJ109" s="272"/>
      <c r="SK109" s="272"/>
      <c r="SL109" s="272"/>
      <c r="SM109" s="272"/>
      <c r="SN109" s="272"/>
      <c r="SO109" s="272"/>
      <c r="SP109" s="272"/>
      <c r="SQ109" s="272"/>
      <c r="SR109" s="272"/>
      <c r="SS109" s="272"/>
      <c r="ST109" s="272"/>
      <c r="SU109" s="272"/>
      <c r="SV109" s="272"/>
      <c r="SW109" s="272"/>
      <c r="SX109" s="272"/>
      <c r="SY109" s="272"/>
      <c r="SZ109" s="272"/>
      <c r="TA109" s="272"/>
      <c r="TB109" s="272"/>
      <c r="TC109" s="272"/>
      <c r="TD109" s="272"/>
      <c r="TE109" s="272"/>
      <c r="TF109" s="272"/>
      <c r="TG109" s="272"/>
      <c r="TH109" s="272"/>
      <c r="TI109" s="272"/>
      <c r="TJ109" s="272"/>
      <c r="TK109" s="272"/>
      <c r="TL109" s="272"/>
      <c r="TM109" s="272"/>
      <c r="TN109" s="272"/>
      <c r="TO109" s="272"/>
      <c r="TP109" s="272"/>
      <c r="TQ109" s="272"/>
      <c r="TR109" s="272"/>
      <c r="TS109" s="272"/>
      <c r="TT109" s="272"/>
      <c r="TU109" s="272"/>
      <c r="TV109" s="272"/>
      <c r="TW109" s="272"/>
      <c r="TX109" s="272"/>
      <c r="TY109" s="272"/>
      <c r="TZ109" s="272"/>
      <c r="UA109" s="272"/>
      <c r="UB109" s="272"/>
      <c r="UC109" s="272"/>
      <c r="UD109" s="272"/>
      <c r="UE109" s="272"/>
      <c r="UF109" s="272"/>
      <c r="UG109" s="272"/>
      <c r="UH109" s="272"/>
      <c r="UI109" s="272"/>
      <c r="UJ109" s="272"/>
      <c r="UK109" s="272"/>
      <c r="UL109" s="272"/>
      <c r="UM109" s="272"/>
      <c r="UN109" s="272"/>
      <c r="UO109" s="272"/>
      <c r="UP109" s="272"/>
      <c r="UQ109" s="272"/>
      <c r="UR109" s="272"/>
      <c r="US109" s="272"/>
      <c r="UT109" s="272"/>
      <c r="UU109" s="272"/>
      <c r="UV109" s="272"/>
      <c r="UW109" s="272"/>
      <c r="UX109" s="272"/>
      <c r="UY109" s="272"/>
      <c r="UZ109" s="272"/>
      <c r="VA109" s="272"/>
      <c r="VB109" s="272"/>
      <c r="VC109" s="272"/>
      <c r="VD109" s="272"/>
      <c r="VE109" s="272"/>
      <c r="VF109" s="272"/>
      <c r="VG109" s="272"/>
      <c r="VH109" s="272"/>
      <c r="VI109" s="272"/>
      <c r="VJ109" s="272"/>
      <c r="VK109" s="272"/>
      <c r="VL109" s="272"/>
      <c r="VM109" s="272"/>
      <c r="VN109" s="272"/>
      <c r="VO109" s="272"/>
      <c r="VP109" s="272"/>
      <c r="VQ109" s="272"/>
      <c r="VR109" s="272"/>
      <c r="VS109" s="272"/>
      <c r="VT109" s="272"/>
      <c r="VU109" s="272"/>
      <c r="VV109" s="272"/>
      <c r="VW109" s="272"/>
      <c r="VX109" s="272"/>
      <c r="VY109" s="272"/>
      <c r="VZ109" s="272"/>
      <c r="WA109" s="272"/>
      <c r="WB109" s="272"/>
      <c r="WC109" s="272"/>
      <c r="WD109" s="272"/>
      <c r="WE109" s="272"/>
      <c r="WF109" s="272"/>
      <c r="WG109" s="272"/>
      <c r="WH109" s="272"/>
      <c r="WI109" s="272"/>
      <c r="WJ109" s="272"/>
      <c r="WK109" s="272"/>
      <c r="WL109" s="272"/>
      <c r="WM109" s="272"/>
      <c r="WN109" s="272"/>
      <c r="WO109" s="272"/>
      <c r="WP109" s="272"/>
      <c r="WQ109" s="272"/>
      <c r="WR109" s="272"/>
      <c r="WS109" s="272"/>
      <c r="WT109" s="272"/>
      <c r="WU109" s="272"/>
      <c r="WV109" s="272"/>
      <c r="WW109" s="272"/>
      <c r="WX109" s="272"/>
      <c r="WY109" s="272"/>
      <c r="WZ109" s="272"/>
      <c r="XA109" s="272"/>
      <c r="XB109" s="272"/>
      <c r="XC109" s="272"/>
      <c r="XD109" s="272"/>
      <c r="XE109" s="272"/>
      <c r="XF109" s="272"/>
      <c r="XG109" s="272"/>
      <c r="XH109" s="272"/>
      <c r="XI109" s="272"/>
      <c r="XJ109" s="272"/>
      <c r="XK109" s="272"/>
      <c r="XL109" s="272"/>
      <c r="XM109" s="272"/>
      <c r="XN109" s="272"/>
      <c r="XO109" s="272"/>
      <c r="XP109" s="272"/>
      <c r="XQ109" s="272"/>
      <c r="XR109" s="272"/>
      <c r="XS109" s="272"/>
      <c r="XT109" s="272"/>
      <c r="XU109" s="272"/>
      <c r="XV109" s="272"/>
      <c r="XW109" s="272"/>
      <c r="XX109" s="272"/>
      <c r="XY109" s="272"/>
      <c r="XZ109" s="272"/>
      <c r="YA109" s="272"/>
      <c r="YB109" s="272"/>
      <c r="YC109" s="272"/>
      <c r="YD109" s="272"/>
      <c r="YE109" s="272"/>
      <c r="YF109" s="272"/>
      <c r="YG109" s="272"/>
      <c r="YH109" s="272"/>
      <c r="YI109" s="272"/>
      <c r="YJ109" s="272"/>
      <c r="YK109" s="272"/>
      <c r="YL109" s="272"/>
      <c r="YM109" s="272"/>
      <c r="YN109" s="272"/>
      <c r="YO109" s="272"/>
      <c r="YP109" s="272"/>
      <c r="YQ109" s="272"/>
      <c r="YR109" s="272"/>
      <c r="YS109" s="272"/>
      <c r="YT109" s="272"/>
      <c r="YU109" s="272"/>
      <c r="YV109" s="272"/>
      <c r="YW109" s="272"/>
      <c r="YX109" s="272"/>
      <c r="YY109" s="272"/>
      <c r="YZ109" s="272"/>
      <c r="ZA109" s="272"/>
      <c r="ZB109" s="272"/>
      <c r="ZC109" s="272"/>
      <c r="ZD109" s="272"/>
      <c r="ZE109" s="272"/>
      <c r="ZF109" s="272"/>
      <c r="ZG109" s="272"/>
      <c r="ZH109" s="272"/>
      <c r="ZI109" s="272"/>
      <c r="ZJ109" s="272"/>
      <c r="ZK109" s="272"/>
      <c r="ZL109" s="272"/>
      <c r="ZM109" s="272"/>
      <c r="ZN109" s="272"/>
      <c r="ZO109" s="272"/>
      <c r="ZP109" s="272"/>
      <c r="ZQ109" s="272"/>
      <c r="ZR109" s="272"/>
      <c r="ZS109" s="272"/>
      <c r="ZT109" s="272"/>
      <c r="ZU109" s="272"/>
      <c r="ZV109" s="272"/>
      <c r="ZW109" s="272"/>
      <c r="ZX109" s="272"/>
      <c r="ZY109" s="272"/>
      <c r="ZZ109" s="272"/>
      <c r="AAA109" s="272"/>
      <c r="AAB109" s="272"/>
      <c r="AAC109" s="272"/>
      <c r="AAD109" s="272"/>
      <c r="AAE109" s="272"/>
      <c r="AAF109" s="272"/>
      <c r="AAG109" s="272"/>
      <c r="AAH109" s="272"/>
      <c r="AAI109" s="272"/>
      <c r="AAJ109" s="272"/>
      <c r="AAK109" s="272"/>
      <c r="AAL109" s="272"/>
      <c r="AAM109" s="272"/>
      <c r="AAN109" s="272"/>
      <c r="AAO109" s="272"/>
      <c r="AAP109" s="272"/>
      <c r="AAQ109" s="272"/>
      <c r="AAR109" s="272"/>
      <c r="AAS109" s="272"/>
      <c r="AAT109" s="272"/>
      <c r="AAU109" s="272"/>
      <c r="AAV109" s="272"/>
      <c r="AAW109" s="272"/>
      <c r="AAX109" s="272"/>
      <c r="AAY109" s="272"/>
      <c r="AAZ109" s="272"/>
      <c r="ABA109" s="272"/>
      <c r="ABB109" s="272"/>
      <c r="ABC109" s="272"/>
      <c r="ABD109" s="272"/>
      <c r="ABE109" s="272"/>
      <c r="ABF109" s="272"/>
      <c r="ABG109" s="272"/>
    </row>
    <row r="110" spans="1:735" s="61" customFormat="1" ht="25.5">
      <c r="A110" s="67" t="s">
        <v>35</v>
      </c>
      <c r="B110" s="68" t="s">
        <v>36</v>
      </c>
      <c r="C110" s="30" t="s">
        <v>52</v>
      </c>
      <c r="D110" s="501"/>
      <c r="E110" s="502"/>
      <c r="F110" s="503"/>
      <c r="G110" s="504"/>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c r="AZ110" s="272"/>
      <c r="BA110" s="272"/>
      <c r="BB110" s="272"/>
      <c r="BC110" s="272"/>
      <c r="BD110" s="272"/>
      <c r="BE110" s="272"/>
      <c r="BF110" s="272"/>
      <c r="BG110" s="272"/>
      <c r="BH110" s="272"/>
      <c r="BI110" s="272"/>
      <c r="BJ110" s="272"/>
      <c r="BK110" s="272"/>
      <c r="BL110" s="272"/>
      <c r="BM110" s="272"/>
      <c r="BN110" s="272"/>
      <c r="BO110" s="272"/>
      <c r="BP110" s="272"/>
      <c r="BQ110" s="272"/>
      <c r="BR110" s="272"/>
      <c r="BS110" s="272"/>
      <c r="BT110" s="272"/>
      <c r="BU110" s="272"/>
      <c r="BV110" s="272"/>
      <c r="BW110" s="272"/>
      <c r="BX110" s="272"/>
      <c r="BY110" s="272"/>
      <c r="BZ110" s="272"/>
      <c r="CA110" s="272"/>
      <c r="CB110" s="272"/>
      <c r="CC110" s="272"/>
      <c r="CD110" s="272"/>
      <c r="CE110" s="272"/>
      <c r="CF110" s="272"/>
      <c r="CG110" s="272"/>
      <c r="CH110" s="272"/>
      <c r="CI110" s="272"/>
      <c r="CJ110" s="272"/>
      <c r="CK110" s="272"/>
      <c r="CL110" s="272"/>
      <c r="CM110" s="272"/>
      <c r="CN110" s="272"/>
      <c r="CO110" s="272"/>
      <c r="CP110" s="272"/>
      <c r="CQ110" s="272"/>
      <c r="CR110" s="272"/>
      <c r="CS110" s="272"/>
      <c r="CT110" s="272"/>
      <c r="CU110" s="272"/>
      <c r="CV110" s="272"/>
      <c r="CW110" s="272"/>
      <c r="CX110" s="272"/>
      <c r="CY110" s="272"/>
      <c r="CZ110" s="272"/>
      <c r="DA110" s="272"/>
      <c r="DB110" s="272"/>
      <c r="DC110" s="272"/>
      <c r="DD110" s="272"/>
      <c r="DE110" s="272"/>
      <c r="DF110" s="272"/>
      <c r="DG110" s="272"/>
      <c r="DH110" s="272"/>
      <c r="DI110" s="272"/>
      <c r="DJ110" s="272"/>
      <c r="DK110" s="272"/>
      <c r="DL110" s="272"/>
      <c r="DM110" s="272"/>
      <c r="DN110" s="272"/>
      <c r="DO110" s="272"/>
      <c r="DP110" s="272"/>
      <c r="DQ110" s="272"/>
      <c r="DR110" s="272"/>
      <c r="DS110" s="272"/>
      <c r="DT110" s="272"/>
      <c r="DU110" s="272"/>
      <c r="DV110" s="272"/>
      <c r="DW110" s="272"/>
      <c r="DX110" s="272"/>
      <c r="DY110" s="272"/>
      <c r="DZ110" s="272"/>
      <c r="EA110" s="272"/>
      <c r="EB110" s="272"/>
      <c r="EC110" s="272"/>
      <c r="ED110" s="272"/>
      <c r="EE110" s="272"/>
      <c r="EF110" s="272"/>
      <c r="EG110" s="272"/>
      <c r="EH110" s="272"/>
      <c r="EI110" s="272"/>
      <c r="EJ110" s="272"/>
      <c r="EK110" s="272"/>
      <c r="EL110" s="272"/>
      <c r="EM110" s="272"/>
      <c r="EN110" s="272"/>
      <c r="EO110" s="272"/>
      <c r="EP110" s="272"/>
      <c r="EQ110" s="272"/>
      <c r="ER110" s="272"/>
      <c r="ES110" s="272"/>
      <c r="ET110" s="272"/>
      <c r="EU110" s="272"/>
      <c r="EV110" s="272"/>
      <c r="EW110" s="272"/>
      <c r="EX110" s="272"/>
      <c r="EY110" s="272"/>
      <c r="EZ110" s="272"/>
      <c r="FA110" s="272"/>
      <c r="FB110" s="272"/>
      <c r="FC110" s="272"/>
      <c r="FD110" s="272"/>
      <c r="FE110" s="272"/>
      <c r="FF110" s="272"/>
      <c r="FG110" s="272"/>
      <c r="FH110" s="272"/>
      <c r="FI110" s="272"/>
      <c r="FJ110" s="272"/>
      <c r="FK110" s="272"/>
      <c r="FL110" s="272"/>
      <c r="FM110" s="272"/>
      <c r="FN110" s="272"/>
      <c r="FO110" s="272"/>
      <c r="FP110" s="272"/>
      <c r="FQ110" s="272"/>
      <c r="FR110" s="272"/>
      <c r="FS110" s="272"/>
      <c r="FT110" s="272"/>
      <c r="FU110" s="272"/>
      <c r="FV110" s="272"/>
      <c r="FW110" s="272"/>
      <c r="FX110" s="272"/>
      <c r="FY110" s="272"/>
      <c r="FZ110" s="272"/>
      <c r="GA110" s="272"/>
      <c r="GB110" s="272"/>
      <c r="GC110" s="272"/>
      <c r="GD110" s="272"/>
      <c r="GE110" s="272"/>
      <c r="GF110" s="272"/>
      <c r="GG110" s="272"/>
      <c r="GH110" s="272"/>
      <c r="GI110" s="272"/>
      <c r="GJ110" s="272"/>
      <c r="GK110" s="272"/>
      <c r="GL110" s="272"/>
      <c r="GM110" s="272"/>
      <c r="GN110" s="272"/>
      <c r="GO110" s="272"/>
      <c r="GP110" s="272"/>
      <c r="GQ110" s="272"/>
      <c r="GR110" s="272"/>
      <c r="GS110" s="272"/>
      <c r="GT110" s="272"/>
      <c r="GU110" s="272"/>
      <c r="GV110" s="272"/>
      <c r="GW110" s="272"/>
      <c r="GX110" s="272"/>
      <c r="GY110" s="272"/>
      <c r="GZ110" s="272"/>
      <c r="HA110" s="272"/>
      <c r="HB110" s="272"/>
      <c r="HC110" s="272"/>
      <c r="HD110" s="272"/>
      <c r="HE110" s="272"/>
      <c r="HF110" s="272"/>
      <c r="HG110" s="272"/>
      <c r="HH110" s="272"/>
      <c r="HI110" s="272"/>
      <c r="HJ110" s="272"/>
      <c r="HK110" s="272"/>
      <c r="HL110" s="272"/>
      <c r="HM110" s="272"/>
      <c r="HN110" s="272"/>
      <c r="HO110" s="272"/>
      <c r="HP110" s="272"/>
      <c r="HQ110" s="272"/>
      <c r="HR110" s="272"/>
      <c r="HS110" s="272"/>
      <c r="HT110" s="272"/>
      <c r="HU110" s="272"/>
      <c r="HV110" s="272"/>
      <c r="HW110" s="272"/>
      <c r="HX110" s="272"/>
      <c r="HY110" s="272"/>
      <c r="HZ110" s="272"/>
      <c r="IA110" s="272"/>
      <c r="IB110" s="272"/>
      <c r="IC110" s="272"/>
      <c r="ID110" s="272"/>
      <c r="IE110" s="272"/>
      <c r="IF110" s="272"/>
      <c r="IG110" s="272"/>
      <c r="IH110" s="272"/>
      <c r="II110" s="272"/>
      <c r="IJ110" s="272"/>
      <c r="IK110" s="272"/>
      <c r="IL110" s="272"/>
      <c r="IM110" s="272"/>
      <c r="IN110" s="272"/>
      <c r="IO110" s="272"/>
      <c r="IP110" s="272"/>
      <c r="IQ110" s="272"/>
      <c r="IR110" s="272"/>
      <c r="IS110" s="272"/>
      <c r="IT110" s="272"/>
      <c r="IU110" s="272"/>
      <c r="IV110" s="272"/>
      <c r="IW110" s="272"/>
      <c r="IX110" s="272"/>
      <c r="IY110" s="272"/>
      <c r="IZ110" s="272"/>
      <c r="JA110" s="272"/>
      <c r="JB110" s="272"/>
      <c r="JC110" s="272"/>
      <c r="JD110" s="272"/>
      <c r="JE110" s="272"/>
      <c r="JF110" s="272"/>
      <c r="JG110" s="272"/>
      <c r="JH110" s="272"/>
      <c r="JI110" s="272"/>
      <c r="JJ110" s="272"/>
      <c r="JK110" s="272"/>
      <c r="JL110" s="272"/>
      <c r="JM110" s="272"/>
      <c r="JN110" s="272"/>
      <c r="JO110" s="272"/>
      <c r="JP110" s="272"/>
      <c r="JQ110" s="272"/>
      <c r="JR110" s="272"/>
      <c r="JS110" s="272"/>
      <c r="JT110" s="272"/>
      <c r="JU110" s="272"/>
      <c r="JV110" s="272"/>
      <c r="JW110" s="272"/>
      <c r="JX110" s="272"/>
      <c r="JY110" s="272"/>
      <c r="JZ110" s="272"/>
      <c r="KA110" s="272"/>
      <c r="KB110" s="272"/>
      <c r="KC110" s="272"/>
      <c r="KD110" s="272"/>
      <c r="KE110" s="272"/>
      <c r="KF110" s="272"/>
      <c r="KG110" s="272"/>
      <c r="KH110" s="272"/>
      <c r="KI110" s="272"/>
      <c r="KJ110" s="272"/>
      <c r="KK110" s="272"/>
      <c r="KL110" s="272"/>
      <c r="KM110" s="272"/>
      <c r="KN110" s="272"/>
      <c r="KO110" s="272"/>
      <c r="KP110" s="272"/>
      <c r="KQ110" s="272"/>
      <c r="KR110" s="272"/>
      <c r="KS110" s="272"/>
      <c r="KT110" s="272"/>
      <c r="KU110" s="272"/>
      <c r="KV110" s="272"/>
      <c r="KW110" s="272"/>
      <c r="KX110" s="272"/>
      <c r="KY110" s="272"/>
      <c r="KZ110" s="272"/>
      <c r="LA110" s="272"/>
      <c r="LB110" s="272"/>
      <c r="LC110" s="272"/>
      <c r="LD110" s="272"/>
      <c r="LE110" s="272"/>
      <c r="LF110" s="272"/>
      <c r="LG110" s="272"/>
      <c r="LH110" s="272"/>
      <c r="LI110" s="272"/>
      <c r="LJ110" s="272"/>
      <c r="LK110" s="272"/>
      <c r="LL110" s="272"/>
      <c r="LM110" s="272"/>
      <c r="LN110" s="272"/>
      <c r="LO110" s="272"/>
      <c r="LP110" s="272"/>
      <c r="LQ110" s="272"/>
      <c r="LR110" s="272"/>
      <c r="LS110" s="272"/>
      <c r="LT110" s="272"/>
      <c r="LU110" s="272"/>
      <c r="LV110" s="272"/>
      <c r="LW110" s="272"/>
      <c r="LX110" s="272"/>
      <c r="LY110" s="272"/>
      <c r="LZ110" s="272"/>
      <c r="MA110" s="272"/>
      <c r="MB110" s="272"/>
      <c r="MC110" s="272"/>
      <c r="MD110" s="272"/>
      <c r="ME110" s="272"/>
      <c r="MF110" s="272"/>
      <c r="MG110" s="272"/>
      <c r="MH110" s="272"/>
      <c r="MI110" s="272"/>
      <c r="MJ110" s="272"/>
      <c r="MK110" s="272"/>
      <c r="ML110" s="272"/>
      <c r="MM110" s="272"/>
      <c r="MN110" s="272"/>
      <c r="MO110" s="272"/>
      <c r="MP110" s="272"/>
      <c r="MQ110" s="272"/>
      <c r="MR110" s="272"/>
      <c r="MS110" s="272"/>
      <c r="MT110" s="272"/>
      <c r="MU110" s="272"/>
      <c r="MV110" s="272"/>
      <c r="MW110" s="272"/>
      <c r="MX110" s="272"/>
      <c r="MY110" s="272"/>
      <c r="MZ110" s="272"/>
      <c r="NA110" s="272"/>
      <c r="NB110" s="272"/>
      <c r="NC110" s="272"/>
      <c r="ND110" s="272"/>
      <c r="NE110" s="272"/>
      <c r="NF110" s="272"/>
      <c r="NG110" s="272"/>
      <c r="NH110" s="272"/>
      <c r="NI110" s="272"/>
      <c r="NJ110" s="272"/>
      <c r="NK110" s="272"/>
      <c r="NL110" s="272"/>
      <c r="NM110" s="272"/>
      <c r="NN110" s="272"/>
      <c r="NO110" s="272"/>
      <c r="NP110" s="272"/>
      <c r="NQ110" s="272"/>
      <c r="NR110" s="272"/>
      <c r="NS110" s="272"/>
      <c r="NT110" s="272"/>
      <c r="NU110" s="272"/>
      <c r="NV110" s="272"/>
      <c r="NW110" s="272"/>
      <c r="NX110" s="272"/>
      <c r="NY110" s="272"/>
      <c r="NZ110" s="272"/>
      <c r="OA110" s="272"/>
      <c r="OB110" s="272"/>
      <c r="OC110" s="272"/>
      <c r="OD110" s="272"/>
      <c r="OE110" s="272"/>
      <c r="OF110" s="272"/>
      <c r="OG110" s="272"/>
      <c r="OH110" s="272"/>
      <c r="OI110" s="272"/>
      <c r="OJ110" s="272"/>
      <c r="OK110" s="272"/>
      <c r="OL110" s="272"/>
      <c r="OM110" s="272"/>
      <c r="ON110" s="272"/>
      <c r="OO110" s="272"/>
      <c r="OP110" s="272"/>
      <c r="OQ110" s="272"/>
      <c r="OR110" s="272"/>
      <c r="OS110" s="272"/>
      <c r="OT110" s="272"/>
      <c r="OU110" s="272"/>
      <c r="OV110" s="272"/>
      <c r="OW110" s="272"/>
      <c r="OX110" s="272"/>
      <c r="OY110" s="272"/>
      <c r="OZ110" s="272"/>
      <c r="PA110" s="272"/>
      <c r="PB110" s="272"/>
      <c r="PC110" s="272"/>
      <c r="PD110" s="272"/>
      <c r="PE110" s="272"/>
      <c r="PF110" s="272"/>
      <c r="PG110" s="272"/>
      <c r="PH110" s="272"/>
      <c r="PI110" s="272"/>
      <c r="PJ110" s="272"/>
      <c r="PK110" s="272"/>
      <c r="PL110" s="272"/>
      <c r="PM110" s="272"/>
      <c r="PN110" s="272"/>
      <c r="PO110" s="272"/>
      <c r="PP110" s="272"/>
      <c r="PQ110" s="272"/>
      <c r="PR110" s="272"/>
      <c r="PS110" s="272"/>
      <c r="PT110" s="272"/>
      <c r="PU110" s="272"/>
      <c r="PV110" s="272"/>
      <c r="PW110" s="272"/>
      <c r="PX110" s="272"/>
      <c r="PY110" s="272"/>
      <c r="PZ110" s="272"/>
      <c r="QA110" s="272"/>
      <c r="QB110" s="272"/>
      <c r="QC110" s="272"/>
      <c r="QD110" s="272"/>
      <c r="QE110" s="272"/>
      <c r="QF110" s="272"/>
      <c r="QG110" s="272"/>
      <c r="QH110" s="272"/>
      <c r="QI110" s="272"/>
      <c r="QJ110" s="272"/>
      <c r="QK110" s="272"/>
      <c r="QL110" s="272"/>
      <c r="QM110" s="272"/>
      <c r="QN110" s="272"/>
      <c r="QO110" s="272"/>
      <c r="QP110" s="272"/>
      <c r="QQ110" s="272"/>
      <c r="QR110" s="272"/>
      <c r="QS110" s="272"/>
      <c r="QT110" s="272"/>
      <c r="QU110" s="272"/>
      <c r="QV110" s="272"/>
      <c r="QW110" s="272"/>
      <c r="QX110" s="272"/>
      <c r="QY110" s="272"/>
      <c r="QZ110" s="272"/>
      <c r="RA110" s="272"/>
      <c r="RB110" s="272"/>
      <c r="RC110" s="272"/>
      <c r="RD110" s="272"/>
      <c r="RE110" s="272"/>
      <c r="RF110" s="272"/>
      <c r="RG110" s="272"/>
      <c r="RH110" s="272"/>
      <c r="RI110" s="272"/>
      <c r="RJ110" s="272"/>
      <c r="RK110" s="272"/>
      <c r="RL110" s="272"/>
      <c r="RM110" s="272"/>
      <c r="RN110" s="272"/>
      <c r="RO110" s="272"/>
      <c r="RP110" s="272"/>
      <c r="RQ110" s="272"/>
      <c r="RR110" s="272"/>
      <c r="RS110" s="272"/>
      <c r="RT110" s="272"/>
      <c r="RU110" s="272"/>
      <c r="RV110" s="272"/>
      <c r="RW110" s="272"/>
      <c r="RX110" s="272"/>
      <c r="RY110" s="272"/>
      <c r="RZ110" s="272"/>
      <c r="SA110" s="272"/>
      <c r="SB110" s="272"/>
      <c r="SC110" s="272"/>
      <c r="SD110" s="272"/>
      <c r="SE110" s="272"/>
      <c r="SF110" s="272"/>
      <c r="SG110" s="272"/>
      <c r="SH110" s="272"/>
      <c r="SI110" s="272"/>
      <c r="SJ110" s="272"/>
      <c r="SK110" s="272"/>
      <c r="SL110" s="272"/>
      <c r="SM110" s="272"/>
      <c r="SN110" s="272"/>
      <c r="SO110" s="272"/>
      <c r="SP110" s="272"/>
      <c r="SQ110" s="272"/>
      <c r="SR110" s="272"/>
      <c r="SS110" s="272"/>
      <c r="ST110" s="272"/>
      <c r="SU110" s="272"/>
      <c r="SV110" s="272"/>
      <c r="SW110" s="272"/>
      <c r="SX110" s="272"/>
      <c r="SY110" s="272"/>
      <c r="SZ110" s="272"/>
      <c r="TA110" s="272"/>
      <c r="TB110" s="272"/>
      <c r="TC110" s="272"/>
      <c r="TD110" s="272"/>
      <c r="TE110" s="272"/>
      <c r="TF110" s="272"/>
      <c r="TG110" s="272"/>
      <c r="TH110" s="272"/>
      <c r="TI110" s="272"/>
      <c r="TJ110" s="272"/>
      <c r="TK110" s="272"/>
      <c r="TL110" s="272"/>
      <c r="TM110" s="272"/>
      <c r="TN110" s="272"/>
      <c r="TO110" s="272"/>
      <c r="TP110" s="272"/>
      <c r="TQ110" s="272"/>
      <c r="TR110" s="272"/>
      <c r="TS110" s="272"/>
      <c r="TT110" s="272"/>
      <c r="TU110" s="272"/>
      <c r="TV110" s="272"/>
      <c r="TW110" s="272"/>
      <c r="TX110" s="272"/>
      <c r="TY110" s="272"/>
      <c r="TZ110" s="272"/>
      <c r="UA110" s="272"/>
      <c r="UB110" s="272"/>
      <c r="UC110" s="272"/>
      <c r="UD110" s="272"/>
      <c r="UE110" s="272"/>
      <c r="UF110" s="272"/>
      <c r="UG110" s="272"/>
      <c r="UH110" s="272"/>
      <c r="UI110" s="272"/>
      <c r="UJ110" s="272"/>
      <c r="UK110" s="272"/>
      <c r="UL110" s="272"/>
      <c r="UM110" s="272"/>
      <c r="UN110" s="272"/>
      <c r="UO110" s="272"/>
      <c r="UP110" s="272"/>
      <c r="UQ110" s="272"/>
      <c r="UR110" s="272"/>
      <c r="US110" s="272"/>
      <c r="UT110" s="272"/>
      <c r="UU110" s="272"/>
      <c r="UV110" s="272"/>
      <c r="UW110" s="272"/>
      <c r="UX110" s="272"/>
      <c r="UY110" s="272"/>
      <c r="UZ110" s="272"/>
      <c r="VA110" s="272"/>
      <c r="VB110" s="272"/>
      <c r="VC110" s="272"/>
      <c r="VD110" s="272"/>
      <c r="VE110" s="272"/>
      <c r="VF110" s="272"/>
      <c r="VG110" s="272"/>
      <c r="VH110" s="272"/>
      <c r="VI110" s="272"/>
      <c r="VJ110" s="272"/>
      <c r="VK110" s="272"/>
      <c r="VL110" s="272"/>
      <c r="VM110" s="272"/>
      <c r="VN110" s="272"/>
      <c r="VO110" s="272"/>
      <c r="VP110" s="272"/>
      <c r="VQ110" s="272"/>
      <c r="VR110" s="272"/>
      <c r="VS110" s="272"/>
      <c r="VT110" s="272"/>
      <c r="VU110" s="272"/>
      <c r="VV110" s="272"/>
      <c r="VW110" s="272"/>
      <c r="VX110" s="272"/>
      <c r="VY110" s="272"/>
      <c r="VZ110" s="272"/>
      <c r="WA110" s="272"/>
      <c r="WB110" s="272"/>
      <c r="WC110" s="272"/>
      <c r="WD110" s="272"/>
      <c r="WE110" s="272"/>
      <c r="WF110" s="272"/>
      <c r="WG110" s="272"/>
      <c r="WH110" s="272"/>
      <c r="WI110" s="272"/>
      <c r="WJ110" s="272"/>
      <c r="WK110" s="272"/>
      <c r="WL110" s="272"/>
      <c r="WM110" s="272"/>
      <c r="WN110" s="272"/>
      <c r="WO110" s="272"/>
      <c r="WP110" s="272"/>
      <c r="WQ110" s="272"/>
      <c r="WR110" s="272"/>
      <c r="WS110" s="272"/>
      <c r="WT110" s="272"/>
      <c r="WU110" s="272"/>
      <c r="WV110" s="272"/>
      <c r="WW110" s="272"/>
      <c r="WX110" s="272"/>
      <c r="WY110" s="272"/>
      <c r="WZ110" s="272"/>
      <c r="XA110" s="272"/>
      <c r="XB110" s="272"/>
      <c r="XC110" s="272"/>
      <c r="XD110" s="272"/>
      <c r="XE110" s="272"/>
      <c r="XF110" s="272"/>
      <c r="XG110" s="272"/>
      <c r="XH110" s="272"/>
      <c r="XI110" s="272"/>
      <c r="XJ110" s="272"/>
      <c r="XK110" s="272"/>
      <c r="XL110" s="272"/>
      <c r="XM110" s="272"/>
      <c r="XN110" s="272"/>
      <c r="XO110" s="272"/>
      <c r="XP110" s="272"/>
      <c r="XQ110" s="272"/>
      <c r="XR110" s="272"/>
      <c r="XS110" s="272"/>
      <c r="XT110" s="272"/>
      <c r="XU110" s="272"/>
      <c r="XV110" s="272"/>
      <c r="XW110" s="272"/>
      <c r="XX110" s="272"/>
      <c r="XY110" s="272"/>
      <c r="XZ110" s="272"/>
      <c r="YA110" s="272"/>
      <c r="YB110" s="272"/>
      <c r="YC110" s="272"/>
      <c r="YD110" s="272"/>
      <c r="YE110" s="272"/>
      <c r="YF110" s="272"/>
      <c r="YG110" s="272"/>
      <c r="YH110" s="272"/>
      <c r="YI110" s="272"/>
      <c r="YJ110" s="272"/>
      <c r="YK110" s="272"/>
      <c r="YL110" s="272"/>
      <c r="YM110" s="272"/>
      <c r="YN110" s="272"/>
      <c r="YO110" s="272"/>
      <c r="YP110" s="272"/>
      <c r="YQ110" s="272"/>
      <c r="YR110" s="272"/>
      <c r="YS110" s="272"/>
      <c r="YT110" s="272"/>
      <c r="YU110" s="272"/>
      <c r="YV110" s="272"/>
      <c r="YW110" s="272"/>
      <c r="YX110" s="272"/>
      <c r="YY110" s="272"/>
      <c r="YZ110" s="272"/>
      <c r="ZA110" s="272"/>
      <c r="ZB110" s="272"/>
      <c r="ZC110" s="272"/>
      <c r="ZD110" s="272"/>
      <c r="ZE110" s="272"/>
      <c r="ZF110" s="272"/>
      <c r="ZG110" s="272"/>
      <c r="ZH110" s="272"/>
      <c r="ZI110" s="272"/>
      <c r="ZJ110" s="272"/>
      <c r="ZK110" s="272"/>
      <c r="ZL110" s="272"/>
      <c r="ZM110" s="272"/>
      <c r="ZN110" s="272"/>
      <c r="ZO110" s="272"/>
      <c r="ZP110" s="272"/>
      <c r="ZQ110" s="272"/>
      <c r="ZR110" s="272"/>
      <c r="ZS110" s="272"/>
      <c r="ZT110" s="272"/>
      <c r="ZU110" s="272"/>
      <c r="ZV110" s="272"/>
      <c r="ZW110" s="272"/>
      <c r="ZX110" s="272"/>
      <c r="ZY110" s="272"/>
      <c r="ZZ110" s="272"/>
      <c r="AAA110" s="272"/>
      <c r="AAB110" s="272"/>
      <c r="AAC110" s="272"/>
      <c r="AAD110" s="272"/>
      <c r="AAE110" s="272"/>
      <c r="AAF110" s="272"/>
      <c r="AAG110" s="272"/>
      <c r="AAH110" s="272"/>
      <c r="AAI110" s="272"/>
      <c r="AAJ110" s="272"/>
      <c r="AAK110" s="272"/>
      <c r="AAL110" s="272"/>
      <c r="AAM110" s="272"/>
      <c r="AAN110" s="272"/>
      <c r="AAO110" s="272"/>
      <c r="AAP110" s="272"/>
      <c r="AAQ110" s="272"/>
      <c r="AAR110" s="272"/>
      <c r="AAS110" s="272"/>
      <c r="AAT110" s="272"/>
      <c r="AAU110" s="272"/>
      <c r="AAV110" s="272"/>
      <c r="AAW110" s="272"/>
      <c r="AAX110" s="272"/>
      <c r="AAY110" s="272"/>
      <c r="AAZ110" s="272"/>
      <c r="ABA110" s="272"/>
      <c r="ABB110" s="272"/>
      <c r="ABC110" s="272"/>
      <c r="ABD110" s="272"/>
      <c r="ABE110" s="272"/>
      <c r="ABF110" s="272"/>
      <c r="ABG110" s="272"/>
    </row>
    <row r="111" spans="1:735" s="19" customFormat="1" ht="15">
      <c r="A111" s="47"/>
      <c r="B111" s="74"/>
      <c r="C111" s="55" t="s">
        <v>53</v>
      </c>
      <c r="D111" s="55"/>
      <c r="E111" s="57"/>
      <c r="F111" s="263"/>
      <c r="G111" s="388"/>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c r="BE111" s="272"/>
      <c r="BF111" s="272"/>
      <c r="BG111" s="272"/>
      <c r="BH111" s="272"/>
      <c r="BI111" s="272"/>
      <c r="BJ111" s="272"/>
      <c r="BK111" s="272"/>
      <c r="BL111" s="272"/>
      <c r="BM111" s="272"/>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2"/>
      <c r="CI111" s="272"/>
      <c r="CJ111" s="272"/>
      <c r="CK111" s="272"/>
      <c r="CL111" s="272"/>
      <c r="CM111" s="272"/>
      <c r="CN111" s="272"/>
      <c r="CO111" s="272"/>
      <c r="CP111" s="272"/>
      <c r="CQ111" s="272"/>
      <c r="CR111" s="272"/>
      <c r="CS111" s="272"/>
      <c r="CT111" s="272"/>
      <c r="CU111" s="272"/>
      <c r="CV111" s="272"/>
      <c r="CW111" s="272"/>
      <c r="CX111" s="272"/>
      <c r="CY111" s="272"/>
      <c r="CZ111" s="272"/>
      <c r="DA111" s="272"/>
      <c r="DB111" s="272"/>
      <c r="DC111" s="272"/>
      <c r="DD111" s="272"/>
      <c r="DE111" s="272"/>
      <c r="DF111" s="272"/>
      <c r="DG111" s="272"/>
      <c r="DH111" s="272"/>
      <c r="DI111" s="272"/>
      <c r="DJ111" s="272"/>
      <c r="DK111" s="272"/>
      <c r="DL111" s="272"/>
      <c r="DM111" s="272"/>
      <c r="DN111" s="272"/>
      <c r="DO111" s="272"/>
      <c r="DP111" s="272"/>
      <c r="DQ111" s="272"/>
      <c r="DR111" s="272"/>
      <c r="DS111" s="272"/>
      <c r="DT111" s="272"/>
      <c r="DU111" s="272"/>
      <c r="DV111" s="272"/>
      <c r="DW111" s="272"/>
      <c r="DX111" s="272"/>
      <c r="DY111" s="272"/>
      <c r="DZ111" s="272"/>
      <c r="EA111" s="272"/>
      <c r="EB111" s="272"/>
      <c r="EC111" s="272"/>
      <c r="ED111" s="272"/>
      <c r="EE111" s="272"/>
      <c r="EF111" s="272"/>
      <c r="EG111" s="272"/>
      <c r="EH111" s="272"/>
      <c r="EI111" s="272"/>
      <c r="EJ111" s="272"/>
      <c r="EK111" s="272"/>
      <c r="EL111" s="272"/>
      <c r="EM111" s="272"/>
      <c r="EN111" s="272"/>
      <c r="EO111" s="272"/>
      <c r="EP111" s="272"/>
      <c r="EQ111" s="272"/>
      <c r="ER111" s="272"/>
      <c r="ES111" s="272"/>
      <c r="ET111" s="272"/>
      <c r="EU111" s="272"/>
      <c r="EV111" s="272"/>
      <c r="EW111" s="272"/>
      <c r="EX111" s="272"/>
      <c r="EY111" s="272"/>
      <c r="EZ111" s="272"/>
      <c r="FA111" s="272"/>
      <c r="FB111" s="272"/>
      <c r="FC111" s="272"/>
      <c r="FD111" s="272"/>
      <c r="FE111" s="272"/>
      <c r="FF111" s="272"/>
      <c r="FG111" s="272"/>
      <c r="FH111" s="272"/>
      <c r="FI111" s="272"/>
      <c r="FJ111" s="272"/>
      <c r="FK111" s="272"/>
      <c r="FL111" s="272"/>
      <c r="FM111" s="272"/>
      <c r="FN111" s="272"/>
      <c r="FO111" s="272"/>
      <c r="FP111" s="272"/>
      <c r="FQ111" s="272"/>
      <c r="FR111" s="272"/>
      <c r="FS111" s="272"/>
      <c r="FT111" s="272"/>
      <c r="FU111" s="272"/>
      <c r="FV111" s="272"/>
      <c r="FW111" s="272"/>
      <c r="FX111" s="272"/>
      <c r="FY111" s="272"/>
      <c r="FZ111" s="272"/>
      <c r="GA111" s="272"/>
      <c r="GB111" s="272"/>
      <c r="GC111" s="272"/>
      <c r="GD111" s="272"/>
      <c r="GE111" s="272"/>
      <c r="GF111" s="272"/>
      <c r="GG111" s="272"/>
      <c r="GH111" s="272"/>
      <c r="GI111" s="272"/>
      <c r="GJ111" s="272"/>
      <c r="GK111" s="272"/>
      <c r="GL111" s="272"/>
      <c r="GM111" s="272"/>
      <c r="GN111" s="272"/>
      <c r="GO111" s="272"/>
      <c r="GP111" s="272"/>
      <c r="GQ111" s="272"/>
      <c r="GR111" s="272"/>
      <c r="GS111" s="272"/>
      <c r="GT111" s="272"/>
      <c r="GU111" s="272"/>
      <c r="GV111" s="272"/>
      <c r="GW111" s="272"/>
      <c r="GX111" s="272"/>
      <c r="GY111" s="272"/>
      <c r="GZ111" s="272"/>
      <c r="HA111" s="272"/>
      <c r="HB111" s="272"/>
      <c r="HC111" s="272"/>
      <c r="HD111" s="272"/>
      <c r="HE111" s="272"/>
      <c r="HF111" s="272"/>
      <c r="HG111" s="272"/>
      <c r="HH111" s="272"/>
      <c r="HI111" s="272"/>
      <c r="HJ111" s="272"/>
      <c r="HK111" s="272"/>
      <c r="HL111" s="272"/>
      <c r="HM111" s="272"/>
      <c r="HN111" s="272"/>
      <c r="HO111" s="272"/>
      <c r="HP111" s="272"/>
      <c r="HQ111" s="272"/>
      <c r="HR111" s="272"/>
      <c r="HS111" s="272"/>
      <c r="HT111" s="272"/>
      <c r="HU111" s="272"/>
      <c r="HV111" s="272"/>
      <c r="HW111" s="272"/>
      <c r="HX111" s="272"/>
      <c r="HY111" s="272"/>
      <c r="HZ111" s="272"/>
      <c r="IA111" s="272"/>
      <c r="IB111" s="272"/>
      <c r="IC111" s="272"/>
      <c r="ID111" s="272"/>
      <c r="IE111" s="272"/>
      <c r="IF111" s="272"/>
      <c r="IG111" s="272"/>
      <c r="IH111" s="272"/>
      <c r="II111" s="272"/>
      <c r="IJ111" s="272"/>
      <c r="IK111" s="272"/>
      <c r="IL111" s="272"/>
      <c r="IM111" s="272"/>
      <c r="IN111" s="272"/>
      <c r="IO111" s="272"/>
      <c r="IP111" s="272"/>
      <c r="IQ111" s="272"/>
      <c r="IR111" s="272"/>
      <c r="IS111" s="272"/>
      <c r="IT111" s="272"/>
      <c r="IU111" s="272"/>
      <c r="IV111" s="272"/>
      <c r="IW111" s="272"/>
      <c r="IX111" s="272"/>
      <c r="IY111" s="272"/>
      <c r="IZ111" s="272"/>
      <c r="JA111" s="272"/>
      <c r="JB111" s="272"/>
      <c r="JC111" s="272"/>
      <c r="JD111" s="272"/>
      <c r="JE111" s="272"/>
      <c r="JF111" s="272"/>
      <c r="JG111" s="272"/>
      <c r="JH111" s="272"/>
      <c r="JI111" s="272"/>
      <c r="JJ111" s="272"/>
      <c r="JK111" s="272"/>
      <c r="JL111" s="272"/>
      <c r="JM111" s="272"/>
      <c r="JN111" s="272"/>
      <c r="JO111" s="272"/>
      <c r="JP111" s="272"/>
      <c r="JQ111" s="272"/>
      <c r="JR111" s="272"/>
      <c r="JS111" s="272"/>
      <c r="JT111" s="272"/>
      <c r="JU111" s="272"/>
      <c r="JV111" s="272"/>
      <c r="JW111" s="272"/>
      <c r="JX111" s="272"/>
      <c r="JY111" s="272"/>
      <c r="JZ111" s="272"/>
      <c r="KA111" s="272"/>
      <c r="KB111" s="272"/>
      <c r="KC111" s="272"/>
      <c r="KD111" s="272"/>
      <c r="KE111" s="272"/>
      <c r="KF111" s="272"/>
      <c r="KG111" s="272"/>
      <c r="KH111" s="272"/>
      <c r="KI111" s="272"/>
      <c r="KJ111" s="272"/>
      <c r="KK111" s="272"/>
      <c r="KL111" s="272"/>
      <c r="KM111" s="272"/>
      <c r="KN111" s="272"/>
      <c r="KO111" s="272"/>
      <c r="KP111" s="272"/>
      <c r="KQ111" s="272"/>
      <c r="KR111" s="272"/>
      <c r="KS111" s="272"/>
      <c r="KT111" s="272"/>
      <c r="KU111" s="272"/>
      <c r="KV111" s="272"/>
      <c r="KW111" s="272"/>
      <c r="KX111" s="272"/>
      <c r="KY111" s="272"/>
      <c r="KZ111" s="272"/>
      <c r="LA111" s="272"/>
      <c r="LB111" s="272"/>
      <c r="LC111" s="272"/>
      <c r="LD111" s="272"/>
      <c r="LE111" s="272"/>
      <c r="LF111" s="272"/>
      <c r="LG111" s="272"/>
      <c r="LH111" s="272"/>
      <c r="LI111" s="272"/>
      <c r="LJ111" s="272"/>
      <c r="LK111" s="272"/>
      <c r="LL111" s="272"/>
      <c r="LM111" s="272"/>
      <c r="LN111" s="272"/>
      <c r="LO111" s="272"/>
      <c r="LP111" s="272"/>
      <c r="LQ111" s="272"/>
      <c r="LR111" s="272"/>
      <c r="LS111" s="272"/>
      <c r="LT111" s="272"/>
      <c r="LU111" s="272"/>
      <c r="LV111" s="272"/>
      <c r="LW111" s="272"/>
      <c r="LX111" s="272"/>
      <c r="LY111" s="272"/>
      <c r="LZ111" s="272"/>
      <c r="MA111" s="272"/>
      <c r="MB111" s="272"/>
      <c r="MC111" s="272"/>
      <c r="MD111" s="272"/>
      <c r="ME111" s="272"/>
      <c r="MF111" s="272"/>
      <c r="MG111" s="272"/>
      <c r="MH111" s="272"/>
      <c r="MI111" s="272"/>
      <c r="MJ111" s="272"/>
      <c r="MK111" s="272"/>
      <c r="ML111" s="272"/>
      <c r="MM111" s="272"/>
      <c r="MN111" s="272"/>
      <c r="MO111" s="272"/>
      <c r="MP111" s="272"/>
      <c r="MQ111" s="272"/>
      <c r="MR111" s="272"/>
      <c r="MS111" s="272"/>
      <c r="MT111" s="272"/>
      <c r="MU111" s="272"/>
      <c r="MV111" s="272"/>
      <c r="MW111" s="272"/>
      <c r="MX111" s="272"/>
      <c r="MY111" s="272"/>
      <c r="MZ111" s="272"/>
      <c r="NA111" s="272"/>
      <c r="NB111" s="272"/>
      <c r="NC111" s="272"/>
      <c r="ND111" s="272"/>
      <c r="NE111" s="272"/>
      <c r="NF111" s="272"/>
      <c r="NG111" s="272"/>
      <c r="NH111" s="272"/>
      <c r="NI111" s="272"/>
      <c r="NJ111" s="272"/>
      <c r="NK111" s="272"/>
      <c r="NL111" s="272"/>
      <c r="NM111" s="272"/>
      <c r="NN111" s="272"/>
      <c r="NO111" s="272"/>
      <c r="NP111" s="272"/>
      <c r="NQ111" s="272"/>
      <c r="NR111" s="272"/>
      <c r="NS111" s="272"/>
      <c r="NT111" s="272"/>
      <c r="NU111" s="272"/>
      <c r="NV111" s="272"/>
      <c r="NW111" s="272"/>
      <c r="NX111" s="272"/>
      <c r="NY111" s="272"/>
      <c r="NZ111" s="272"/>
      <c r="OA111" s="272"/>
      <c r="OB111" s="272"/>
      <c r="OC111" s="272"/>
      <c r="OD111" s="272"/>
      <c r="OE111" s="272"/>
      <c r="OF111" s="272"/>
      <c r="OG111" s="272"/>
      <c r="OH111" s="272"/>
      <c r="OI111" s="272"/>
      <c r="OJ111" s="272"/>
      <c r="OK111" s="272"/>
      <c r="OL111" s="272"/>
      <c r="OM111" s="272"/>
      <c r="ON111" s="272"/>
      <c r="OO111" s="272"/>
      <c r="OP111" s="272"/>
      <c r="OQ111" s="272"/>
      <c r="OR111" s="272"/>
      <c r="OS111" s="272"/>
      <c r="OT111" s="272"/>
      <c r="OU111" s="272"/>
      <c r="OV111" s="272"/>
      <c r="OW111" s="272"/>
      <c r="OX111" s="272"/>
      <c r="OY111" s="272"/>
      <c r="OZ111" s="272"/>
      <c r="PA111" s="272"/>
      <c r="PB111" s="272"/>
      <c r="PC111" s="272"/>
      <c r="PD111" s="272"/>
      <c r="PE111" s="272"/>
      <c r="PF111" s="272"/>
      <c r="PG111" s="272"/>
      <c r="PH111" s="272"/>
      <c r="PI111" s="272"/>
      <c r="PJ111" s="272"/>
      <c r="PK111" s="272"/>
      <c r="PL111" s="272"/>
      <c r="PM111" s="272"/>
      <c r="PN111" s="272"/>
      <c r="PO111" s="272"/>
      <c r="PP111" s="272"/>
      <c r="PQ111" s="272"/>
      <c r="PR111" s="272"/>
      <c r="PS111" s="272"/>
      <c r="PT111" s="272"/>
      <c r="PU111" s="272"/>
      <c r="PV111" s="272"/>
      <c r="PW111" s="272"/>
      <c r="PX111" s="272"/>
      <c r="PY111" s="272"/>
      <c r="PZ111" s="272"/>
      <c r="QA111" s="272"/>
      <c r="QB111" s="272"/>
      <c r="QC111" s="272"/>
      <c r="QD111" s="272"/>
      <c r="QE111" s="272"/>
      <c r="QF111" s="272"/>
      <c r="QG111" s="272"/>
      <c r="QH111" s="272"/>
      <c r="QI111" s="272"/>
      <c r="QJ111" s="272"/>
      <c r="QK111" s="272"/>
      <c r="QL111" s="272"/>
      <c r="QM111" s="272"/>
      <c r="QN111" s="272"/>
      <c r="QO111" s="272"/>
      <c r="QP111" s="272"/>
      <c r="QQ111" s="272"/>
      <c r="QR111" s="272"/>
      <c r="QS111" s="272"/>
      <c r="QT111" s="272"/>
      <c r="QU111" s="272"/>
      <c r="QV111" s="272"/>
      <c r="QW111" s="272"/>
      <c r="QX111" s="272"/>
      <c r="QY111" s="272"/>
      <c r="QZ111" s="272"/>
      <c r="RA111" s="272"/>
      <c r="RB111" s="272"/>
      <c r="RC111" s="272"/>
      <c r="RD111" s="272"/>
      <c r="RE111" s="272"/>
      <c r="RF111" s="272"/>
      <c r="RG111" s="272"/>
      <c r="RH111" s="272"/>
      <c r="RI111" s="272"/>
      <c r="RJ111" s="272"/>
      <c r="RK111" s="272"/>
      <c r="RL111" s="272"/>
      <c r="RM111" s="272"/>
      <c r="RN111" s="272"/>
      <c r="RO111" s="272"/>
      <c r="RP111" s="272"/>
      <c r="RQ111" s="272"/>
      <c r="RR111" s="272"/>
      <c r="RS111" s="272"/>
      <c r="RT111" s="272"/>
      <c r="RU111" s="272"/>
      <c r="RV111" s="272"/>
      <c r="RW111" s="272"/>
      <c r="RX111" s="272"/>
      <c r="RY111" s="272"/>
      <c r="RZ111" s="272"/>
      <c r="SA111" s="272"/>
      <c r="SB111" s="272"/>
      <c r="SC111" s="272"/>
      <c r="SD111" s="272"/>
      <c r="SE111" s="272"/>
      <c r="SF111" s="272"/>
      <c r="SG111" s="272"/>
      <c r="SH111" s="272"/>
      <c r="SI111" s="272"/>
      <c r="SJ111" s="272"/>
      <c r="SK111" s="272"/>
      <c r="SL111" s="272"/>
      <c r="SM111" s="272"/>
      <c r="SN111" s="272"/>
      <c r="SO111" s="272"/>
      <c r="SP111" s="272"/>
      <c r="SQ111" s="272"/>
      <c r="SR111" s="272"/>
      <c r="SS111" s="272"/>
      <c r="ST111" s="272"/>
      <c r="SU111" s="272"/>
      <c r="SV111" s="272"/>
      <c r="SW111" s="272"/>
      <c r="SX111" s="272"/>
      <c r="SY111" s="272"/>
      <c r="SZ111" s="272"/>
      <c r="TA111" s="272"/>
      <c r="TB111" s="272"/>
      <c r="TC111" s="272"/>
      <c r="TD111" s="272"/>
      <c r="TE111" s="272"/>
      <c r="TF111" s="272"/>
      <c r="TG111" s="272"/>
      <c r="TH111" s="272"/>
      <c r="TI111" s="272"/>
      <c r="TJ111" s="272"/>
      <c r="TK111" s="272"/>
      <c r="TL111" s="272"/>
      <c r="TM111" s="272"/>
      <c r="TN111" s="272"/>
      <c r="TO111" s="272"/>
      <c r="TP111" s="272"/>
      <c r="TQ111" s="272"/>
      <c r="TR111" s="272"/>
      <c r="TS111" s="272"/>
      <c r="TT111" s="272"/>
      <c r="TU111" s="272"/>
      <c r="TV111" s="272"/>
      <c r="TW111" s="272"/>
      <c r="TX111" s="272"/>
      <c r="TY111" s="272"/>
      <c r="TZ111" s="272"/>
      <c r="UA111" s="272"/>
      <c r="UB111" s="272"/>
      <c r="UC111" s="272"/>
      <c r="UD111" s="272"/>
      <c r="UE111" s="272"/>
      <c r="UF111" s="272"/>
      <c r="UG111" s="272"/>
      <c r="UH111" s="272"/>
      <c r="UI111" s="272"/>
      <c r="UJ111" s="272"/>
      <c r="UK111" s="272"/>
      <c r="UL111" s="272"/>
      <c r="UM111" s="272"/>
      <c r="UN111" s="272"/>
      <c r="UO111" s="272"/>
      <c r="UP111" s="272"/>
      <c r="UQ111" s="272"/>
      <c r="UR111" s="272"/>
      <c r="US111" s="272"/>
      <c r="UT111" s="272"/>
      <c r="UU111" s="272"/>
      <c r="UV111" s="272"/>
      <c r="UW111" s="272"/>
      <c r="UX111" s="272"/>
      <c r="UY111" s="272"/>
      <c r="UZ111" s="272"/>
      <c r="VA111" s="272"/>
      <c r="VB111" s="272"/>
      <c r="VC111" s="272"/>
      <c r="VD111" s="272"/>
      <c r="VE111" s="272"/>
      <c r="VF111" s="272"/>
      <c r="VG111" s="272"/>
      <c r="VH111" s="272"/>
      <c r="VI111" s="272"/>
      <c r="VJ111" s="272"/>
      <c r="VK111" s="272"/>
      <c r="VL111" s="272"/>
      <c r="VM111" s="272"/>
      <c r="VN111" s="272"/>
      <c r="VO111" s="272"/>
      <c r="VP111" s="272"/>
      <c r="VQ111" s="272"/>
      <c r="VR111" s="272"/>
      <c r="VS111" s="272"/>
      <c r="VT111" s="272"/>
      <c r="VU111" s="272"/>
      <c r="VV111" s="272"/>
      <c r="VW111" s="272"/>
      <c r="VX111" s="272"/>
      <c r="VY111" s="272"/>
      <c r="VZ111" s="272"/>
      <c r="WA111" s="272"/>
      <c r="WB111" s="272"/>
      <c r="WC111" s="272"/>
      <c r="WD111" s="272"/>
      <c r="WE111" s="272"/>
      <c r="WF111" s="272"/>
      <c r="WG111" s="272"/>
      <c r="WH111" s="272"/>
      <c r="WI111" s="272"/>
      <c r="WJ111" s="272"/>
      <c r="WK111" s="272"/>
      <c r="WL111" s="272"/>
      <c r="WM111" s="272"/>
      <c r="WN111" s="272"/>
      <c r="WO111" s="272"/>
      <c r="WP111" s="272"/>
      <c r="WQ111" s="272"/>
      <c r="WR111" s="272"/>
      <c r="WS111" s="272"/>
      <c r="WT111" s="272"/>
      <c r="WU111" s="272"/>
      <c r="WV111" s="272"/>
      <c r="WW111" s="272"/>
      <c r="WX111" s="272"/>
      <c r="WY111" s="272"/>
      <c r="WZ111" s="272"/>
      <c r="XA111" s="272"/>
      <c r="XB111" s="272"/>
      <c r="XC111" s="272"/>
      <c r="XD111" s="272"/>
      <c r="XE111" s="272"/>
      <c r="XF111" s="272"/>
      <c r="XG111" s="272"/>
      <c r="XH111" s="272"/>
      <c r="XI111" s="272"/>
      <c r="XJ111" s="272"/>
      <c r="XK111" s="272"/>
      <c r="XL111" s="272"/>
      <c r="XM111" s="272"/>
      <c r="XN111" s="272"/>
      <c r="XO111" s="272"/>
      <c r="XP111" s="272"/>
      <c r="XQ111" s="272"/>
      <c r="XR111" s="272"/>
      <c r="XS111" s="272"/>
      <c r="XT111" s="272"/>
      <c r="XU111" s="272"/>
      <c r="XV111" s="272"/>
      <c r="XW111" s="272"/>
      <c r="XX111" s="272"/>
      <c r="XY111" s="272"/>
      <c r="XZ111" s="272"/>
      <c r="YA111" s="272"/>
      <c r="YB111" s="272"/>
      <c r="YC111" s="272"/>
      <c r="YD111" s="272"/>
      <c r="YE111" s="272"/>
      <c r="YF111" s="272"/>
      <c r="YG111" s="272"/>
      <c r="YH111" s="272"/>
      <c r="YI111" s="272"/>
      <c r="YJ111" s="272"/>
      <c r="YK111" s="272"/>
      <c r="YL111" s="272"/>
      <c r="YM111" s="272"/>
      <c r="YN111" s="272"/>
      <c r="YO111" s="272"/>
      <c r="YP111" s="272"/>
      <c r="YQ111" s="272"/>
      <c r="YR111" s="272"/>
      <c r="YS111" s="272"/>
      <c r="YT111" s="272"/>
      <c r="YU111" s="272"/>
      <c r="YV111" s="272"/>
      <c r="YW111" s="272"/>
      <c r="YX111" s="272"/>
      <c r="YY111" s="272"/>
      <c r="YZ111" s="272"/>
      <c r="ZA111" s="272"/>
      <c r="ZB111" s="272"/>
      <c r="ZC111" s="272"/>
      <c r="ZD111" s="272"/>
      <c r="ZE111" s="272"/>
      <c r="ZF111" s="272"/>
      <c r="ZG111" s="272"/>
      <c r="ZH111" s="272"/>
      <c r="ZI111" s="272"/>
      <c r="ZJ111" s="272"/>
      <c r="ZK111" s="272"/>
      <c r="ZL111" s="272"/>
      <c r="ZM111" s="272"/>
      <c r="ZN111" s="272"/>
      <c r="ZO111" s="272"/>
      <c r="ZP111" s="272"/>
      <c r="ZQ111" s="272"/>
      <c r="ZR111" s="272"/>
      <c r="ZS111" s="272"/>
      <c r="ZT111" s="272"/>
      <c r="ZU111" s="272"/>
      <c r="ZV111" s="272"/>
      <c r="ZW111" s="272"/>
      <c r="ZX111" s="272"/>
      <c r="ZY111" s="272"/>
      <c r="ZZ111" s="272"/>
      <c r="AAA111" s="272"/>
      <c r="AAB111" s="272"/>
      <c r="AAC111" s="272"/>
      <c r="AAD111" s="272"/>
      <c r="AAE111" s="272"/>
      <c r="AAF111" s="272"/>
      <c r="AAG111" s="272"/>
      <c r="AAH111" s="272"/>
      <c r="AAI111" s="272"/>
      <c r="AAJ111" s="272"/>
      <c r="AAK111" s="272"/>
      <c r="AAL111" s="272"/>
      <c r="AAM111" s="272"/>
      <c r="AAN111" s="272"/>
      <c r="AAO111" s="272"/>
      <c r="AAP111" s="272"/>
      <c r="AAQ111" s="272"/>
      <c r="AAR111" s="272"/>
      <c r="AAS111" s="272"/>
      <c r="AAT111" s="272"/>
      <c r="AAU111" s="272"/>
      <c r="AAV111" s="272"/>
      <c r="AAW111" s="272"/>
      <c r="AAX111" s="272"/>
      <c r="AAY111" s="272"/>
      <c r="AAZ111" s="272"/>
      <c r="ABA111" s="272"/>
      <c r="ABB111" s="272"/>
      <c r="ABC111" s="272"/>
      <c r="ABD111" s="272"/>
      <c r="ABE111" s="272"/>
      <c r="ABF111" s="272"/>
      <c r="ABG111" s="272"/>
    </row>
    <row r="112" spans="1:735" s="62" customFormat="1" ht="13.5" thickBot="1">
      <c r="A112" s="48"/>
      <c r="B112" s="75"/>
      <c r="C112" s="58" t="s">
        <v>54</v>
      </c>
      <c r="D112" s="58"/>
      <c r="E112" s="60"/>
      <c r="F112" s="264"/>
      <c r="G112" s="389"/>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2"/>
      <c r="BR112" s="272"/>
      <c r="BS112" s="272"/>
      <c r="BT112" s="272"/>
      <c r="BU112" s="272"/>
      <c r="BV112" s="272"/>
      <c r="BW112" s="272"/>
      <c r="BX112" s="272"/>
      <c r="BY112" s="272"/>
      <c r="BZ112" s="272"/>
      <c r="CA112" s="272"/>
      <c r="CB112" s="272"/>
      <c r="CC112" s="272"/>
      <c r="CD112" s="272"/>
      <c r="CE112" s="272"/>
      <c r="CF112" s="272"/>
      <c r="CG112" s="272"/>
      <c r="CH112" s="272"/>
      <c r="CI112" s="272"/>
      <c r="CJ112" s="272"/>
      <c r="CK112" s="272"/>
      <c r="CL112" s="272"/>
      <c r="CM112" s="272"/>
      <c r="CN112" s="272"/>
      <c r="CO112" s="272"/>
      <c r="CP112" s="272"/>
      <c r="CQ112" s="272"/>
      <c r="CR112" s="272"/>
      <c r="CS112" s="272"/>
      <c r="CT112" s="272"/>
      <c r="CU112" s="272"/>
      <c r="CV112" s="272"/>
      <c r="CW112" s="272"/>
      <c r="CX112" s="272"/>
      <c r="CY112" s="272"/>
      <c r="CZ112" s="272"/>
      <c r="DA112" s="272"/>
      <c r="DB112" s="272"/>
      <c r="DC112" s="272"/>
      <c r="DD112" s="272"/>
      <c r="DE112" s="272"/>
      <c r="DF112" s="272"/>
      <c r="DG112" s="272"/>
      <c r="DH112" s="272"/>
      <c r="DI112" s="272"/>
      <c r="DJ112" s="272"/>
      <c r="DK112" s="272"/>
      <c r="DL112" s="272"/>
      <c r="DM112" s="272"/>
      <c r="DN112" s="272"/>
      <c r="DO112" s="272"/>
      <c r="DP112" s="272"/>
      <c r="DQ112" s="272"/>
      <c r="DR112" s="272"/>
      <c r="DS112" s="272"/>
      <c r="DT112" s="272"/>
      <c r="DU112" s="272"/>
      <c r="DV112" s="272"/>
      <c r="DW112" s="272"/>
      <c r="DX112" s="272"/>
      <c r="DY112" s="272"/>
      <c r="DZ112" s="272"/>
      <c r="EA112" s="272"/>
      <c r="EB112" s="272"/>
      <c r="EC112" s="272"/>
      <c r="ED112" s="272"/>
      <c r="EE112" s="272"/>
      <c r="EF112" s="272"/>
      <c r="EG112" s="272"/>
      <c r="EH112" s="272"/>
      <c r="EI112" s="272"/>
      <c r="EJ112" s="272"/>
      <c r="EK112" s="272"/>
      <c r="EL112" s="272"/>
      <c r="EM112" s="272"/>
      <c r="EN112" s="272"/>
      <c r="EO112" s="272"/>
      <c r="EP112" s="272"/>
      <c r="EQ112" s="272"/>
      <c r="ER112" s="272"/>
      <c r="ES112" s="272"/>
      <c r="ET112" s="272"/>
      <c r="EU112" s="272"/>
      <c r="EV112" s="272"/>
      <c r="EW112" s="272"/>
      <c r="EX112" s="272"/>
      <c r="EY112" s="272"/>
      <c r="EZ112" s="272"/>
      <c r="FA112" s="272"/>
      <c r="FB112" s="272"/>
      <c r="FC112" s="272"/>
      <c r="FD112" s="272"/>
      <c r="FE112" s="272"/>
      <c r="FF112" s="272"/>
      <c r="FG112" s="272"/>
      <c r="FH112" s="272"/>
      <c r="FI112" s="272"/>
      <c r="FJ112" s="272"/>
      <c r="FK112" s="272"/>
      <c r="FL112" s="272"/>
      <c r="FM112" s="272"/>
      <c r="FN112" s="272"/>
      <c r="FO112" s="272"/>
      <c r="FP112" s="272"/>
      <c r="FQ112" s="272"/>
      <c r="FR112" s="272"/>
      <c r="FS112" s="272"/>
      <c r="FT112" s="272"/>
      <c r="FU112" s="272"/>
      <c r="FV112" s="272"/>
      <c r="FW112" s="272"/>
      <c r="FX112" s="272"/>
      <c r="FY112" s="272"/>
      <c r="FZ112" s="272"/>
      <c r="GA112" s="272"/>
      <c r="GB112" s="272"/>
      <c r="GC112" s="272"/>
      <c r="GD112" s="272"/>
      <c r="GE112" s="272"/>
      <c r="GF112" s="272"/>
      <c r="GG112" s="272"/>
      <c r="GH112" s="272"/>
      <c r="GI112" s="272"/>
      <c r="GJ112" s="272"/>
      <c r="GK112" s="272"/>
      <c r="GL112" s="272"/>
      <c r="GM112" s="272"/>
      <c r="GN112" s="272"/>
      <c r="GO112" s="272"/>
      <c r="GP112" s="272"/>
      <c r="GQ112" s="272"/>
      <c r="GR112" s="272"/>
      <c r="GS112" s="272"/>
      <c r="GT112" s="272"/>
      <c r="GU112" s="272"/>
      <c r="GV112" s="272"/>
      <c r="GW112" s="272"/>
      <c r="GX112" s="272"/>
      <c r="GY112" s="272"/>
      <c r="GZ112" s="272"/>
      <c r="HA112" s="272"/>
      <c r="HB112" s="272"/>
      <c r="HC112" s="272"/>
      <c r="HD112" s="272"/>
      <c r="HE112" s="272"/>
      <c r="HF112" s="272"/>
      <c r="HG112" s="272"/>
      <c r="HH112" s="272"/>
      <c r="HI112" s="272"/>
      <c r="HJ112" s="272"/>
      <c r="HK112" s="272"/>
      <c r="HL112" s="272"/>
      <c r="HM112" s="272"/>
      <c r="HN112" s="272"/>
      <c r="HO112" s="272"/>
      <c r="HP112" s="272"/>
      <c r="HQ112" s="272"/>
      <c r="HR112" s="272"/>
      <c r="HS112" s="272"/>
      <c r="HT112" s="272"/>
      <c r="HU112" s="272"/>
      <c r="HV112" s="272"/>
      <c r="HW112" s="272"/>
      <c r="HX112" s="272"/>
      <c r="HY112" s="272"/>
      <c r="HZ112" s="272"/>
      <c r="IA112" s="272"/>
      <c r="IB112" s="272"/>
      <c r="IC112" s="272"/>
      <c r="ID112" s="272"/>
      <c r="IE112" s="272"/>
      <c r="IF112" s="272"/>
      <c r="IG112" s="272"/>
      <c r="IH112" s="272"/>
      <c r="II112" s="272"/>
      <c r="IJ112" s="272"/>
      <c r="IK112" s="272"/>
      <c r="IL112" s="272"/>
      <c r="IM112" s="272"/>
      <c r="IN112" s="272"/>
      <c r="IO112" s="272"/>
      <c r="IP112" s="272"/>
      <c r="IQ112" s="272"/>
      <c r="IR112" s="272"/>
      <c r="IS112" s="272"/>
      <c r="IT112" s="272"/>
      <c r="IU112" s="272"/>
      <c r="IV112" s="272"/>
      <c r="IW112" s="272"/>
      <c r="IX112" s="272"/>
      <c r="IY112" s="272"/>
      <c r="IZ112" s="272"/>
      <c r="JA112" s="272"/>
      <c r="JB112" s="272"/>
      <c r="JC112" s="272"/>
      <c r="JD112" s="272"/>
      <c r="JE112" s="272"/>
      <c r="JF112" s="272"/>
      <c r="JG112" s="272"/>
      <c r="JH112" s="272"/>
      <c r="JI112" s="272"/>
      <c r="JJ112" s="272"/>
      <c r="JK112" s="272"/>
      <c r="JL112" s="272"/>
      <c r="JM112" s="272"/>
      <c r="JN112" s="272"/>
      <c r="JO112" s="272"/>
      <c r="JP112" s="272"/>
      <c r="JQ112" s="272"/>
      <c r="JR112" s="272"/>
      <c r="JS112" s="272"/>
      <c r="JT112" s="272"/>
      <c r="JU112" s="272"/>
      <c r="JV112" s="272"/>
      <c r="JW112" s="272"/>
      <c r="JX112" s="272"/>
      <c r="JY112" s="272"/>
      <c r="JZ112" s="272"/>
      <c r="KA112" s="272"/>
      <c r="KB112" s="272"/>
      <c r="KC112" s="272"/>
      <c r="KD112" s="272"/>
      <c r="KE112" s="272"/>
      <c r="KF112" s="272"/>
      <c r="KG112" s="272"/>
      <c r="KH112" s="272"/>
      <c r="KI112" s="272"/>
      <c r="KJ112" s="272"/>
      <c r="KK112" s="272"/>
      <c r="KL112" s="272"/>
      <c r="KM112" s="272"/>
      <c r="KN112" s="272"/>
      <c r="KO112" s="272"/>
      <c r="KP112" s="272"/>
      <c r="KQ112" s="272"/>
      <c r="KR112" s="272"/>
      <c r="KS112" s="272"/>
      <c r="KT112" s="272"/>
      <c r="KU112" s="272"/>
      <c r="KV112" s="272"/>
      <c r="KW112" s="272"/>
      <c r="KX112" s="272"/>
      <c r="KY112" s="272"/>
      <c r="KZ112" s="272"/>
      <c r="LA112" s="272"/>
      <c r="LB112" s="272"/>
      <c r="LC112" s="272"/>
      <c r="LD112" s="272"/>
      <c r="LE112" s="272"/>
      <c r="LF112" s="272"/>
      <c r="LG112" s="272"/>
      <c r="LH112" s="272"/>
      <c r="LI112" s="272"/>
      <c r="LJ112" s="272"/>
      <c r="LK112" s="272"/>
      <c r="LL112" s="272"/>
      <c r="LM112" s="272"/>
      <c r="LN112" s="272"/>
      <c r="LO112" s="272"/>
      <c r="LP112" s="272"/>
      <c r="LQ112" s="272"/>
      <c r="LR112" s="272"/>
      <c r="LS112" s="272"/>
      <c r="LT112" s="272"/>
      <c r="LU112" s="272"/>
      <c r="LV112" s="272"/>
      <c r="LW112" s="272"/>
      <c r="LX112" s="272"/>
      <c r="LY112" s="272"/>
      <c r="LZ112" s="272"/>
      <c r="MA112" s="272"/>
      <c r="MB112" s="272"/>
      <c r="MC112" s="272"/>
      <c r="MD112" s="272"/>
      <c r="ME112" s="272"/>
      <c r="MF112" s="272"/>
      <c r="MG112" s="272"/>
      <c r="MH112" s="272"/>
      <c r="MI112" s="272"/>
      <c r="MJ112" s="272"/>
      <c r="MK112" s="272"/>
      <c r="ML112" s="272"/>
      <c r="MM112" s="272"/>
      <c r="MN112" s="272"/>
      <c r="MO112" s="272"/>
      <c r="MP112" s="272"/>
      <c r="MQ112" s="272"/>
      <c r="MR112" s="272"/>
      <c r="MS112" s="272"/>
      <c r="MT112" s="272"/>
      <c r="MU112" s="272"/>
      <c r="MV112" s="272"/>
      <c r="MW112" s="272"/>
      <c r="MX112" s="272"/>
      <c r="MY112" s="272"/>
      <c r="MZ112" s="272"/>
      <c r="NA112" s="272"/>
      <c r="NB112" s="272"/>
      <c r="NC112" s="272"/>
      <c r="ND112" s="272"/>
      <c r="NE112" s="272"/>
      <c r="NF112" s="272"/>
      <c r="NG112" s="272"/>
      <c r="NH112" s="272"/>
      <c r="NI112" s="272"/>
      <c r="NJ112" s="272"/>
      <c r="NK112" s="272"/>
      <c r="NL112" s="272"/>
      <c r="NM112" s="272"/>
      <c r="NN112" s="272"/>
      <c r="NO112" s="272"/>
      <c r="NP112" s="272"/>
      <c r="NQ112" s="272"/>
      <c r="NR112" s="272"/>
      <c r="NS112" s="272"/>
      <c r="NT112" s="272"/>
      <c r="NU112" s="272"/>
      <c r="NV112" s="272"/>
      <c r="NW112" s="272"/>
      <c r="NX112" s="272"/>
      <c r="NY112" s="272"/>
      <c r="NZ112" s="272"/>
      <c r="OA112" s="272"/>
      <c r="OB112" s="272"/>
      <c r="OC112" s="272"/>
      <c r="OD112" s="272"/>
      <c r="OE112" s="272"/>
      <c r="OF112" s="272"/>
      <c r="OG112" s="272"/>
      <c r="OH112" s="272"/>
      <c r="OI112" s="272"/>
      <c r="OJ112" s="272"/>
      <c r="OK112" s="272"/>
      <c r="OL112" s="272"/>
      <c r="OM112" s="272"/>
      <c r="ON112" s="272"/>
      <c r="OO112" s="272"/>
      <c r="OP112" s="272"/>
      <c r="OQ112" s="272"/>
      <c r="OR112" s="272"/>
      <c r="OS112" s="272"/>
      <c r="OT112" s="272"/>
      <c r="OU112" s="272"/>
      <c r="OV112" s="272"/>
      <c r="OW112" s="272"/>
      <c r="OX112" s="272"/>
      <c r="OY112" s="272"/>
      <c r="OZ112" s="272"/>
      <c r="PA112" s="272"/>
      <c r="PB112" s="272"/>
      <c r="PC112" s="272"/>
      <c r="PD112" s="272"/>
      <c r="PE112" s="272"/>
      <c r="PF112" s="272"/>
      <c r="PG112" s="272"/>
      <c r="PH112" s="272"/>
      <c r="PI112" s="272"/>
      <c r="PJ112" s="272"/>
      <c r="PK112" s="272"/>
      <c r="PL112" s="272"/>
      <c r="PM112" s="272"/>
      <c r="PN112" s="272"/>
      <c r="PO112" s="272"/>
      <c r="PP112" s="272"/>
      <c r="PQ112" s="272"/>
      <c r="PR112" s="272"/>
      <c r="PS112" s="272"/>
      <c r="PT112" s="272"/>
      <c r="PU112" s="272"/>
      <c r="PV112" s="272"/>
      <c r="PW112" s="272"/>
      <c r="PX112" s="272"/>
      <c r="PY112" s="272"/>
      <c r="PZ112" s="272"/>
      <c r="QA112" s="272"/>
      <c r="QB112" s="272"/>
      <c r="QC112" s="272"/>
      <c r="QD112" s="272"/>
      <c r="QE112" s="272"/>
      <c r="QF112" s="272"/>
      <c r="QG112" s="272"/>
      <c r="QH112" s="272"/>
      <c r="QI112" s="272"/>
      <c r="QJ112" s="272"/>
      <c r="QK112" s="272"/>
      <c r="QL112" s="272"/>
      <c r="QM112" s="272"/>
      <c r="QN112" s="272"/>
      <c r="QO112" s="272"/>
      <c r="QP112" s="272"/>
      <c r="QQ112" s="272"/>
      <c r="QR112" s="272"/>
      <c r="QS112" s="272"/>
      <c r="QT112" s="272"/>
      <c r="QU112" s="272"/>
      <c r="QV112" s="272"/>
      <c r="QW112" s="272"/>
      <c r="QX112" s="272"/>
      <c r="QY112" s="272"/>
      <c r="QZ112" s="272"/>
      <c r="RA112" s="272"/>
      <c r="RB112" s="272"/>
      <c r="RC112" s="272"/>
      <c r="RD112" s="272"/>
      <c r="RE112" s="272"/>
      <c r="RF112" s="272"/>
      <c r="RG112" s="272"/>
      <c r="RH112" s="272"/>
      <c r="RI112" s="272"/>
      <c r="RJ112" s="272"/>
      <c r="RK112" s="272"/>
      <c r="RL112" s="272"/>
      <c r="RM112" s="272"/>
      <c r="RN112" s="272"/>
      <c r="RO112" s="272"/>
      <c r="RP112" s="272"/>
      <c r="RQ112" s="272"/>
      <c r="RR112" s="272"/>
      <c r="RS112" s="272"/>
      <c r="RT112" s="272"/>
      <c r="RU112" s="272"/>
      <c r="RV112" s="272"/>
      <c r="RW112" s="272"/>
      <c r="RX112" s="272"/>
      <c r="RY112" s="272"/>
      <c r="RZ112" s="272"/>
      <c r="SA112" s="272"/>
      <c r="SB112" s="272"/>
      <c r="SC112" s="272"/>
      <c r="SD112" s="272"/>
      <c r="SE112" s="272"/>
      <c r="SF112" s="272"/>
      <c r="SG112" s="272"/>
      <c r="SH112" s="272"/>
      <c r="SI112" s="272"/>
      <c r="SJ112" s="272"/>
      <c r="SK112" s="272"/>
      <c r="SL112" s="272"/>
      <c r="SM112" s="272"/>
      <c r="SN112" s="272"/>
      <c r="SO112" s="272"/>
      <c r="SP112" s="272"/>
      <c r="SQ112" s="272"/>
      <c r="SR112" s="272"/>
      <c r="SS112" s="272"/>
      <c r="ST112" s="272"/>
      <c r="SU112" s="272"/>
      <c r="SV112" s="272"/>
      <c r="SW112" s="272"/>
      <c r="SX112" s="272"/>
      <c r="SY112" s="272"/>
      <c r="SZ112" s="272"/>
      <c r="TA112" s="272"/>
      <c r="TB112" s="272"/>
      <c r="TC112" s="272"/>
      <c r="TD112" s="272"/>
      <c r="TE112" s="272"/>
      <c r="TF112" s="272"/>
      <c r="TG112" s="272"/>
      <c r="TH112" s="272"/>
      <c r="TI112" s="272"/>
      <c r="TJ112" s="272"/>
      <c r="TK112" s="272"/>
      <c r="TL112" s="272"/>
      <c r="TM112" s="272"/>
      <c r="TN112" s="272"/>
      <c r="TO112" s="272"/>
      <c r="TP112" s="272"/>
      <c r="TQ112" s="272"/>
      <c r="TR112" s="272"/>
      <c r="TS112" s="272"/>
      <c r="TT112" s="272"/>
      <c r="TU112" s="272"/>
      <c r="TV112" s="272"/>
      <c r="TW112" s="272"/>
      <c r="TX112" s="272"/>
      <c r="TY112" s="272"/>
      <c r="TZ112" s="272"/>
      <c r="UA112" s="272"/>
      <c r="UB112" s="272"/>
      <c r="UC112" s="272"/>
      <c r="UD112" s="272"/>
      <c r="UE112" s="272"/>
      <c r="UF112" s="272"/>
      <c r="UG112" s="272"/>
      <c r="UH112" s="272"/>
      <c r="UI112" s="272"/>
      <c r="UJ112" s="272"/>
      <c r="UK112" s="272"/>
      <c r="UL112" s="272"/>
      <c r="UM112" s="272"/>
      <c r="UN112" s="272"/>
      <c r="UO112" s="272"/>
      <c r="UP112" s="272"/>
      <c r="UQ112" s="272"/>
      <c r="UR112" s="272"/>
      <c r="US112" s="272"/>
      <c r="UT112" s="272"/>
      <c r="UU112" s="272"/>
      <c r="UV112" s="272"/>
      <c r="UW112" s="272"/>
      <c r="UX112" s="272"/>
      <c r="UY112" s="272"/>
      <c r="UZ112" s="272"/>
      <c r="VA112" s="272"/>
      <c r="VB112" s="272"/>
      <c r="VC112" s="272"/>
      <c r="VD112" s="272"/>
      <c r="VE112" s="272"/>
      <c r="VF112" s="272"/>
      <c r="VG112" s="272"/>
      <c r="VH112" s="272"/>
      <c r="VI112" s="272"/>
      <c r="VJ112" s="272"/>
      <c r="VK112" s="272"/>
      <c r="VL112" s="272"/>
      <c r="VM112" s="272"/>
      <c r="VN112" s="272"/>
      <c r="VO112" s="272"/>
      <c r="VP112" s="272"/>
      <c r="VQ112" s="272"/>
      <c r="VR112" s="272"/>
      <c r="VS112" s="272"/>
      <c r="VT112" s="272"/>
      <c r="VU112" s="272"/>
      <c r="VV112" s="272"/>
      <c r="VW112" s="272"/>
      <c r="VX112" s="272"/>
      <c r="VY112" s="272"/>
      <c r="VZ112" s="272"/>
      <c r="WA112" s="272"/>
      <c r="WB112" s="272"/>
      <c r="WC112" s="272"/>
      <c r="WD112" s="272"/>
      <c r="WE112" s="272"/>
      <c r="WF112" s="272"/>
      <c r="WG112" s="272"/>
      <c r="WH112" s="272"/>
      <c r="WI112" s="272"/>
      <c r="WJ112" s="272"/>
      <c r="WK112" s="272"/>
      <c r="WL112" s="272"/>
      <c r="WM112" s="272"/>
      <c r="WN112" s="272"/>
      <c r="WO112" s="272"/>
      <c r="WP112" s="272"/>
      <c r="WQ112" s="272"/>
      <c r="WR112" s="272"/>
      <c r="WS112" s="272"/>
      <c r="WT112" s="272"/>
      <c r="WU112" s="272"/>
      <c r="WV112" s="272"/>
      <c r="WW112" s="272"/>
      <c r="WX112" s="272"/>
      <c r="WY112" s="272"/>
      <c r="WZ112" s="272"/>
      <c r="XA112" s="272"/>
      <c r="XB112" s="272"/>
      <c r="XC112" s="272"/>
      <c r="XD112" s="272"/>
      <c r="XE112" s="272"/>
      <c r="XF112" s="272"/>
      <c r="XG112" s="272"/>
      <c r="XH112" s="272"/>
      <c r="XI112" s="272"/>
      <c r="XJ112" s="272"/>
      <c r="XK112" s="272"/>
      <c r="XL112" s="272"/>
      <c r="XM112" s="272"/>
      <c r="XN112" s="272"/>
      <c r="XO112" s="272"/>
      <c r="XP112" s="272"/>
      <c r="XQ112" s="272"/>
      <c r="XR112" s="272"/>
      <c r="XS112" s="272"/>
      <c r="XT112" s="272"/>
      <c r="XU112" s="272"/>
      <c r="XV112" s="272"/>
      <c r="XW112" s="272"/>
      <c r="XX112" s="272"/>
      <c r="XY112" s="272"/>
      <c r="XZ112" s="272"/>
      <c r="YA112" s="272"/>
      <c r="YB112" s="272"/>
      <c r="YC112" s="272"/>
      <c r="YD112" s="272"/>
      <c r="YE112" s="272"/>
      <c r="YF112" s="272"/>
      <c r="YG112" s="272"/>
      <c r="YH112" s="272"/>
      <c r="YI112" s="272"/>
      <c r="YJ112" s="272"/>
      <c r="YK112" s="272"/>
      <c r="YL112" s="272"/>
      <c r="YM112" s="272"/>
      <c r="YN112" s="272"/>
      <c r="YO112" s="272"/>
      <c r="YP112" s="272"/>
      <c r="YQ112" s="272"/>
      <c r="YR112" s="272"/>
      <c r="YS112" s="272"/>
      <c r="YT112" s="272"/>
      <c r="YU112" s="272"/>
      <c r="YV112" s="272"/>
      <c r="YW112" s="272"/>
      <c r="YX112" s="272"/>
      <c r="YY112" s="272"/>
      <c r="YZ112" s="272"/>
      <c r="ZA112" s="272"/>
      <c r="ZB112" s="272"/>
      <c r="ZC112" s="272"/>
      <c r="ZD112" s="272"/>
      <c r="ZE112" s="272"/>
      <c r="ZF112" s="272"/>
      <c r="ZG112" s="272"/>
      <c r="ZH112" s="272"/>
      <c r="ZI112" s="272"/>
      <c r="ZJ112" s="272"/>
      <c r="ZK112" s="272"/>
      <c r="ZL112" s="272"/>
      <c r="ZM112" s="272"/>
      <c r="ZN112" s="272"/>
      <c r="ZO112" s="272"/>
      <c r="ZP112" s="272"/>
      <c r="ZQ112" s="272"/>
      <c r="ZR112" s="272"/>
      <c r="ZS112" s="272"/>
      <c r="ZT112" s="272"/>
      <c r="ZU112" s="272"/>
      <c r="ZV112" s="272"/>
      <c r="ZW112" s="272"/>
      <c r="ZX112" s="272"/>
      <c r="ZY112" s="272"/>
      <c r="ZZ112" s="272"/>
      <c r="AAA112" s="272"/>
      <c r="AAB112" s="272"/>
      <c r="AAC112" s="272"/>
      <c r="AAD112" s="272"/>
      <c r="AAE112" s="272"/>
      <c r="AAF112" s="272"/>
      <c r="AAG112" s="272"/>
      <c r="AAH112" s="272"/>
      <c r="AAI112" s="272"/>
      <c r="AAJ112" s="272"/>
      <c r="AAK112" s="272"/>
      <c r="AAL112" s="272"/>
      <c r="AAM112" s="272"/>
      <c r="AAN112" s="272"/>
      <c r="AAO112" s="272"/>
      <c r="AAP112" s="272"/>
      <c r="AAQ112" s="272"/>
      <c r="AAR112" s="272"/>
      <c r="AAS112" s="272"/>
      <c r="AAT112" s="272"/>
      <c r="AAU112" s="272"/>
      <c r="AAV112" s="272"/>
      <c r="AAW112" s="272"/>
      <c r="AAX112" s="272"/>
      <c r="AAY112" s="272"/>
      <c r="AAZ112" s="272"/>
      <c r="ABA112" s="272"/>
      <c r="ABB112" s="272"/>
      <c r="ABC112" s="272"/>
      <c r="ABD112" s="272"/>
      <c r="ABE112" s="272"/>
      <c r="ABF112" s="272"/>
      <c r="ABG112" s="272"/>
    </row>
    <row r="113" spans="1:735" s="61" customFormat="1" ht="51">
      <c r="A113" s="67" t="s">
        <v>37</v>
      </c>
      <c r="B113" s="68" t="s">
        <v>38</v>
      </c>
      <c r="C113" s="65" t="s">
        <v>52</v>
      </c>
      <c r="D113" s="65"/>
      <c r="E113" s="66"/>
      <c r="F113" s="270"/>
      <c r="G113" s="395"/>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2"/>
      <c r="CC113" s="272"/>
      <c r="CD113" s="272"/>
      <c r="CE113" s="272"/>
      <c r="CF113" s="272"/>
      <c r="CG113" s="272"/>
      <c r="CH113" s="272"/>
      <c r="CI113" s="272"/>
      <c r="CJ113" s="272"/>
      <c r="CK113" s="272"/>
      <c r="CL113" s="272"/>
      <c r="CM113" s="272"/>
      <c r="CN113" s="272"/>
      <c r="CO113" s="272"/>
      <c r="CP113" s="272"/>
      <c r="CQ113" s="272"/>
      <c r="CR113" s="272"/>
      <c r="CS113" s="272"/>
      <c r="CT113" s="272"/>
      <c r="CU113" s="272"/>
      <c r="CV113" s="272"/>
      <c r="CW113" s="272"/>
      <c r="CX113" s="272"/>
      <c r="CY113" s="272"/>
      <c r="CZ113" s="272"/>
      <c r="DA113" s="272"/>
      <c r="DB113" s="272"/>
      <c r="DC113" s="272"/>
      <c r="DD113" s="272"/>
      <c r="DE113" s="272"/>
      <c r="DF113" s="272"/>
      <c r="DG113" s="272"/>
      <c r="DH113" s="272"/>
      <c r="DI113" s="272"/>
      <c r="DJ113" s="272"/>
      <c r="DK113" s="272"/>
      <c r="DL113" s="272"/>
      <c r="DM113" s="272"/>
      <c r="DN113" s="272"/>
      <c r="DO113" s="272"/>
      <c r="DP113" s="272"/>
      <c r="DQ113" s="272"/>
      <c r="DR113" s="272"/>
      <c r="DS113" s="272"/>
      <c r="DT113" s="272"/>
      <c r="DU113" s="272"/>
      <c r="DV113" s="272"/>
      <c r="DW113" s="272"/>
      <c r="DX113" s="272"/>
      <c r="DY113" s="272"/>
      <c r="DZ113" s="272"/>
      <c r="EA113" s="272"/>
      <c r="EB113" s="272"/>
      <c r="EC113" s="272"/>
      <c r="ED113" s="272"/>
      <c r="EE113" s="272"/>
      <c r="EF113" s="272"/>
      <c r="EG113" s="272"/>
      <c r="EH113" s="272"/>
      <c r="EI113" s="272"/>
      <c r="EJ113" s="272"/>
      <c r="EK113" s="272"/>
      <c r="EL113" s="272"/>
      <c r="EM113" s="272"/>
      <c r="EN113" s="272"/>
      <c r="EO113" s="272"/>
      <c r="EP113" s="272"/>
      <c r="EQ113" s="272"/>
      <c r="ER113" s="272"/>
      <c r="ES113" s="272"/>
      <c r="ET113" s="272"/>
      <c r="EU113" s="272"/>
      <c r="EV113" s="272"/>
      <c r="EW113" s="272"/>
      <c r="EX113" s="272"/>
      <c r="EY113" s="272"/>
      <c r="EZ113" s="272"/>
      <c r="FA113" s="272"/>
      <c r="FB113" s="272"/>
      <c r="FC113" s="272"/>
      <c r="FD113" s="272"/>
      <c r="FE113" s="272"/>
      <c r="FF113" s="272"/>
      <c r="FG113" s="272"/>
      <c r="FH113" s="272"/>
      <c r="FI113" s="272"/>
      <c r="FJ113" s="272"/>
      <c r="FK113" s="272"/>
      <c r="FL113" s="272"/>
      <c r="FM113" s="272"/>
      <c r="FN113" s="272"/>
      <c r="FO113" s="272"/>
      <c r="FP113" s="272"/>
      <c r="FQ113" s="272"/>
      <c r="FR113" s="272"/>
      <c r="FS113" s="272"/>
      <c r="FT113" s="272"/>
      <c r="FU113" s="272"/>
      <c r="FV113" s="272"/>
      <c r="FW113" s="272"/>
      <c r="FX113" s="272"/>
      <c r="FY113" s="272"/>
      <c r="FZ113" s="272"/>
      <c r="GA113" s="272"/>
      <c r="GB113" s="272"/>
      <c r="GC113" s="272"/>
      <c r="GD113" s="272"/>
      <c r="GE113" s="272"/>
      <c r="GF113" s="272"/>
      <c r="GG113" s="272"/>
      <c r="GH113" s="272"/>
      <c r="GI113" s="272"/>
      <c r="GJ113" s="272"/>
      <c r="GK113" s="272"/>
      <c r="GL113" s="272"/>
      <c r="GM113" s="272"/>
      <c r="GN113" s="272"/>
      <c r="GO113" s="272"/>
      <c r="GP113" s="272"/>
      <c r="GQ113" s="272"/>
      <c r="GR113" s="272"/>
      <c r="GS113" s="272"/>
      <c r="GT113" s="272"/>
      <c r="GU113" s="272"/>
      <c r="GV113" s="272"/>
      <c r="GW113" s="272"/>
      <c r="GX113" s="272"/>
      <c r="GY113" s="272"/>
      <c r="GZ113" s="272"/>
      <c r="HA113" s="272"/>
      <c r="HB113" s="272"/>
      <c r="HC113" s="272"/>
      <c r="HD113" s="272"/>
      <c r="HE113" s="272"/>
      <c r="HF113" s="272"/>
      <c r="HG113" s="272"/>
      <c r="HH113" s="272"/>
      <c r="HI113" s="272"/>
      <c r="HJ113" s="272"/>
      <c r="HK113" s="272"/>
      <c r="HL113" s="272"/>
      <c r="HM113" s="272"/>
      <c r="HN113" s="272"/>
      <c r="HO113" s="272"/>
      <c r="HP113" s="272"/>
      <c r="HQ113" s="272"/>
      <c r="HR113" s="272"/>
      <c r="HS113" s="272"/>
      <c r="HT113" s="272"/>
      <c r="HU113" s="272"/>
      <c r="HV113" s="272"/>
      <c r="HW113" s="272"/>
      <c r="HX113" s="272"/>
      <c r="HY113" s="272"/>
      <c r="HZ113" s="272"/>
      <c r="IA113" s="272"/>
      <c r="IB113" s="272"/>
      <c r="IC113" s="272"/>
      <c r="ID113" s="272"/>
      <c r="IE113" s="272"/>
      <c r="IF113" s="272"/>
      <c r="IG113" s="272"/>
      <c r="IH113" s="272"/>
      <c r="II113" s="272"/>
      <c r="IJ113" s="272"/>
      <c r="IK113" s="272"/>
      <c r="IL113" s="272"/>
      <c r="IM113" s="272"/>
      <c r="IN113" s="272"/>
      <c r="IO113" s="272"/>
      <c r="IP113" s="272"/>
      <c r="IQ113" s="272"/>
      <c r="IR113" s="272"/>
      <c r="IS113" s="272"/>
      <c r="IT113" s="272"/>
      <c r="IU113" s="272"/>
      <c r="IV113" s="272"/>
      <c r="IW113" s="272"/>
      <c r="IX113" s="272"/>
      <c r="IY113" s="272"/>
      <c r="IZ113" s="272"/>
      <c r="JA113" s="272"/>
      <c r="JB113" s="272"/>
      <c r="JC113" s="272"/>
      <c r="JD113" s="272"/>
      <c r="JE113" s="272"/>
      <c r="JF113" s="272"/>
      <c r="JG113" s="272"/>
      <c r="JH113" s="272"/>
      <c r="JI113" s="272"/>
      <c r="JJ113" s="272"/>
      <c r="JK113" s="272"/>
      <c r="JL113" s="272"/>
      <c r="JM113" s="272"/>
      <c r="JN113" s="272"/>
      <c r="JO113" s="272"/>
      <c r="JP113" s="272"/>
      <c r="JQ113" s="272"/>
      <c r="JR113" s="272"/>
      <c r="JS113" s="272"/>
      <c r="JT113" s="272"/>
      <c r="JU113" s="272"/>
      <c r="JV113" s="272"/>
      <c r="JW113" s="272"/>
      <c r="JX113" s="272"/>
      <c r="JY113" s="272"/>
      <c r="JZ113" s="272"/>
      <c r="KA113" s="272"/>
      <c r="KB113" s="272"/>
      <c r="KC113" s="272"/>
      <c r="KD113" s="272"/>
      <c r="KE113" s="272"/>
      <c r="KF113" s="272"/>
      <c r="KG113" s="272"/>
      <c r="KH113" s="272"/>
      <c r="KI113" s="272"/>
      <c r="KJ113" s="272"/>
      <c r="KK113" s="272"/>
      <c r="KL113" s="272"/>
      <c r="KM113" s="272"/>
      <c r="KN113" s="272"/>
      <c r="KO113" s="272"/>
      <c r="KP113" s="272"/>
      <c r="KQ113" s="272"/>
      <c r="KR113" s="272"/>
      <c r="KS113" s="272"/>
      <c r="KT113" s="272"/>
      <c r="KU113" s="272"/>
      <c r="KV113" s="272"/>
      <c r="KW113" s="272"/>
      <c r="KX113" s="272"/>
      <c r="KY113" s="272"/>
      <c r="KZ113" s="272"/>
      <c r="LA113" s="272"/>
      <c r="LB113" s="272"/>
      <c r="LC113" s="272"/>
      <c r="LD113" s="272"/>
      <c r="LE113" s="272"/>
      <c r="LF113" s="272"/>
      <c r="LG113" s="272"/>
      <c r="LH113" s="272"/>
      <c r="LI113" s="272"/>
      <c r="LJ113" s="272"/>
      <c r="LK113" s="272"/>
      <c r="LL113" s="272"/>
      <c r="LM113" s="272"/>
      <c r="LN113" s="272"/>
      <c r="LO113" s="272"/>
      <c r="LP113" s="272"/>
      <c r="LQ113" s="272"/>
      <c r="LR113" s="272"/>
      <c r="LS113" s="272"/>
      <c r="LT113" s="272"/>
      <c r="LU113" s="272"/>
      <c r="LV113" s="272"/>
      <c r="LW113" s="272"/>
      <c r="LX113" s="272"/>
      <c r="LY113" s="272"/>
      <c r="LZ113" s="272"/>
      <c r="MA113" s="272"/>
      <c r="MB113" s="272"/>
      <c r="MC113" s="272"/>
      <c r="MD113" s="272"/>
      <c r="ME113" s="272"/>
      <c r="MF113" s="272"/>
      <c r="MG113" s="272"/>
      <c r="MH113" s="272"/>
      <c r="MI113" s="272"/>
      <c r="MJ113" s="272"/>
      <c r="MK113" s="272"/>
      <c r="ML113" s="272"/>
      <c r="MM113" s="272"/>
      <c r="MN113" s="272"/>
      <c r="MO113" s="272"/>
      <c r="MP113" s="272"/>
      <c r="MQ113" s="272"/>
      <c r="MR113" s="272"/>
      <c r="MS113" s="272"/>
      <c r="MT113" s="272"/>
      <c r="MU113" s="272"/>
      <c r="MV113" s="272"/>
      <c r="MW113" s="272"/>
      <c r="MX113" s="272"/>
      <c r="MY113" s="272"/>
      <c r="MZ113" s="272"/>
      <c r="NA113" s="272"/>
      <c r="NB113" s="272"/>
      <c r="NC113" s="272"/>
      <c r="ND113" s="272"/>
      <c r="NE113" s="272"/>
      <c r="NF113" s="272"/>
      <c r="NG113" s="272"/>
      <c r="NH113" s="272"/>
      <c r="NI113" s="272"/>
      <c r="NJ113" s="272"/>
      <c r="NK113" s="272"/>
      <c r="NL113" s="272"/>
      <c r="NM113" s="272"/>
      <c r="NN113" s="272"/>
      <c r="NO113" s="272"/>
      <c r="NP113" s="272"/>
      <c r="NQ113" s="272"/>
      <c r="NR113" s="272"/>
      <c r="NS113" s="272"/>
      <c r="NT113" s="272"/>
      <c r="NU113" s="272"/>
      <c r="NV113" s="272"/>
      <c r="NW113" s="272"/>
      <c r="NX113" s="272"/>
      <c r="NY113" s="272"/>
      <c r="NZ113" s="272"/>
      <c r="OA113" s="272"/>
      <c r="OB113" s="272"/>
      <c r="OC113" s="272"/>
      <c r="OD113" s="272"/>
      <c r="OE113" s="272"/>
      <c r="OF113" s="272"/>
      <c r="OG113" s="272"/>
      <c r="OH113" s="272"/>
      <c r="OI113" s="272"/>
      <c r="OJ113" s="272"/>
      <c r="OK113" s="272"/>
      <c r="OL113" s="272"/>
      <c r="OM113" s="272"/>
      <c r="ON113" s="272"/>
      <c r="OO113" s="272"/>
      <c r="OP113" s="272"/>
      <c r="OQ113" s="272"/>
      <c r="OR113" s="272"/>
      <c r="OS113" s="272"/>
      <c r="OT113" s="272"/>
      <c r="OU113" s="272"/>
      <c r="OV113" s="272"/>
      <c r="OW113" s="272"/>
      <c r="OX113" s="272"/>
      <c r="OY113" s="272"/>
      <c r="OZ113" s="272"/>
      <c r="PA113" s="272"/>
      <c r="PB113" s="272"/>
      <c r="PC113" s="272"/>
      <c r="PD113" s="272"/>
      <c r="PE113" s="272"/>
      <c r="PF113" s="272"/>
      <c r="PG113" s="272"/>
      <c r="PH113" s="272"/>
      <c r="PI113" s="272"/>
      <c r="PJ113" s="272"/>
      <c r="PK113" s="272"/>
      <c r="PL113" s="272"/>
      <c r="PM113" s="272"/>
      <c r="PN113" s="272"/>
      <c r="PO113" s="272"/>
      <c r="PP113" s="272"/>
      <c r="PQ113" s="272"/>
      <c r="PR113" s="272"/>
      <c r="PS113" s="272"/>
      <c r="PT113" s="272"/>
      <c r="PU113" s="272"/>
      <c r="PV113" s="272"/>
      <c r="PW113" s="272"/>
      <c r="PX113" s="272"/>
      <c r="PY113" s="272"/>
      <c r="PZ113" s="272"/>
      <c r="QA113" s="272"/>
      <c r="QB113" s="272"/>
      <c r="QC113" s="272"/>
      <c r="QD113" s="272"/>
      <c r="QE113" s="272"/>
      <c r="QF113" s="272"/>
      <c r="QG113" s="272"/>
      <c r="QH113" s="272"/>
      <c r="QI113" s="272"/>
      <c r="QJ113" s="272"/>
      <c r="QK113" s="272"/>
      <c r="QL113" s="272"/>
      <c r="QM113" s="272"/>
      <c r="QN113" s="272"/>
      <c r="QO113" s="272"/>
      <c r="QP113" s="272"/>
      <c r="QQ113" s="272"/>
      <c r="QR113" s="272"/>
      <c r="QS113" s="272"/>
      <c r="QT113" s="272"/>
      <c r="QU113" s="272"/>
      <c r="QV113" s="272"/>
      <c r="QW113" s="272"/>
      <c r="QX113" s="272"/>
      <c r="QY113" s="272"/>
      <c r="QZ113" s="272"/>
      <c r="RA113" s="272"/>
      <c r="RB113" s="272"/>
      <c r="RC113" s="272"/>
      <c r="RD113" s="272"/>
      <c r="RE113" s="272"/>
      <c r="RF113" s="272"/>
      <c r="RG113" s="272"/>
      <c r="RH113" s="272"/>
      <c r="RI113" s="272"/>
      <c r="RJ113" s="272"/>
      <c r="RK113" s="272"/>
      <c r="RL113" s="272"/>
      <c r="RM113" s="272"/>
      <c r="RN113" s="272"/>
      <c r="RO113" s="272"/>
      <c r="RP113" s="272"/>
      <c r="RQ113" s="272"/>
      <c r="RR113" s="272"/>
      <c r="RS113" s="272"/>
      <c r="RT113" s="272"/>
      <c r="RU113" s="272"/>
      <c r="RV113" s="272"/>
      <c r="RW113" s="272"/>
      <c r="RX113" s="272"/>
      <c r="RY113" s="272"/>
      <c r="RZ113" s="272"/>
      <c r="SA113" s="272"/>
      <c r="SB113" s="272"/>
      <c r="SC113" s="272"/>
      <c r="SD113" s="272"/>
      <c r="SE113" s="272"/>
      <c r="SF113" s="272"/>
      <c r="SG113" s="272"/>
      <c r="SH113" s="272"/>
      <c r="SI113" s="272"/>
      <c r="SJ113" s="272"/>
      <c r="SK113" s="272"/>
      <c r="SL113" s="272"/>
      <c r="SM113" s="272"/>
      <c r="SN113" s="272"/>
      <c r="SO113" s="272"/>
      <c r="SP113" s="272"/>
      <c r="SQ113" s="272"/>
      <c r="SR113" s="272"/>
      <c r="SS113" s="272"/>
      <c r="ST113" s="272"/>
      <c r="SU113" s="272"/>
      <c r="SV113" s="272"/>
      <c r="SW113" s="272"/>
      <c r="SX113" s="272"/>
      <c r="SY113" s="272"/>
      <c r="SZ113" s="272"/>
      <c r="TA113" s="272"/>
      <c r="TB113" s="272"/>
      <c r="TC113" s="272"/>
      <c r="TD113" s="272"/>
      <c r="TE113" s="272"/>
      <c r="TF113" s="272"/>
      <c r="TG113" s="272"/>
      <c r="TH113" s="272"/>
      <c r="TI113" s="272"/>
      <c r="TJ113" s="272"/>
      <c r="TK113" s="272"/>
      <c r="TL113" s="272"/>
      <c r="TM113" s="272"/>
      <c r="TN113" s="272"/>
      <c r="TO113" s="272"/>
      <c r="TP113" s="272"/>
      <c r="TQ113" s="272"/>
      <c r="TR113" s="272"/>
      <c r="TS113" s="272"/>
      <c r="TT113" s="272"/>
      <c r="TU113" s="272"/>
      <c r="TV113" s="272"/>
      <c r="TW113" s="272"/>
      <c r="TX113" s="272"/>
      <c r="TY113" s="272"/>
      <c r="TZ113" s="272"/>
      <c r="UA113" s="272"/>
      <c r="UB113" s="272"/>
      <c r="UC113" s="272"/>
      <c r="UD113" s="272"/>
      <c r="UE113" s="272"/>
      <c r="UF113" s="272"/>
      <c r="UG113" s="272"/>
      <c r="UH113" s="272"/>
      <c r="UI113" s="272"/>
      <c r="UJ113" s="272"/>
      <c r="UK113" s="272"/>
      <c r="UL113" s="272"/>
      <c r="UM113" s="272"/>
      <c r="UN113" s="272"/>
      <c r="UO113" s="272"/>
      <c r="UP113" s="272"/>
      <c r="UQ113" s="272"/>
      <c r="UR113" s="272"/>
      <c r="US113" s="272"/>
      <c r="UT113" s="272"/>
      <c r="UU113" s="272"/>
      <c r="UV113" s="272"/>
      <c r="UW113" s="272"/>
      <c r="UX113" s="272"/>
      <c r="UY113" s="272"/>
      <c r="UZ113" s="272"/>
      <c r="VA113" s="272"/>
      <c r="VB113" s="272"/>
      <c r="VC113" s="272"/>
      <c r="VD113" s="272"/>
      <c r="VE113" s="272"/>
      <c r="VF113" s="272"/>
      <c r="VG113" s="272"/>
      <c r="VH113" s="272"/>
      <c r="VI113" s="272"/>
      <c r="VJ113" s="272"/>
      <c r="VK113" s="272"/>
      <c r="VL113" s="272"/>
      <c r="VM113" s="272"/>
      <c r="VN113" s="272"/>
      <c r="VO113" s="272"/>
      <c r="VP113" s="272"/>
      <c r="VQ113" s="272"/>
      <c r="VR113" s="272"/>
      <c r="VS113" s="272"/>
      <c r="VT113" s="272"/>
      <c r="VU113" s="272"/>
      <c r="VV113" s="272"/>
      <c r="VW113" s="272"/>
      <c r="VX113" s="272"/>
      <c r="VY113" s="272"/>
      <c r="VZ113" s="272"/>
      <c r="WA113" s="272"/>
      <c r="WB113" s="272"/>
      <c r="WC113" s="272"/>
      <c r="WD113" s="272"/>
      <c r="WE113" s="272"/>
      <c r="WF113" s="272"/>
      <c r="WG113" s="272"/>
      <c r="WH113" s="272"/>
      <c r="WI113" s="272"/>
      <c r="WJ113" s="272"/>
      <c r="WK113" s="272"/>
      <c r="WL113" s="272"/>
      <c r="WM113" s="272"/>
      <c r="WN113" s="272"/>
      <c r="WO113" s="272"/>
      <c r="WP113" s="272"/>
      <c r="WQ113" s="272"/>
      <c r="WR113" s="272"/>
      <c r="WS113" s="272"/>
      <c r="WT113" s="272"/>
      <c r="WU113" s="272"/>
      <c r="WV113" s="272"/>
      <c r="WW113" s="272"/>
      <c r="WX113" s="272"/>
      <c r="WY113" s="272"/>
      <c r="WZ113" s="272"/>
      <c r="XA113" s="272"/>
      <c r="XB113" s="272"/>
      <c r="XC113" s="272"/>
      <c r="XD113" s="272"/>
      <c r="XE113" s="272"/>
      <c r="XF113" s="272"/>
      <c r="XG113" s="272"/>
      <c r="XH113" s="272"/>
      <c r="XI113" s="272"/>
      <c r="XJ113" s="272"/>
      <c r="XK113" s="272"/>
      <c r="XL113" s="272"/>
      <c r="XM113" s="272"/>
      <c r="XN113" s="272"/>
      <c r="XO113" s="272"/>
      <c r="XP113" s="272"/>
      <c r="XQ113" s="272"/>
      <c r="XR113" s="272"/>
      <c r="XS113" s="272"/>
      <c r="XT113" s="272"/>
      <c r="XU113" s="272"/>
      <c r="XV113" s="272"/>
      <c r="XW113" s="272"/>
      <c r="XX113" s="272"/>
      <c r="XY113" s="272"/>
      <c r="XZ113" s="272"/>
      <c r="YA113" s="272"/>
      <c r="YB113" s="272"/>
      <c r="YC113" s="272"/>
      <c r="YD113" s="272"/>
      <c r="YE113" s="272"/>
      <c r="YF113" s="272"/>
      <c r="YG113" s="272"/>
      <c r="YH113" s="272"/>
      <c r="YI113" s="272"/>
      <c r="YJ113" s="272"/>
      <c r="YK113" s="272"/>
      <c r="YL113" s="272"/>
      <c r="YM113" s="272"/>
      <c r="YN113" s="272"/>
      <c r="YO113" s="272"/>
      <c r="YP113" s="272"/>
      <c r="YQ113" s="272"/>
      <c r="YR113" s="272"/>
      <c r="YS113" s="272"/>
      <c r="YT113" s="272"/>
      <c r="YU113" s="272"/>
      <c r="YV113" s="272"/>
      <c r="YW113" s="272"/>
      <c r="YX113" s="272"/>
      <c r="YY113" s="272"/>
      <c r="YZ113" s="272"/>
      <c r="ZA113" s="272"/>
      <c r="ZB113" s="272"/>
      <c r="ZC113" s="272"/>
      <c r="ZD113" s="272"/>
      <c r="ZE113" s="272"/>
      <c r="ZF113" s="272"/>
      <c r="ZG113" s="272"/>
      <c r="ZH113" s="272"/>
      <c r="ZI113" s="272"/>
      <c r="ZJ113" s="272"/>
      <c r="ZK113" s="272"/>
      <c r="ZL113" s="272"/>
      <c r="ZM113" s="272"/>
      <c r="ZN113" s="272"/>
      <c r="ZO113" s="272"/>
      <c r="ZP113" s="272"/>
      <c r="ZQ113" s="272"/>
      <c r="ZR113" s="272"/>
      <c r="ZS113" s="272"/>
      <c r="ZT113" s="272"/>
      <c r="ZU113" s="272"/>
      <c r="ZV113" s="272"/>
      <c r="ZW113" s="272"/>
      <c r="ZX113" s="272"/>
      <c r="ZY113" s="272"/>
      <c r="ZZ113" s="272"/>
      <c r="AAA113" s="272"/>
      <c r="AAB113" s="272"/>
      <c r="AAC113" s="272"/>
      <c r="AAD113" s="272"/>
      <c r="AAE113" s="272"/>
      <c r="AAF113" s="272"/>
      <c r="AAG113" s="272"/>
      <c r="AAH113" s="272"/>
      <c r="AAI113" s="272"/>
      <c r="AAJ113" s="272"/>
      <c r="AAK113" s="272"/>
      <c r="AAL113" s="272"/>
      <c r="AAM113" s="272"/>
      <c r="AAN113" s="272"/>
      <c r="AAO113" s="272"/>
      <c r="AAP113" s="272"/>
      <c r="AAQ113" s="272"/>
      <c r="AAR113" s="272"/>
      <c r="AAS113" s="272"/>
      <c r="AAT113" s="272"/>
      <c r="AAU113" s="272"/>
      <c r="AAV113" s="272"/>
      <c r="AAW113" s="272"/>
      <c r="AAX113" s="272"/>
      <c r="AAY113" s="272"/>
      <c r="AAZ113" s="272"/>
      <c r="ABA113" s="272"/>
      <c r="ABB113" s="272"/>
      <c r="ABC113" s="272"/>
      <c r="ABD113" s="272"/>
      <c r="ABE113" s="272"/>
      <c r="ABF113" s="272"/>
      <c r="ABG113" s="272"/>
    </row>
    <row r="114" spans="1:735" s="19" customFormat="1" ht="15">
      <c r="A114" s="78"/>
      <c r="B114" s="79"/>
      <c r="C114" s="20" t="s">
        <v>53</v>
      </c>
      <c r="D114" s="521"/>
      <c r="E114" s="521"/>
      <c r="F114" s="522"/>
      <c r="G114" s="523"/>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2"/>
      <c r="AY114" s="272"/>
      <c r="AZ114" s="272"/>
      <c r="BA114" s="272"/>
      <c r="BB114" s="272"/>
      <c r="BC114" s="272"/>
      <c r="BD114" s="272"/>
      <c r="BE114" s="272"/>
      <c r="BF114" s="272"/>
      <c r="BG114" s="272"/>
      <c r="BH114" s="272"/>
      <c r="BI114" s="272"/>
      <c r="BJ114" s="272"/>
      <c r="BK114" s="272"/>
      <c r="BL114" s="272"/>
      <c r="BM114" s="272"/>
      <c r="BN114" s="272"/>
      <c r="BO114" s="272"/>
      <c r="BP114" s="272"/>
      <c r="BQ114" s="272"/>
      <c r="BR114" s="272"/>
      <c r="BS114" s="272"/>
      <c r="BT114" s="272"/>
      <c r="BU114" s="272"/>
      <c r="BV114" s="272"/>
      <c r="BW114" s="272"/>
      <c r="BX114" s="272"/>
      <c r="BY114" s="272"/>
      <c r="BZ114" s="272"/>
      <c r="CA114" s="272"/>
      <c r="CB114" s="272"/>
      <c r="CC114" s="272"/>
      <c r="CD114" s="272"/>
      <c r="CE114" s="272"/>
      <c r="CF114" s="272"/>
      <c r="CG114" s="272"/>
      <c r="CH114" s="272"/>
      <c r="CI114" s="272"/>
      <c r="CJ114" s="272"/>
      <c r="CK114" s="272"/>
      <c r="CL114" s="272"/>
      <c r="CM114" s="272"/>
      <c r="CN114" s="272"/>
      <c r="CO114" s="272"/>
      <c r="CP114" s="272"/>
      <c r="CQ114" s="272"/>
      <c r="CR114" s="272"/>
      <c r="CS114" s="272"/>
      <c r="CT114" s="272"/>
      <c r="CU114" s="272"/>
      <c r="CV114" s="272"/>
      <c r="CW114" s="272"/>
      <c r="CX114" s="272"/>
      <c r="CY114" s="272"/>
      <c r="CZ114" s="272"/>
      <c r="DA114" s="272"/>
      <c r="DB114" s="272"/>
      <c r="DC114" s="272"/>
      <c r="DD114" s="272"/>
      <c r="DE114" s="272"/>
      <c r="DF114" s="272"/>
      <c r="DG114" s="272"/>
      <c r="DH114" s="272"/>
      <c r="DI114" s="272"/>
      <c r="DJ114" s="272"/>
      <c r="DK114" s="272"/>
      <c r="DL114" s="272"/>
      <c r="DM114" s="272"/>
      <c r="DN114" s="272"/>
      <c r="DO114" s="272"/>
      <c r="DP114" s="272"/>
      <c r="DQ114" s="272"/>
      <c r="DR114" s="272"/>
      <c r="DS114" s="272"/>
      <c r="DT114" s="272"/>
      <c r="DU114" s="272"/>
      <c r="DV114" s="272"/>
      <c r="DW114" s="272"/>
      <c r="DX114" s="272"/>
      <c r="DY114" s="272"/>
      <c r="DZ114" s="272"/>
      <c r="EA114" s="272"/>
      <c r="EB114" s="272"/>
      <c r="EC114" s="272"/>
      <c r="ED114" s="272"/>
      <c r="EE114" s="272"/>
      <c r="EF114" s="272"/>
      <c r="EG114" s="272"/>
      <c r="EH114" s="272"/>
      <c r="EI114" s="272"/>
      <c r="EJ114" s="272"/>
      <c r="EK114" s="272"/>
      <c r="EL114" s="272"/>
      <c r="EM114" s="272"/>
      <c r="EN114" s="272"/>
      <c r="EO114" s="272"/>
      <c r="EP114" s="272"/>
      <c r="EQ114" s="272"/>
      <c r="ER114" s="272"/>
      <c r="ES114" s="272"/>
      <c r="ET114" s="272"/>
      <c r="EU114" s="272"/>
      <c r="EV114" s="272"/>
      <c r="EW114" s="272"/>
      <c r="EX114" s="272"/>
      <c r="EY114" s="272"/>
      <c r="EZ114" s="272"/>
      <c r="FA114" s="272"/>
      <c r="FB114" s="272"/>
      <c r="FC114" s="272"/>
      <c r="FD114" s="272"/>
      <c r="FE114" s="272"/>
      <c r="FF114" s="272"/>
      <c r="FG114" s="272"/>
      <c r="FH114" s="272"/>
      <c r="FI114" s="272"/>
      <c r="FJ114" s="272"/>
      <c r="FK114" s="272"/>
      <c r="FL114" s="272"/>
      <c r="FM114" s="272"/>
      <c r="FN114" s="272"/>
      <c r="FO114" s="272"/>
      <c r="FP114" s="272"/>
      <c r="FQ114" s="272"/>
      <c r="FR114" s="272"/>
      <c r="FS114" s="272"/>
      <c r="FT114" s="272"/>
      <c r="FU114" s="272"/>
      <c r="FV114" s="272"/>
      <c r="FW114" s="272"/>
      <c r="FX114" s="272"/>
      <c r="FY114" s="272"/>
      <c r="FZ114" s="272"/>
      <c r="GA114" s="272"/>
      <c r="GB114" s="272"/>
      <c r="GC114" s="272"/>
      <c r="GD114" s="272"/>
      <c r="GE114" s="272"/>
      <c r="GF114" s="272"/>
      <c r="GG114" s="272"/>
      <c r="GH114" s="272"/>
      <c r="GI114" s="272"/>
      <c r="GJ114" s="272"/>
      <c r="GK114" s="272"/>
      <c r="GL114" s="272"/>
      <c r="GM114" s="272"/>
      <c r="GN114" s="272"/>
      <c r="GO114" s="272"/>
      <c r="GP114" s="272"/>
      <c r="GQ114" s="272"/>
      <c r="GR114" s="272"/>
      <c r="GS114" s="272"/>
      <c r="GT114" s="272"/>
      <c r="GU114" s="272"/>
      <c r="GV114" s="272"/>
      <c r="GW114" s="272"/>
      <c r="GX114" s="272"/>
      <c r="GY114" s="272"/>
      <c r="GZ114" s="272"/>
      <c r="HA114" s="272"/>
      <c r="HB114" s="272"/>
      <c r="HC114" s="272"/>
      <c r="HD114" s="272"/>
      <c r="HE114" s="272"/>
      <c r="HF114" s="272"/>
      <c r="HG114" s="272"/>
      <c r="HH114" s="272"/>
      <c r="HI114" s="272"/>
      <c r="HJ114" s="272"/>
      <c r="HK114" s="272"/>
      <c r="HL114" s="272"/>
      <c r="HM114" s="272"/>
      <c r="HN114" s="272"/>
      <c r="HO114" s="272"/>
      <c r="HP114" s="272"/>
      <c r="HQ114" s="272"/>
      <c r="HR114" s="272"/>
      <c r="HS114" s="272"/>
      <c r="HT114" s="272"/>
      <c r="HU114" s="272"/>
      <c r="HV114" s="272"/>
      <c r="HW114" s="272"/>
      <c r="HX114" s="272"/>
      <c r="HY114" s="272"/>
      <c r="HZ114" s="272"/>
      <c r="IA114" s="272"/>
      <c r="IB114" s="272"/>
      <c r="IC114" s="272"/>
      <c r="ID114" s="272"/>
      <c r="IE114" s="272"/>
      <c r="IF114" s="272"/>
      <c r="IG114" s="272"/>
      <c r="IH114" s="272"/>
      <c r="II114" s="272"/>
      <c r="IJ114" s="272"/>
      <c r="IK114" s="272"/>
      <c r="IL114" s="272"/>
      <c r="IM114" s="272"/>
      <c r="IN114" s="272"/>
      <c r="IO114" s="272"/>
      <c r="IP114" s="272"/>
      <c r="IQ114" s="272"/>
      <c r="IR114" s="272"/>
      <c r="IS114" s="272"/>
      <c r="IT114" s="272"/>
      <c r="IU114" s="272"/>
      <c r="IV114" s="272"/>
      <c r="IW114" s="272"/>
      <c r="IX114" s="272"/>
      <c r="IY114" s="272"/>
      <c r="IZ114" s="272"/>
      <c r="JA114" s="272"/>
      <c r="JB114" s="272"/>
      <c r="JC114" s="272"/>
      <c r="JD114" s="272"/>
      <c r="JE114" s="272"/>
      <c r="JF114" s="272"/>
      <c r="JG114" s="272"/>
      <c r="JH114" s="272"/>
      <c r="JI114" s="272"/>
      <c r="JJ114" s="272"/>
      <c r="JK114" s="272"/>
      <c r="JL114" s="272"/>
      <c r="JM114" s="272"/>
      <c r="JN114" s="272"/>
      <c r="JO114" s="272"/>
      <c r="JP114" s="272"/>
      <c r="JQ114" s="272"/>
      <c r="JR114" s="272"/>
      <c r="JS114" s="272"/>
      <c r="JT114" s="272"/>
      <c r="JU114" s="272"/>
      <c r="JV114" s="272"/>
      <c r="JW114" s="272"/>
      <c r="JX114" s="272"/>
      <c r="JY114" s="272"/>
      <c r="JZ114" s="272"/>
      <c r="KA114" s="272"/>
      <c r="KB114" s="272"/>
      <c r="KC114" s="272"/>
      <c r="KD114" s="272"/>
      <c r="KE114" s="272"/>
      <c r="KF114" s="272"/>
      <c r="KG114" s="272"/>
      <c r="KH114" s="272"/>
      <c r="KI114" s="272"/>
      <c r="KJ114" s="272"/>
      <c r="KK114" s="272"/>
      <c r="KL114" s="272"/>
      <c r="KM114" s="272"/>
      <c r="KN114" s="272"/>
      <c r="KO114" s="272"/>
      <c r="KP114" s="272"/>
      <c r="KQ114" s="272"/>
      <c r="KR114" s="272"/>
      <c r="KS114" s="272"/>
      <c r="KT114" s="272"/>
      <c r="KU114" s="272"/>
      <c r="KV114" s="272"/>
      <c r="KW114" s="272"/>
      <c r="KX114" s="272"/>
      <c r="KY114" s="272"/>
      <c r="KZ114" s="272"/>
      <c r="LA114" s="272"/>
      <c r="LB114" s="272"/>
      <c r="LC114" s="272"/>
      <c r="LD114" s="272"/>
      <c r="LE114" s="272"/>
      <c r="LF114" s="272"/>
      <c r="LG114" s="272"/>
      <c r="LH114" s="272"/>
      <c r="LI114" s="272"/>
      <c r="LJ114" s="272"/>
      <c r="LK114" s="272"/>
      <c r="LL114" s="272"/>
      <c r="LM114" s="272"/>
      <c r="LN114" s="272"/>
      <c r="LO114" s="272"/>
      <c r="LP114" s="272"/>
      <c r="LQ114" s="272"/>
      <c r="LR114" s="272"/>
      <c r="LS114" s="272"/>
      <c r="LT114" s="272"/>
      <c r="LU114" s="272"/>
      <c r="LV114" s="272"/>
      <c r="LW114" s="272"/>
      <c r="LX114" s="272"/>
      <c r="LY114" s="272"/>
      <c r="LZ114" s="272"/>
      <c r="MA114" s="272"/>
      <c r="MB114" s="272"/>
      <c r="MC114" s="272"/>
      <c r="MD114" s="272"/>
      <c r="ME114" s="272"/>
      <c r="MF114" s="272"/>
      <c r="MG114" s="272"/>
      <c r="MH114" s="272"/>
      <c r="MI114" s="272"/>
      <c r="MJ114" s="272"/>
      <c r="MK114" s="272"/>
      <c r="ML114" s="272"/>
      <c r="MM114" s="272"/>
      <c r="MN114" s="272"/>
      <c r="MO114" s="272"/>
      <c r="MP114" s="272"/>
      <c r="MQ114" s="272"/>
      <c r="MR114" s="272"/>
      <c r="MS114" s="272"/>
      <c r="MT114" s="272"/>
      <c r="MU114" s="272"/>
      <c r="MV114" s="272"/>
      <c r="MW114" s="272"/>
      <c r="MX114" s="272"/>
      <c r="MY114" s="272"/>
      <c r="MZ114" s="272"/>
      <c r="NA114" s="272"/>
      <c r="NB114" s="272"/>
      <c r="NC114" s="272"/>
      <c r="ND114" s="272"/>
      <c r="NE114" s="272"/>
      <c r="NF114" s="272"/>
      <c r="NG114" s="272"/>
      <c r="NH114" s="272"/>
      <c r="NI114" s="272"/>
      <c r="NJ114" s="272"/>
      <c r="NK114" s="272"/>
      <c r="NL114" s="272"/>
      <c r="NM114" s="272"/>
      <c r="NN114" s="272"/>
      <c r="NO114" s="272"/>
      <c r="NP114" s="272"/>
      <c r="NQ114" s="272"/>
      <c r="NR114" s="272"/>
      <c r="NS114" s="272"/>
      <c r="NT114" s="272"/>
      <c r="NU114" s="272"/>
      <c r="NV114" s="272"/>
      <c r="NW114" s="272"/>
      <c r="NX114" s="272"/>
      <c r="NY114" s="272"/>
      <c r="NZ114" s="272"/>
      <c r="OA114" s="272"/>
      <c r="OB114" s="272"/>
      <c r="OC114" s="272"/>
      <c r="OD114" s="272"/>
      <c r="OE114" s="272"/>
      <c r="OF114" s="272"/>
      <c r="OG114" s="272"/>
      <c r="OH114" s="272"/>
      <c r="OI114" s="272"/>
      <c r="OJ114" s="272"/>
      <c r="OK114" s="272"/>
      <c r="OL114" s="272"/>
      <c r="OM114" s="272"/>
      <c r="ON114" s="272"/>
      <c r="OO114" s="272"/>
      <c r="OP114" s="272"/>
      <c r="OQ114" s="272"/>
      <c r="OR114" s="272"/>
      <c r="OS114" s="272"/>
      <c r="OT114" s="272"/>
      <c r="OU114" s="272"/>
      <c r="OV114" s="272"/>
      <c r="OW114" s="272"/>
      <c r="OX114" s="272"/>
      <c r="OY114" s="272"/>
      <c r="OZ114" s="272"/>
      <c r="PA114" s="272"/>
      <c r="PB114" s="272"/>
      <c r="PC114" s="272"/>
      <c r="PD114" s="272"/>
      <c r="PE114" s="272"/>
      <c r="PF114" s="272"/>
      <c r="PG114" s="272"/>
      <c r="PH114" s="272"/>
      <c r="PI114" s="272"/>
      <c r="PJ114" s="272"/>
      <c r="PK114" s="272"/>
      <c r="PL114" s="272"/>
      <c r="PM114" s="272"/>
      <c r="PN114" s="272"/>
      <c r="PO114" s="272"/>
      <c r="PP114" s="272"/>
      <c r="PQ114" s="272"/>
      <c r="PR114" s="272"/>
      <c r="PS114" s="272"/>
      <c r="PT114" s="272"/>
      <c r="PU114" s="272"/>
      <c r="PV114" s="272"/>
      <c r="PW114" s="272"/>
      <c r="PX114" s="272"/>
      <c r="PY114" s="272"/>
      <c r="PZ114" s="272"/>
      <c r="QA114" s="272"/>
      <c r="QB114" s="272"/>
      <c r="QC114" s="272"/>
      <c r="QD114" s="272"/>
      <c r="QE114" s="272"/>
      <c r="QF114" s="272"/>
      <c r="QG114" s="272"/>
      <c r="QH114" s="272"/>
      <c r="QI114" s="272"/>
      <c r="QJ114" s="272"/>
      <c r="QK114" s="272"/>
      <c r="QL114" s="272"/>
      <c r="QM114" s="272"/>
      <c r="QN114" s="272"/>
      <c r="QO114" s="272"/>
      <c r="QP114" s="272"/>
      <c r="QQ114" s="272"/>
      <c r="QR114" s="272"/>
      <c r="QS114" s="272"/>
      <c r="QT114" s="272"/>
      <c r="QU114" s="272"/>
      <c r="QV114" s="272"/>
      <c r="QW114" s="272"/>
      <c r="QX114" s="272"/>
      <c r="QY114" s="272"/>
      <c r="QZ114" s="272"/>
      <c r="RA114" s="272"/>
      <c r="RB114" s="272"/>
      <c r="RC114" s="272"/>
      <c r="RD114" s="272"/>
      <c r="RE114" s="272"/>
      <c r="RF114" s="272"/>
      <c r="RG114" s="272"/>
      <c r="RH114" s="272"/>
      <c r="RI114" s="272"/>
      <c r="RJ114" s="272"/>
      <c r="RK114" s="272"/>
      <c r="RL114" s="272"/>
      <c r="RM114" s="272"/>
      <c r="RN114" s="272"/>
      <c r="RO114" s="272"/>
      <c r="RP114" s="272"/>
      <c r="RQ114" s="272"/>
      <c r="RR114" s="272"/>
      <c r="RS114" s="272"/>
      <c r="RT114" s="272"/>
      <c r="RU114" s="272"/>
      <c r="RV114" s="272"/>
      <c r="RW114" s="272"/>
      <c r="RX114" s="272"/>
      <c r="RY114" s="272"/>
      <c r="RZ114" s="272"/>
      <c r="SA114" s="272"/>
      <c r="SB114" s="272"/>
      <c r="SC114" s="272"/>
      <c r="SD114" s="272"/>
      <c r="SE114" s="272"/>
      <c r="SF114" s="272"/>
      <c r="SG114" s="272"/>
      <c r="SH114" s="272"/>
      <c r="SI114" s="272"/>
      <c r="SJ114" s="272"/>
      <c r="SK114" s="272"/>
      <c r="SL114" s="272"/>
      <c r="SM114" s="272"/>
      <c r="SN114" s="272"/>
      <c r="SO114" s="272"/>
      <c r="SP114" s="272"/>
      <c r="SQ114" s="272"/>
      <c r="SR114" s="272"/>
      <c r="SS114" s="272"/>
      <c r="ST114" s="272"/>
      <c r="SU114" s="272"/>
      <c r="SV114" s="272"/>
      <c r="SW114" s="272"/>
      <c r="SX114" s="272"/>
      <c r="SY114" s="272"/>
      <c r="SZ114" s="272"/>
      <c r="TA114" s="272"/>
      <c r="TB114" s="272"/>
      <c r="TC114" s="272"/>
      <c r="TD114" s="272"/>
      <c r="TE114" s="272"/>
      <c r="TF114" s="272"/>
      <c r="TG114" s="272"/>
      <c r="TH114" s="272"/>
      <c r="TI114" s="272"/>
      <c r="TJ114" s="272"/>
      <c r="TK114" s="272"/>
      <c r="TL114" s="272"/>
      <c r="TM114" s="272"/>
      <c r="TN114" s="272"/>
      <c r="TO114" s="272"/>
      <c r="TP114" s="272"/>
      <c r="TQ114" s="272"/>
      <c r="TR114" s="272"/>
      <c r="TS114" s="272"/>
      <c r="TT114" s="272"/>
      <c r="TU114" s="272"/>
      <c r="TV114" s="272"/>
      <c r="TW114" s="272"/>
      <c r="TX114" s="272"/>
      <c r="TY114" s="272"/>
      <c r="TZ114" s="272"/>
      <c r="UA114" s="272"/>
      <c r="UB114" s="272"/>
      <c r="UC114" s="272"/>
      <c r="UD114" s="272"/>
      <c r="UE114" s="272"/>
      <c r="UF114" s="272"/>
      <c r="UG114" s="272"/>
      <c r="UH114" s="272"/>
      <c r="UI114" s="272"/>
      <c r="UJ114" s="272"/>
      <c r="UK114" s="272"/>
      <c r="UL114" s="272"/>
      <c r="UM114" s="272"/>
      <c r="UN114" s="272"/>
      <c r="UO114" s="272"/>
      <c r="UP114" s="272"/>
      <c r="UQ114" s="272"/>
      <c r="UR114" s="272"/>
      <c r="US114" s="272"/>
      <c r="UT114" s="272"/>
      <c r="UU114" s="272"/>
      <c r="UV114" s="272"/>
      <c r="UW114" s="272"/>
      <c r="UX114" s="272"/>
      <c r="UY114" s="272"/>
      <c r="UZ114" s="272"/>
      <c r="VA114" s="272"/>
      <c r="VB114" s="272"/>
      <c r="VC114" s="272"/>
      <c r="VD114" s="272"/>
      <c r="VE114" s="272"/>
      <c r="VF114" s="272"/>
      <c r="VG114" s="272"/>
      <c r="VH114" s="272"/>
      <c r="VI114" s="272"/>
      <c r="VJ114" s="272"/>
      <c r="VK114" s="272"/>
      <c r="VL114" s="272"/>
      <c r="VM114" s="272"/>
      <c r="VN114" s="272"/>
      <c r="VO114" s="272"/>
      <c r="VP114" s="272"/>
      <c r="VQ114" s="272"/>
      <c r="VR114" s="272"/>
      <c r="VS114" s="272"/>
      <c r="VT114" s="272"/>
      <c r="VU114" s="272"/>
      <c r="VV114" s="272"/>
      <c r="VW114" s="272"/>
      <c r="VX114" s="272"/>
      <c r="VY114" s="272"/>
      <c r="VZ114" s="272"/>
      <c r="WA114" s="272"/>
      <c r="WB114" s="272"/>
      <c r="WC114" s="272"/>
      <c r="WD114" s="272"/>
      <c r="WE114" s="272"/>
      <c r="WF114" s="272"/>
      <c r="WG114" s="272"/>
      <c r="WH114" s="272"/>
      <c r="WI114" s="272"/>
      <c r="WJ114" s="272"/>
      <c r="WK114" s="272"/>
      <c r="WL114" s="272"/>
      <c r="WM114" s="272"/>
      <c r="WN114" s="272"/>
      <c r="WO114" s="272"/>
      <c r="WP114" s="272"/>
      <c r="WQ114" s="272"/>
      <c r="WR114" s="272"/>
      <c r="WS114" s="272"/>
      <c r="WT114" s="272"/>
      <c r="WU114" s="272"/>
      <c r="WV114" s="272"/>
      <c r="WW114" s="272"/>
      <c r="WX114" s="272"/>
      <c r="WY114" s="272"/>
      <c r="WZ114" s="272"/>
      <c r="XA114" s="272"/>
      <c r="XB114" s="272"/>
      <c r="XC114" s="272"/>
      <c r="XD114" s="272"/>
      <c r="XE114" s="272"/>
      <c r="XF114" s="272"/>
      <c r="XG114" s="272"/>
      <c r="XH114" s="272"/>
      <c r="XI114" s="272"/>
      <c r="XJ114" s="272"/>
      <c r="XK114" s="272"/>
      <c r="XL114" s="272"/>
      <c r="XM114" s="272"/>
      <c r="XN114" s="272"/>
      <c r="XO114" s="272"/>
      <c r="XP114" s="272"/>
      <c r="XQ114" s="272"/>
      <c r="XR114" s="272"/>
      <c r="XS114" s="272"/>
      <c r="XT114" s="272"/>
      <c r="XU114" s="272"/>
      <c r="XV114" s="272"/>
      <c r="XW114" s="272"/>
      <c r="XX114" s="272"/>
      <c r="XY114" s="272"/>
      <c r="XZ114" s="272"/>
      <c r="YA114" s="272"/>
      <c r="YB114" s="272"/>
      <c r="YC114" s="272"/>
      <c r="YD114" s="272"/>
      <c r="YE114" s="272"/>
      <c r="YF114" s="272"/>
      <c r="YG114" s="272"/>
      <c r="YH114" s="272"/>
      <c r="YI114" s="272"/>
      <c r="YJ114" s="272"/>
      <c r="YK114" s="272"/>
      <c r="YL114" s="272"/>
      <c r="YM114" s="272"/>
      <c r="YN114" s="272"/>
      <c r="YO114" s="272"/>
      <c r="YP114" s="272"/>
      <c r="YQ114" s="272"/>
      <c r="YR114" s="272"/>
      <c r="YS114" s="272"/>
      <c r="YT114" s="272"/>
      <c r="YU114" s="272"/>
      <c r="YV114" s="272"/>
      <c r="YW114" s="272"/>
      <c r="YX114" s="272"/>
      <c r="YY114" s="272"/>
      <c r="YZ114" s="272"/>
      <c r="ZA114" s="272"/>
      <c r="ZB114" s="272"/>
      <c r="ZC114" s="272"/>
      <c r="ZD114" s="272"/>
      <c r="ZE114" s="272"/>
      <c r="ZF114" s="272"/>
      <c r="ZG114" s="272"/>
      <c r="ZH114" s="272"/>
      <c r="ZI114" s="272"/>
      <c r="ZJ114" s="272"/>
      <c r="ZK114" s="272"/>
      <c r="ZL114" s="272"/>
      <c r="ZM114" s="272"/>
      <c r="ZN114" s="272"/>
      <c r="ZO114" s="272"/>
      <c r="ZP114" s="272"/>
      <c r="ZQ114" s="272"/>
      <c r="ZR114" s="272"/>
      <c r="ZS114" s="272"/>
      <c r="ZT114" s="272"/>
      <c r="ZU114" s="272"/>
      <c r="ZV114" s="272"/>
      <c r="ZW114" s="272"/>
      <c r="ZX114" s="272"/>
      <c r="ZY114" s="272"/>
      <c r="ZZ114" s="272"/>
      <c r="AAA114" s="272"/>
      <c r="AAB114" s="272"/>
      <c r="AAC114" s="272"/>
      <c r="AAD114" s="272"/>
      <c r="AAE114" s="272"/>
      <c r="AAF114" s="272"/>
      <c r="AAG114" s="272"/>
      <c r="AAH114" s="272"/>
      <c r="AAI114" s="272"/>
      <c r="AAJ114" s="272"/>
      <c r="AAK114" s="272"/>
      <c r="AAL114" s="272"/>
      <c r="AAM114" s="272"/>
      <c r="AAN114" s="272"/>
      <c r="AAO114" s="272"/>
      <c r="AAP114" s="272"/>
      <c r="AAQ114" s="272"/>
      <c r="AAR114" s="272"/>
      <c r="AAS114" s="272"/>
      <c r="AAT114" s="272"/>
      <c r="AAU114" s="272"/>
      <c r="AAV114" s="272"/>
      <c r="AAW114" s="272"/>
      <c r="AAX114" s="272"/>
      <c r="AAY114" s="272"/>
      <c r="AAZ114" s="272"/>
      <c r="ABA114" s="272"/>
      <c r="ABB114" s="272"/>
      <c r="ABC114" s="272"/>
      <c r="ABD114" s="272"/>
      <c r="ABE114" s="272"/>
      <c r="ABF114" s="272"/>
      <c r="ABG114" s="272"/>
    </row>
    <row r="115" spans="1:735" s="62" customFormat="1" ht="13.5" thickBot="1">
      <c r="A115" s="80"/>
      <c r="B115" s="81"/>
      <c r="C115" s="32" t="s">
        <v>54</v>
      </c>
      <c r="D115" s="524"/>
      <c r="E115" s="524"/>
      <c r="F115" s="525"/>
      <c r="G115" s="526"/>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72"/>
      <c r="BR115" s="272"/>
      <c r="BS115" s="272"/>
      <c r="BT115" s="272"/>
      <c r="BU115" s="272"/>
      <c r="BV115" s="272"/>
      <c r="BW115" s="272"/>
      <c r="BX115" s="272"/>
      <c r="BY115" s="272"/>
      <c r="BZ115" s="272"/>
      <c r="CA115" s="272"/>
      <c r="CB115" s="272"/>
      <c r="CC115" s="272"/>
      <c r="CD115" s="272"/>
      <c r="CE115" s="272"/>
      <c r="CF115" s="272"/>
      <c r="CG115" s="272"/>
      <c r="CH115" s="272"/>
      <c r="CI115" s="272"/>
      <c r="CJ115" s="272"/>
      <c r="CK115" s="272"/>
      <c r="CL115" s="272"/>
      <c r="CM115" s="272"/>
      <c r="CN115" s="272"/>
      <c r="CO115" s="272"/>
      <c r="CP115" s="272"/>
      <c r="CQ115" s="272"/>
      <c r="CR115" s="272"/>
      <c r="CS115" s="272"/>
      <c r="CT115" s="272"/>
      <c r="CU115" s="272"/>
      <c r="CV115" s="272"/>
      <c r="CW115" s="272"/>
      <c r="CX115" s="272"/>
      <c r="CY115" s="272"/>
      <c r="CZ115" s="272"/>
      <c r="DA115" s="272"/>
      <c r="DB115" s="272"/>
      <c r="DC115" s="272"/>
      <c r="DD115" s="272"/>
      <c r="DE115" s="272"/>
      <c r="DF115" s="272"/>
      <c r="DG115" s="272"/>
      <c r="DH115" s="272"/>
      <c r="DI115" s="272"/>
      <c r="DJ115" s="272"/>
      <c r="DK115" s="272"/>
      <c r="DL115" s="272"/>
      <c r="DM115" s="272"/>
      <c r="DN115" s="272"/>
      <c r="DO115" s="272"/>
      <c r="DP115" s="272"/>
      <c r="DQ115" s="272"/>
      <c r="DR115" s="272"/>
      <c r="DS115" s="272"/>
      <c r="DT115" s="272"/>
      <c r="DU115" s="272"/>
      <c r="DV115" s="272"/>
      <c r="DW115" s="272"/>
      <c r="DX115" s="272"/>
      <c r="DY115" s="272"/>
      <c r="DZ115" s="272"/>
      <c r="EA115" s="272"/>
      <c r="EB115" s="272"/>
      <c r="EC115" s="272"/>
      <c r="ED115" s="272"/>
      <c r="EE115" s="272"/>
      <c r="EF115" s="272"/>
      <c r="EG115" s="272"/>
      <c r="EH115" s="272"/>
      <c r="EI115" s="272"/>
      <c r="EJ115" s="272"/>
      <c r="EK115" s="272"/>
      <c r="EL115" s="272"/>
      <c r="EM115" s="272"/>
      <c r="EN115" s="272"/>
      <c r="EO115" s="272"/>
      <c r="EP115" s="272"/>
      <c r="EQ115" s="272"/>
      <c r="ER115" s="272"/>
      <c r="ES115" s="272"/>
      <c r="ET115" s="272"/>
      <c r="EU115" s="272"/>
      <c r="EV115" s="272"/>
      <c r="EW115" s="272"/>
      <c r="EX115" s="272"/>
      <c r="EY115" s="272"/>
      <c r="EZ115" s="272"/>
      <c r="FA115" s="272"/>
      <c r="FB115" s="272"/>
      <c r="FC115" s="272"/>
      <c r="FD115" s="272"/>
      <c r="FE115" s="272"/>
      <c r="FF115" s="272"/>
      <c r="FG115" s="272"/>
      <c r="FH115" s="272"/>
      <c r="FI115" s="272"/>
      <c r="FJ115" s="272"/>
      <c r="FK115" s="272"/>
      <c r="FL115" s="272"/>
      <c r="FM115" s="272"/>
      <c r="FN115" s="272"/>
      <c r="FO115" s="272"/>
      <c r="FP115" s="272"/>
      <c r="FQ115" s="272"/>
      <c r="FR115" s="272"/>
      <c r="FS115" s="272"/>
      <c r="FT115" s="272"/>
      <c r="FU115" s="272"/>
      <c r="FV115" s="272"/>
      <c r="FW115" s="272"/>
      <c r="FX115" s="272"/>
      <c r="FY115" s="272"/>
      <c r="FZ115" s="272"/>
      <c r="GA115" s="272"/>
      <c r="GB115" s="272"/>
      <c r="GC115" s="272"/>
      <c r="GD115" s="272"/>
      <c r="GE115" s="272"/>
      <c r="GF115" s="272"/>
      <c r="GG115" s="272"/>
      <c r="GH115" s="272"/>
      <c r="GI115" s="272"/>
      <c r="GJ115" s="272"/>
      <c r="GK115" s="272"/>
      <c r="GL115" s="272"/>
      <c r="GM115" s="272"/>
      <c r="GN115" s="272"/>
      <c r="GO115" s="272"/>
      <c r="GP115" s="272"/>
      <c r="GQ115" s="272"/>
      <c r="GR115" s="272"/>
      <c r="GS115" s="272"/>
      <c r="GT115" s="272"/>
      <c r="GU115" s="272"/>
      <c r="GV115" s="272"/>
      <c r="GW115" s="272"/>
      <c r="GX115" s="272"/>
      <c r="GY115" s="272"/>
      <c r="GZ115" s="272"/>
      <c r="HA115" s="272"/>
      <c r="HB115" s="272"/>
      <c r="HC115" s="272"/>
      <c r="HD115" s="272"/>
      <c r="HE115" s="272"/>
      <c r="HF115" s="272"/>
      <c r="HG115" s="272"/>
      <c r="HH115" s="272"/>
      <c r="HI115" s="272"/>
      <c r="HJ115" s="272"/>
      <c r="HK115" s="272"/>
      <c r="HL115" s="272"/>
      <c r="HM115" s="272"/>
      <c r="HN115" s="272"/>
      <c r="HO115" s="272"/>
      <c r="HP115" s="272"/>
      <c r="HQ115" s="272"/>
      <c r="HR115" s="272"/>
      <c r="HS115" s="272"/>
      <c r="HT115" s="272"/>
      <c r="HU115" s="272"/>
      <c r="HV115" s="272"/>
      <c r="HW115" s="272"/>
      <c r="HX115" s="272"/>
      <c r="HY115" s="272"/>
      <c r="HZ115" s="272"/>
      <c r="IA115" s="272"/>
      <c r="IB115" s="272"/>
      <c r="IC115" s="272"/>
      <c r="ID115" s="272"/>
      <c r="IE115" s="272"/>
      <c r="IF115" s="272"/>
      <c r="IG115" s="272"/>
      <c r="IH115" s="272"/>
      <c r="II115" s="272"/>
      <c r="IJ115" s="272"/>
      <c r="IK115" s="272"/>
      <c r="IL115" s="272"/>
      <c r="IM115" s="272"/>
      <c r="IN115" s="272"/>
      <c r="IO115" s="272"/>
      <c r="IP115" s="272"/>
      <c r="IQ115" s="272"/>
      <c r="IR115" s="272"/>
      <c r="IS115" s="272"/>
      <c r="IT115" s="272"/>
      <c r="IU115" s="272"/>
      <c r="IV115" s="272"/>
      <c r="IW115" s="272"/>
      <c r="IX115" s="272"/>
      <c r="IY115" s="272"/>
      <c r="IZ115" s="272"/>
      <c r="JA115" s="272"/>
      <c r="JB115" s="272"/>
      <c r="JC115" s="272"/>
      <c r="JD115" s="272"/>
      <c r="JE115" s="272"/>
      <c r="JF115" s="272"/>
      <c r="JG115" s="272"/>
      <c r="JH115" s="272"/>
      <c r="JI115" s="272"/>
      <c r="JJ115" s="272"/>
      <c r="JK115" s="272"/>
      <c r="JL115" s="272"/>
      <c r="JM115" s="272"/>
      <c r="JN115" s="272"/>
      <c r="JO115" s="272"/>
      <c r="JP115" s="272"/>
      <c r="JQ115" s="272"/>
      <c r="JR115" s="272"/>
      <c r="JS115" s="272"/>
      <c r="JT115" s="272"/>
      <c r="JU115" s="272"/>
      <c r="JV115" s="272"/>
      <c r="JW115" s="272"/>
      <c r="JX115" s="272"/>
      <c r="JY115" s="272"/>
      <c r="JZ115" s="272"/>
      <c r="KA115" s="272"/>
      <c r="KB115" s="272"/>
      <c r="KC115" s="272"/>
      <c r="KD115" s="272"/>
      <c r="KE115" s="272"/>
      <c r="KF115" s="272"/>
      <c r="KG115" s="272"/>
      <c r="KH115" s="272"/>
      <c r="KI115" s="272"/>
      <c r="KJ115" s="272"/>
      <c r="KK115" s="272"/>
      <c r="KL115" s="272"/>
      <c r="KM115" s="272"/>
      <c r="KN115" s="272"/>
      <c r="KO115" s="272"/>
      <c r="KP115" s="272"/>
      <c r="KQ115" s="272"/>
      <c r="KR115" s="272"/>
      <c r="KS115" s="272"/>
      <c r="KT115" s="272"/>
      <c r="KU115" s="272"/>
      <c r="KV115" s="272"/>
      <c r="KW115" s="272"/>
      <c r="KX115" s="272"/>
      <c r="KY115" s="272"/>
      <c r="KZ115" s="272"/>
      <c r="LA115" s="272"/>
      <c r="LB115" s="272"/>
      <c r="LC115" s="272"/>
      <c r="LD115" s="272"/>
      <c r="LE115" s="272"/>
      <c r="LF115" s="272"/>
      <c r="LG115" s="272"/>
      <c r="LH115" s="272"/>
      <c r="LI115" s="272"/>
      <c r="LJ115" s="272"/>
      <c r="LK115" s="272"/>
      <c r="LL115" s="272"/>
      <c r="LM115" s="272"/>
      <c r="LN115" s="272"/>
      <c r="LO115" s="272"/>
      <c r="LP115" s="272"/>
      <c r="LQ115" s="272"/>
      <c r="LR115" s="272"/>
      <c r="LS115" s="272"/>
      <c r="LT115" s="272"/>
      <c r="LU115" s="272"/>
      <c r="LV115" s="272"/>
      <c r="LW115" s="272"/>
      <c r="LX115" s="272"/>
      <c r="LY115" s="272"/>
      <c r="LZ115" s="272"/>
      <c r="MA115" s="272"/>
      <c r="MB115" s="272"/>
      <c r="MC115" s="272"/>
      <c r="MD115" s="272"/>
      <c r="ME115" s="272"/>
      <c r="MF115" s="272"/>
      <c r="MG115" s="272"/>
      <c r="MH115" s="272"/>
      <c r="MI115" s="272"/>
      <c r="MJ115" s="272"/>
      <c r="MK115" s="272"/>
      <c r="ML115" s="272"/>
      <c r="MM115" s="272"/>
      <c r="MN115" s="272"/>
      <c r="MO115" s="272"/>
      <c r="MP115" s="272"/>
      <c r="MQ115" s="272"/>
      <c r="MR115" s="272"/>
      <c r="MS115" s="272"/>
      <c r="MT115" s="272"/>
      <c r="MU115" s="272"/>
      <c r="MV115" s="272"/>
      <c r="MW115" s="272"/>
      <c r="MX115" s="272"/>
      <c r="MY115" s="272"/>
      <c r="MZ115" s="272"/>
      <c r="NA115" s="272"/>
      <c r="NB115" s="272"/>
      <c r="NC115" s="272"/>
      <c r="ND115" s="272"/>
      <c r="NE115" s="272"/>
      <c r="NF115" s="272"/>
      <c r="NG115" s="272"/>
      <c r="NH115" s="272"/>
      <c r="NI115" s="272"/>
      <c r="NJ115" s="272"/>
      <c r="NK115" s="272"/>
      <c r="NL115" s="272"/>
      <c r="NM115" s="272"/>
      <c r="NN115" s="272"/>
      <c r="NO115" s="272"/>
      <c r="NP115" s="272"/>
      <c r="NQ115" s="272"/>
      <c r="NR115" s="272"/>
      <c r="NS115" s="272"/>
      <c r="NT115" s="272"/>
      <c r="NU115" s="272"/>
      <c r="NV115" s="272"/>
      <c r="NW115" s="272"/>
      <c r="NX115" s="272"/>
      <c r="NY115" s="272"/>
      <c r="NZ115" s="272"/>
      <c r="OA115" s="272"/>
      <c r="OB115" s="272"/>
      <c r="OC115" s="272"/>
      <c r="OD115" s="272"/>
      <c r="OE115" s="272"/>
      <c r="OF115" s="272"/>
      <c r="OG115" s="272"/>
      <c r="OH115" s="272"/>
      <c r="OI115" s="272"/>
      <c r="OJ115" s="272"/>
      <c r="OK115" s="272"/>
      <c r="OL115" s="272"/>
      <c r="OM115" s="272"/>
      <c r="ON115" s="272"/>
      <c r="OO115" s="272"/>
      <c r="OP115" s="272"/>
      <c r="OQ115" s="272"/>
      <c r="OR115" s="272"/>
      <c r="OS115" s="272"/>
      <c r="OT115" s="272"/>
      <c r="OU115" s="272"/>
      <c r="OV115" s="272"/>
      <c r="OW115" s="272"/>
      <c r="OX115" s="272"/>
      <c r="OY115" s="272"/>
      <c r="OZ115" s="272"/>
      <c r="PA115" s="272"/>
      <c r="PB115" s="272"/>
      <c r="PC115" s="272"/>
      <c r="PD115" s="272"/>
      <c r="PE115" s="272"/>
      <c r="PF115" s="272"/>
      <c r="PG115" s="272"/>
      <c r="PH115" s="272"/>
      <c r="PI115" s="272"/>
      <c r="PJ115" s="272"/>
      <c r="PK115" s="272"/>
      <c r="PL115" s="272"/>
      <c r="PM115" s="272"/>
      <c r="PN115" s="272"/>
      <c r="PO115" s="272"/>
      <c r="PP115" s="272"/>
      <c r="PQ115" s="272"/>
      <c r="PR115" s="272"/>
      <c r="PS115" s="272"/>
      <c r="PT115" s="272"/>
      <c r="PU115" s="272"/>
      <c r="PV115" s="272"/>
      <c r="PW115" s="272"/>
      <c r="PX115" s="272"/>
      <c r="PY115" s="272"/>
      <c r="PZ115" s="272"/>
      <c r="QA115" s="272"/>
      <c r="QB115" s="272"/>
      <c r="QC115" s="272"/>
      <c r="QD115" s="272"/>
      <c r="QE115" s="272"/>
      <c r="QF115" s="272"/>
      <c r="QG115" s="272"/>
      <c r="QH115" s="272"/>
      <c r="QI115" s="272"/>
      <c r="QJ115" s="272"/>
      <c r="QK115" s="272"/>
      <c r="QL115" s="272"/>
      <c r="QM115" s="272"/>
      <c r="QN115" s="272"/>
      <c r="QO115" s="272"/>
      <c r="QP115" s="272"/>
      <c r="QQ115" s="272"/>
      <c r="QR115" s="272"/>
      <c r="QS115" s="272"/>
      <c r="QT115" s="272"/>
      <c r="QU115" s="272"/>
      <c r="QV115" s="272"/>
      <c r="QW115" s="272"/>
      <c r="QX115" s="272"/>
      <c r="QY115" s="272"/>
      <c r="QZ115" s="272"/>
      <c r="RA115" s="272"/>
      <c r="RB115" s="272"/>
      <c r="RC115" s="272"/>
      <c r="RD115" s="272"/>
      <c r="RE115" s="272"/>
      <c r="RF115" s="272"/>
      <c r="RG115" s="272"/>
      <c r="RH115" s="272"/>
      <c r="RI115" s="272"/>
      <c r="RJ115" s="272"/>
      <c r="RK115" s="272"/>
      <c r="RL115" s="272"/>
      <c r="RM115" s="272"/>
      <c r="RN115" s="272"/>
      <c r="RO115" s="272"/>
      <c r="RP115" s="272"/>
      <c r="RQ115" s="272"/>
      <c r="RR115" s="272"/>
      <c r="RS115" s="272"/>
      <c r="RT115" s="272"/>
      <c r="RU115" s="272"/>
      <c r="RV115" s="272"/>
      <c r="RW115" s="272"/>
      <c r="RX115" s="272"/>
      <c r="RY115" s="272"/>
      <c r="RZ115" s="272"/>
      <c r="SA115" s="272"/>
      <c r="SB115" s="272"/>
      <c r="SC115" s="272"/>
      <c r="SD115" s="272"/>
      <c r="SE115" s="272"/>
      <c r="SF115" s="272"/>
      <c r="SG115" s="272"/>
      <c r="SH115" s="272"/>
      <c r="SI115" s="272"/>
      <c r="SJ115" s="272"/>
      <c r="SK115" s="272"/>
      <c r="SL115" s="272"/>
      <c r="SM115" s="272"/>
      <c r="SN115" s="272"/>
      <c r="SO115" s="272"/>
      <c r="SP115" s="272"/>
      <c r="SQ115" s="272"/>
      <c r="SR115" s="272"/>
      <c r="SS115" s="272"/>
      <c r="ST115" s="272"/>
      <c r="SU115" s="272"/>
      <c r="SV115" s="272"/>
      <c r="SW115" s="272"/>
      <c r="SX115" s="272"/>
      <c r="SY115" s="272"/>
      <c r="SZ115" s="272"/>
      <c r="TA115" s="272"/>
      <c r="TB115" s="272"/>
      <c r="TC115" s="272"/>
      <c r="TD115" s="272"/>
      <c r="TE115" s="272"/>
      <c r="TF115" s="272"/>
      <c r="TG115" s="272"/>
      <c r="TH115" s="272"/>
      <c r="TI115" s="272"/>
      <c r="TJ115" s="272"/>
      <c r="TK115" s="272"/>
      <c r="TL115" s="272"/>
      <c r="TM115" s="272"/>
      <c r="TN115" s="272"/>
      <c r="TO115" s="272"/>
      <c r="TP115" s="272"/>
      <c r="TQ115" s="272"/>
      <c r="TR115" s="272"/>
      <c r="TS115" s="272"/>
      <c r="TT115" s="272"/>
      <c r="TU115" s="272"/>
      <c r="TV115" s="272"/>
      <c r="TW115" s="272"/>
      <c r="TX115" s="272"/>
      <c r="TY115" s="272"/>
      <c r="TZ115" s="272"/>
      <c r="UA115" s="272"/>
      <c r="UB115" s="272"/>
      <c r="UC115" s="272"/>
      <c r="UD115" s="272"/>
      <c r="UE115" s="272"/>
      <c r="UF115" s="272"/>
      <c r="UG115" s="272"/>
      <c r="UH115" s="272"/>
      <c r="UI115" s="272"/>
      <c r="UJ115" s="272"/>
      <c r="UK115" s="272"/>
      <c r="UL115" s="272"/>
      <c r="UM115" s="272"/>
      <c r="UN115" s="272"/>
      <c r="UO115" s="272"/>
      <c r="UP115" s="272"/>
      <c r="UQ115" s="272"/>
      <c r="UR115" s="272"/>
      <c r="US115" s="272"/>
      <c r="UT115" s="272"/>
      <c r="UU115" s="272"/>
      <c r="UV115" s="272"/>
      <c r="UW115" s="272"/>
      <c r="UX115" s="272"/>
      <c r="UY115" s="272"/>
      <c r="UZ115" s="272"/>
      <c r="VA115" s="272"/>
      <c r="VB115" s="272"/>
      <c r="VC115" s="272"/>
      <c r="VD115" s="272"/>
      <c r="VE115" s="272"/>
      <c r="VF115" s="272"/>
      <c r="VG115" s="272"/>
      <c r="VH115" s="272"/>
      <c r="VI115" s="272"/>
      <c r="VJ115" s="272"/>
      <c r="VK115" s="272"/>
      <c r="VL115" s="272"/>
      <c r="VM115" s="272"/>
      <c r="VN115" s="272"/>
      <c r="VO115" s="272"/>
      <c r="VP115" s="272"/>
      <c r="VQ115" s="272"/>
      <c r="VR115" s="272"/>
      <c r="VS115" s="272"/>
      <c r="VT115" s="272"/>
      <c r="VU115" s="272"/>
      <c r="VV115" s="272"/>
      <c r="VW115" s="272"/>
      <c r="VX115" s="272"/>
      <c r="VY115" s="272"/>
      <c r="VZ115" s="272"/>
      <c r="WA115" s="272"/>
      <c r="WB115" s="272"/>
      <c r="WC115" s="272"/>
      <c r="WD115" s="272"/>
      <c r="WE115" s="272"/>
      <c r="WF115" s="272"/>
      <c r="WG115" s="272"/>
      <c r="WH115" s="272"/>
      <c r="WI115" s="272"/>
      <c r="WJ115" s="272"/>
      <c r="WK115" s="272"/>
      <c r="WL115" s="272"/>
      <c r="WM115" s="272"/>
      <c r="WN115" s="272"/>
      <c r="WO115" s="272"/>
      <c r="WP115" s="272"/>
      <c r="WQ115" s="272"/>
      <c r="WR115" s="272"/>
      <c r="WS115" s="272"/>
      <c r="WT115" s="272"/>
      <c r="WU115" s="272"/>
      <c r="WV115" s="272"/>
      <c r="WW115" s="272"/>
      <c r="WX115" s="272"/>
      <c r="WY115" s="272"/>
      <c r="WZ115" s="272"/>
      <c r="XA115" s="272"/>
      <c r="XB115" s="272"/>
      <c r="XC115" s="272"/>
      <c r="XD115" s="272"/>
      <c r="XE115" s="272"/>
      <c r="XF115" s="272"/>
      <c r="XG115" s="272"/>
      <c r="XH115" s="272"/>
      <c r="XI115" s="272"/>
      <c r="XJ115" s="272"/>
      <c r="XK115" s="272"/>
      <c r="XL115" s="272"/>
      <c r="XM115" s="272"/>
      <c r="XN115" s="272"/>
      <c r="XO115" s="272"/>
      <c r="XP115" s="272"/>
      <c r="XQ115" s="272"/>
      <c r="XR115" s="272"/>
      <c r="XS115" s="272"/>
      <c r="XT115" s="272"/>
      <c r="XU115" s="272"/>
      <c r="XV115" s="272"/>
      <c r="XW115" s="272"/>
      <c r="XX115" s="272"/>
      <c r="XY115" s="272"/>
      <c r="XZ115" s="272"/>
      <c r="YA115" s="272"/>
      <c r="YB115" s="272"/>
      <c r="YC115" s="272"/>
      <c r="YD115" s="272"/>
      <c r="YE115" s="272"/>
      <c r="YF115" s="272"/>
      <c r="YG115" s="272"/>
      <c r="YH115" s="272"/>
      <c r="YI115" s="272"/>
      <c r="YJ115" s="272"/>
      <c r="YK115" s="272"/>
      <c r="YL115" s="272"/>
      <c r="YM115" s="272"/>
      <c r="YN115" s="272"/>
      <c r="YO115" s="272"/>
      <c r="YP115" s="272"/>
      <c r="YQ115" s="272"/>
      <c r="YR115" s="272"/>
      <c r="YS115" s="272"/>
      <c r="YT115" s="272"/>
      <c r="YU115" s="272"/>
      <c r="YV115" s="272"/>
      <c r="YW115" s="272"/>
      <c r="YX115" s="272"/>
      <c r="YY115" s="272"/>
      <c r="YZ115" s="272"/>
      <c r="ZA115" s="272"/>
      <c r="ZB115" s="272"/>
      <c r="ZC115" s="272"/>
      <c r="ZD115" s="272"/>
      <c r="ZE115" s="272"/>
      <c r="ZF115" s="272"/>
      <c r="ZG115" s="272"/>
      <c r="ZH115" s="272"/>
      <c r="ZI115" s="272"/>
      <c r="ZJ115" s="272"/>
      <c r="ZK115" s="272"/>
      <c r="ZL115" s="272"/>
      <c r="ZM115" s="272"/>
      <c r="ZN115" s="272"/>
      <c r="ZO115" s="272"/>
      <c r="ZP115" s="272"/>
      <c r="ZQ115" s="272"/>
      <c r="ZR115" s="272"/>
      <c r="ZS115" s="272"/>
      <c r="ZT115" s="272"/>
      <c r="ZU115" s="272"/>
      <c r="ZV115" s="272"/>
      <c r="ZW115" s="272"/>
      <c r="ZX115" s="272"/>
      <c r="ZY115" s="272"/>
      <c r="ZZ115" s="272"/>
      <c r="AAA115" s="272"/>
      <c r="AAB115" s="272"/>
      <c r="AAC115" s="272"/>
      <c r="AAD115" s="272"/>
      <c r="AAE115" s="272"/>
      <c r="AAF115" s="272"/>
      <c r="AAG115" s="272"/>
      <c r="AAH115" s="272"/>
      <c r="AAI115" s="272"/>
      <c r="AAJ115" s="272"/>
      <c r="AAK115" s="272"/>
      <c r="AAL115" s="272"/>
      <c r="AAM115" s="272"/>
      <c r="AAN115" s="272"/>
      <c r="AAO115" s="272"/>
      <c r="AAP115" s="272"/>
      <c r="AAQ115" s="272"/>
      <c r="AAR115" s="272"/>
      <c r="AAS115" s="272"/>
      <c r="AAT115" s="272"/>
      <c r="AAU115" s="272"/>
      <c r="AAV115" s="272"/>
      <c r="AAW115" s="272"/>
      <c r="AAX115" s="272"/>
      <c r="AAY115" s="272"/>
      <c r="AAZ115" s="272"/>
      <c r="ABA115" s="272"/>
      <c r="ABB115" s="272"/>
      <c r="ABC115" s="272"/>
      <c r="ABD115" s="272"/>
      <c r="ABE115" s="272"/>
      <c r="ABF115" s="272"/>
      <c r="ABG115" s="272"/>
    </row>
    <row r="118" ht="15">
      <c r="B118" s="90"/>
    </row>
    <row r="119" ht="120.75" customHeight="1"/>
  </sheetData>
  <sheetProtection sheet="1" objects="1" scenarios="1"/>
  <mergeCells count="56">
    <mergeCell ref="F72:F74"/>
    <mergeCell ref="G51:G52"/>
    <mergeCell ref="G64:G65"/>
    <mergeCell ref="G95:G107"/>
    <mergeCell ref="G5:G9"/>
    <mergeCell ref="G18:G23"/>
    <mergeCell ref="G26:G27"/>
    <mergeCell ref="G30:G34"/>
    <mergeCell ref="G37:G41"/>
    <mergeCell ref="G72:G74"/>
    <mergeCell ref="F95:F107"/>
    <mergeCell ref="A5:A11"/>
    <mergeCell ref="B5:B11"/>
    <mergeCell ref="C5:C9"/>
    <mergeCell ref="D5:D9"/>
    <mergeCell ref="F5:F9"/>
    <mergeCell ref="E5:E9"/>
    <mergeCell ref="C95:C107"/>
    <mergeCell ref="D95:D107"/>
    <mergeCell ref="E95:E107"/>
    <mergeCell ref="E18:E23"/>
    <mergeCell ref="F18:F23"/>
    <mergeCell ref="E26:E27"/>
    <mergeCell ref="F26:F27"/>
    <mergeCell ref="E30:E34"/>
    <mergeCell ref="F30:F34"/>
    <mergeCell ref="E37:E41"/>
    <mergeCell ref="F37:F41"/>
    <mergeCell ref="E51:E52"/>
    <mergeCell ref="F51:F52"/>
    <mergeCell ref="E64:E65"/>
    <mergeCell ref="F64:F65"/>
    <mergeCell ref="C51:C52"/>
    <mergeCell ref="A72:A76"/>
    <mergeCell ref="B72:B76"/>
    <mergeCell ref="C72:C74"/>
    <mergeCell ref="D72:D74"/>
    <mergeCell ref="E72:E74"/>
    <mergeCell ref="D51:D52"/>
    <mergeCell ref="A64:A65"/>
    <mergeCell ref="C64:C65"/>
    <mergeCell ref="D64:D65"/>
    <mergeCell ref="B37:B43"/>
    <mergeCell ref="C37:C41"/>
    <mergeCell ref="D37:D41"/>
    <mergeCell ref="A47:A49"/>
    <mergeCell ref="B47:B49"/>
    <mergeCell ref="B30:B36"/>
    <mergeCell ref="C30:C34"/>
    <mergeCell ref="D30:D34"/>
    <mergeCell ref="B18:B23"/>
    <mergeCell ref="C18:C23"/>
    <mergeCell ref="D18:D23"/>
    <mergeCell ref="B26:B29"/>
    <mergeCell ref="C26:C27"/>
    <mergeCell ref="D26:D27"/>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61"/>
  <headerFooter>
    <oddHeader>&amp;C&amp;A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6"/>
  <sheetViews>
    <sheetView zoomScale="85" zoomScaleNormal="85" workbookViewId="0" topLeftCell="A1">
      <selection activeCell="A1" sqref="A1:D1048576"/>
    </sheetView>
  </sheetViews>
  <sheetFormatPr defaultColWidth="9.140625" defaultRowHeight="15"/>
  <cols>
    <col min="1" max="1" width="4.57421875" style="0" customWidth="1"/>
    <col min="2" max="4" width="10.7109375" style="0" customWidth="1"/>
    <col min="7" max="7" width="10.7109375" style="0" bestFit="1" customWidth="1"/>
    <col min="8" max="8" width="12.140625" style="0" bestFit="1" customWidth="1"/>
  </cols>
  <sheetData>
    <row r="1" spans="1:4" ht="15">
      <c r="A1" s="109"/>
      <c r="B1" s="110"/>
      <c r="C1" s="111"/>
      <c r="D1" s="111"/>
    </row>
    <row r="2" spans="1:4" ht="15">
      <c r="A2" s="112" t="s">
        <v>196</v>
      </c>
      <c r="B2" s="113"/>
      <c r="C2" s="113"/>
      <c r="D2" s="113"/>
    </row>
    <row r="3" spans="1:4" ht="15">
      <c r="A3" s="742"/>
      <c r="B3" s="743"/>
      <c r="C3" s="743"/>
      <c r="D3" s="743"/>
    </row>
    <row r="4" spans="1:4" ht="15">
      <c r="A4" s="112" t="s">
        <v>197</v>
      </c>
      <c r="B4" s="113"/>
      <c r="C4" s="113"/>
      <c r="D4" s="113"/>
    </row>
    <row r="5" spans="1:8" ht="15">
      <c r="A5" s="742"/>
      <c r="B5" s="743"/>
      <c r="C5" s="743"/>
      <c r="D5" s="743"/>
      <c r="G5" t="s">
        <v>782</v>
      </c>
      <c r="H5" s="163">
        <v>659408623.6132039</v>
      </c>
    </row>
    <row r="6" spans="1:8" ht="15">
      <c r="A6" s="112" t="s">
        <v>198</v>
      </c>
      <c r="B6" s="113"/>
      <c r="C6" s="114"/>
      <c r="D6" s="115"/>
      <c r="G6" t="s">
        <v>772</v>
      </c>
      <c r="H6" s="341">
        <f>SUM(G116:AI116)</f>
        <v>0</v>
      </c>
    </row>
    <row r="7" spans="1:8" ht="15">
      <c r="A7" s="116" t="s">
        <v>199</v>
      </c>
      <c r="B7" s="113"/>
      <c r="C7" s="113"/>
      <c r="D7" s="117">
        <v>2012</v>
      </c>
      <c r="H7" s="342">
        <f>H6/H5</f>
        <v>0</v>
      </c>
    </row>
    <row r="8" spans="1:4" ht="15">
      <c r="A8" s="116" t="s">
        <v>200</v>
      </c>
      <c r="B8" s="113"/>
      <c r="C8" s="113"/>
      <c r="D8" s="115" t="s">
        <v>88</v>
      </c>
    </row>
    <row r="9" spans="1:4" ht="15.75" thickBot="1">
      <c r="A9" s="118" t="s">
        <v>201</v>
      </c>
      <c r="B9" s="119"/>
      <c r="C9" s="119"/>
      <c r="D9" s="120">
        <v>0.035</v>
      </c>
    </row>
    <row r="10" spans="1:8" ht="15">
      <c r="A10" s="116"/>
      <c r="B10" s="113"/>
      <c r="C10" s="109" t="s">
        <v>832</v>
      </c>
      <c r="D10" s="121" t="s">
        <v>831</v>
      </c>
      <c r="G10" t="s">
        <v>771</v>
      </c>
      <c r="H10">
        <v>5</v>
      </c>
    </row>
    <row r="11" spans="1:4" ht="15.75" thickBot="1">
      <c r="A11" s="116"/>
      <c r="B11" s="113"/>
      <c r="C11" s="122" t="s">
        <v>202</v>
      </c>
      <c r="D11" s="123" t="s">
        <v>203</v>
      </c>
    </row>
    <row r="12" spans="1:4" ht="15.75" thickBot="1">
      <c r="A12" s="124"/>
      <c r="B12" s="125" t="s">
        <v>204</v>
      </c>
      <c r="C12" s="126">
        <f aca="true" t="shared" si="0" ref="C12:D12">SUM(C15:C114)</f>
        <v>2176.6381161209474</v>
      </c>
      <c r="D12" s="127">
        <f t="shared" si="0"/>
        <v>0</v>
      </c>
    </row>
    <row r="13" spans="1:34" ht="15">
      <c r="A13" s="128"/>
      <c r="B13" s="129" t="s">
        <v>205</v>
      </c>
      <c r="C13" s="116"/>
      <c r="D13" s="113"/>
      <c r="G13" t="s">
        <v>770</v>
      </c>
      <c r="H13" t="s">
        <v>773</v>
      </c>
      <c r="J13" t="s">
        <v>774</v>
      </c>
      <c r="L13" t="s">
        <v>775</v>
      </c>
      <c r="N13" t="s">
        <v>776</v>
      </c>
      <c r="P13" t="s">
        <v>563</v>
      </c>
      <c r="R13" t="s">
        <v>777</v>
      </c>
      <c r="T13" t="s">
        <v>778</v>
      </c>
      <c r="V13" t="s">
        <v>779</v>
      </c>
      <c r="X13" t="s">
        <v>780</v>
      </c>
      <c r="Z13" t="s">
        <v>781</v>
      </c>
      <c r="AB13" t="s">
        <v>2</v>
      </c>
      <c r="AD13" t="s">
        <v>257</v>
      </c>
      <c r="AF13" t="s">
        <v>372</v>
      </c>
      <c r="AH13" t="s">
        <v>16</v>
      </c>
    </row>
    <row r="14" spans="1:4" ht="15.75" thickBot="1">
      <c r="A14" s="130" t="s">
        <v>206</v>
      </c>
      <c r="B14" s="131" t="s">
        <v>207</v>
      </c>
      <c r="C14" s="132"/>
      <c r="D14" s="133"/>
    </row>
    <row r="15" spans="1:35" ht="15.75" thickBot="1">
      <c r="A15" s="134">
        <v>0</v>
      </c>
      <c r="B15" s="108">
        <f>1/((1+$D$9)^A15)</f>
        <v>1</v>
      </c>
      <c r="C15" s="137">
        <f>SUM($B$15:B15)</f>
        <v>1</v>
      </c>
      <c r="D15" s="135"/>
      <c r="F15" s="337"/>
      <c r="G15">
        <f>IF(A15&gt;=$H$10,Carbon!$F$33*'Summary of area'!$E$31*B15,0)</f>
        <v>0</v>
      </c>
      <c r="H15">
        <f>IF(A15=$H$10,SUM('Water levels-Residential'!$D$53:$M$54)*'Summary of area'!$E$32*B15,0)</f>
        <v>0</v>
      </c>
      <c r="I15">
        <f>IF(A15&gt;=$H$10,SUM('Water levels-Residential'!$D$55:$M$62)*'Summary of area'!$E$32*B15,0)</f>
        <v>0</v>
      </c>
      <c r="J15">
        <f>IF(A15=$H$10,SUM('Water levels-Business'!$D$87:$M$88)*'Summary of area'!$E$33*B15,0)</f>
        <v>0</v>
      </c>
      <c r="K15">
        <f>IF(A15&gt;=$H$10,SUM('Water levels-Business'!$D$89:$M$96)*'Summary of area'!$E$33*B15,0)</f>
        <v>0</v>
      </c>
      <c r="L15">
        <f>IF(A15=$H$10,SUM('Water levels-Social Infra'!$D$169:$M$170)*'Summary of area'!$E$34*B15,0)</f>
        <v>0</v>
      </c>
      <c r="M15">
        <f>IF(A15&gt;=$H$10,SUM('Water levels-Social Infra'!$D$171:$M$178)*'Summary of area'!$E$34*B15,0)</f>
        <v>0</v>
      </c>
      <c r="N15">
        <f>IF(A15=$H$10,SUM('Water levels-Emergency'!$D$152:$M$153)*'Summary of area'!$E$35*B15,0)</f>
        <v>0</v>
      </c>
      <c r="O15">
        <f>IF(A15&gt;=$H$10,SUM('Water levels-Emergency'!$D$154:$M$161)*'Summary of area'!$E$35*B15,0)</f>
        <v>0</v>
      </c>
      <c r="P15">
        <f>IF(A15=$H$10,SUM('Water levels-Utilities'!$D$189:$M$190)*'Summary of area'!$E$36*B15,0)</f>
        <v>0</v>
      </c>
      <c r="Q15">
        <f>IF(A15&gt;=$H$10,SUM('Water levels-Utilities'!$D$191:$M$198)*'Summary of area'!$E$36*B15,0)</f>
        <v>0</v>
      </c>
      <c r="R15">
        <f>IF(A15=$H$10,SUM('Water levels-Transport (road)'!$D$160:$M$161)*'Summary of area'!$E$37*B15,0)</f>
        <v>0</v>
      </c>
      <c r="S15">
        <f>IF(A15&gt;=$H$10,SUM('Water levels-Transport (road)'!$D$162:$M$169)*'Summary of area'!$E$37*B15+SUM('Water levels-Transport (road)'!$D$215:$M$222)*'Summary of area'!$E$37*B15,0)</f>
        <v>0</v>
      </c>
      <c r="T15">
        <f>IF(A15=$H$10,SUM('Water levels-Transport (rail)'!$D$137:$M$138)*'Summary of area'!$E$38*Sheet1!B15,0)</f>
        <v>0</v>
      </c>
      <c r="U15">
        <f>IF(A15&gt;=$H$10,SUM('Water levels-Transport (rail)'!$D$139:$M$146)*'Summary of area'!$E$38*B15+SUM('Water levels-Transport (rail)'!$D$165:$M$172)*'Summary of area'!$E$38*B15,0)</f>
        <v>0</v>
      </c>
      <c r="V15">
        <f>IF(A15=$H$10,SUM('Food production'!$D$256:$M$257)*'Summary of area'!$E$39*Sheet1!B15,0)</f>
        <v>0</v>
      </c>
      <c r="W15">
        <f>IF(A15&gt;=$H$10,SUM('Food production'!$D$258:$M$265)*'Summary of area'!$E$39*Sheet1!B15,0)</f>
        <v>0</v>
      </c>
      <c r="X15">
        <f>IF(A15=$H$10,SUM('Energy (direct)'!$D$85:$M$86)*'Summary of area'!$E$40*B15,0)</f>
        <v>0</v>
      </c>
      <c r="Y15">
        <f>IF(A15&gt;=$H$10,SUM('Energy (direct)'!$D$87:$M$94)*'Summary of area'!$E$40*Sheet1!B15,0)</f>
        <v>0</v>
      </c>
      <c r="Z15">
        <f>IF(A15=$H$10,SUM('Energy (indirect)'!$D$158:$M$159)*'Summary of area'!$E$41*Sheet1!B15,0)</f>
        <v>0</v>
      </c>
      <c r="AA15">
        <f>IF(A15&gt;=$H$10,SUM('Energy (indirect)'!$D$160:$M$167)*'Summary of area'!$E$41*B15,0)</f>
        <v>0</v>
      </c>
      <c r="AB15">
        <f>IF(A15=$H$10,SUM('Designated biodiversity sites'!$D$123:$M$124)*'Summary of area'!$E$42*Sheet1!B15+'Biodiversity - non-designated'!O79*'Summary of area'!$E$43*Sheet1!B15,0)</f>
        <v>0</v>
      </c>
      <c r="AC15">
        <f>IF(A15&gt;=$H$10,SUM('Designated biodiversity sites'!$D$125:$M$132)*'Summary of area'!$E$42*Sheet1!B15+'Biodiversity - non-designated'!O79*'Summary of area'!$E$43*Sheet1!B15,0)</f>
        <v>0</v>
      </c>
      <c r="AD15">
        <f>IF(A15=$H$10,SUM('Water supply'!$D$144:$M$145)*'Summary of area'!$E$44*Sheet1!B15,0)</f>
        <v>0</v>
      </c>
      <c r="AE15">
        <f>IF(A15&gt;=$H$10,SUM('Water supply'!$D$146:$M$153)*'Summary of area'!$E$44*B15,0)</f>
        <v>0</v>
      </c>
      <c r="AF15">
        <f>IF(A15=$H$10,SUM(Heritage!$D$221:$M$222)*'Summary of area'!$E$46*B15,0)</f>
        <v>0</v>
      </c>
      <c r="AG15">
        <f>IF(A15&gt;=$H$10,SUM(Heritage!$D$223:$M$230)*'Summary of area'!$E$46*Sheet1!B15,0)</f>
        <v>0</v>
      </c>
      <c r="AH15">
        <f>IF(A15=$H$10,SUM('Recreation and tourism'!$D$109:$M$110)*'Summary of area'!$E$45*Sheet1!B15,0)</f>
        <v>0</v>
      </c>
      <c r="AI15">
        <f>IF(A15&gt;=$H$10,SUM('Recreation and tourism'!$D$111:$M$118)*'Summary of area'!$E$45*Sheet1!B15,0)</f>
        <v>0</v>
      </c>
    </row>
    <row r="16" spans="1:35" ht="15.75" thickBot="1">
      <c r="A16" s="134">
        <f>A15+1</f>
        <v>1</v>
      </c>
      <c r="B16" s="108">
        <f>B15/(1+$D$9)</f>
        <v>0.9661835748792271</v>
      </c>
      <c r="C16" s="137">
        <f>SUM($B$15:B16)</f>
        <v>1.9661835748792271</v>
      </c>
      <c r="D16" s="136"/>
      <c r="G16">
        <f>IF(A16&gt;=$H$10,Carbon!$F$33*'Summary of area'!$E$31*B16,0)</f>
        <v>0</v>
      </c>
      <c r="H16">
        <f>IF(A16=$H$10,SUM('Water levels-Residential'!$D$53:$M$54)*'Summary of area'!$E$32*B16,0)</f>
        <v>0</v>
      </c>
      <c r="I16">
        <f>IF(A16&gt;=$H$10,SUM('Water levels-Residential'!$D$55:$M$62)*'Summary of area'!$E$32*B16,0)</f>
        <v>0</v>
      </c>
      <c r="J16">
        <f>IF(A16=$H$10,SUM('Water levels-Business'!$D$87:$M$88)*'Summary of area'!$E$33*B16,0)</f>
        <v>0</v>
      </c>
      <c r="K16">
        <f>IF(A16&gt;=$H$10,SUM('Water levels-Business'!$D$89:$M$96)*'Summary of area'!$E$33*B16,0)</f>
        <v>0</v>
      </c>
      <c r="L16">
        <f>IF(A16=$H$10,SUM('Water levels-Social Infra'!$D$169:$M$170)*'Summary of area'!$E$34*B16,0)</f>
        <v>0</v>
      </c>
      <c r="M16">
        <f>IF(A16&gt;=$H$10,SUM('Water levels-Social Infra'!$D$171:$M$178)*'Summary of area'!$E$34*B16,0)</f>
        <v>0</v>
      </c>
      <c r="N16">
        <f>IF(A16=$H$10,SUM('Water levels-Emergency'!$D$152:$M$153)*'Summary of area'!$E$35*B16,0)</f>
        <v>0</v>
      </c>
      <c r="O16">
        <f>IF(A16&gt;=$H$10,SUM('Water levels-Emergency'!$D$154:$M$161)*'Summary of area'!$E$35*B16,0)</f>
        <v>0</v>
      </c>
      <c r="P16">
        <f>IF(A16=$H$10,SUM('Water levels-Utilities'!$D$189:$M$190)*'Summary of area'!$E$36*B16,0)</f>
        <v>0</v>
      </c>
      <c r="Q16">
        <f>IF(A16&gt;=$H$10,SUM('Water levels-Utilities'!$D$191:$M$198)*'Summary of area'!$E$36*B16,0)</f>
        <v>0</v>
      </c>
      <c r="R16">
        <f>IF(A16=$H$10,SUM('Water levels-Transport (road)'!$D$160:$M$161)*'Summary of area'!$E$37*B16,0)</f>
        <v>0</v>
      </c>
      <c r="S16">
        <f>IF(A16&gt;=$H$10,SUM('Water levels-Transport (road)'!$D$162:$M$169)*'Summary of area'!$E$37*B16+SUM('Water levels-Transport (road)'!$D$215:$M$222)*'Summary of area'!$E$37*B16,0)</f>
        <v>0</v>
      </c>
      <c r="T16">
        <f>IF(A16=$H$10,SUM('Water levels-Transport (rail)'!$D$137:$M$138)*'Summary of area'!$E$38*Sheet1!B16,0)</f>
        <v>0</v>
      </c>
      <c r="U16">
        <f>IF(A16&gt;=$H$10,SUM('Water levels-Transport (rail)'!$D$139:$M$146)*'Summary of area'!$E$38*B16+SUM('Water levels-Transport (rail)'!$D$165:$M$172)*'Summary of area'!$E$38*B16,0)</f>
        <v>0</v>
      </c>
      <c r="V16">
        <f>IF(A16=$H$10,SUM('Food production'!$D$256:$M$257)*'Summary of area'!$E$39*Sheet1!B16,0)</f>
        <v>0</v>
      </c>
      <c r="W16">
        <f>IF(A16&gt;=$H$10,SUM('Food production'!$D$258:$M$265)*'Summary of area'!$E$39*Sheet1!B16,0)</f>
        <v>0</v>
      </c>
      <c r="X16">
        <f>IF(A16=$H$10,SUM('Energy (direct)'!$D$85:$M$86)*'Summary of area'!$E$40*B16,0)</f>
        <v>0</v>
      </c>
      <c r="Y16">
        <f>IF(A16&gt;=$H$10,SUM('Energy (direct)'!$D$87:$M$94)*'Summary of area'!$E$40*Sheet1!B16,0)</f>
        <v>0</v>
      </c>
      <c r="Z16">
        <f>IF(A16=$H$10,SUM('Energy (indirect)'!$D$158:$M$159)*'Summary of area'!$E$41*Sheet1!B16,0)</f>
        <v>0</v>
      </c>
      <c r="AA16">
        <f>IF(A16&gt;=$H$10,SUM('Energy (indirect)'!$D$160:$M$167)*'Summary of area'!$E$41*B16,0)</f>
        <v>0</v>
      </c>
      <c r="AB16">
        <f>IF(A16=$H$10,SUM('Designated biodiversity sites'!$D$123:$M$124)*'Summary of area'!$E$42*Sheet1!B16+'Biodiversity - non-designated'!O80*'Summary of area'!$E$43*Sheet1!B16,0)</f>
        <v>0</v>
      </c>
      <c r="AC16">
        <f>IF(A16&gt;=$H$10,SUM('Designated biodiversity sites'!$D$125:$M$132)*'Summary of area'!$E$42*Sheet1!B16+'Biodiversity - non-designated'!O80*'Summary of area'!$E$43*Sheet1!B16,0)</f>
        <v>0</v>
      </c>
      <c r="AD16">
        <f>IF(A16=$H$10,SUM('Water supply'!$D$144:$M$145)*'Summary of area'!$E$44*Sheet1!B16,0)</f>
        <v>0</v>
      </c>
      <c r="AE16">
        <f>IF(A16&gt;=$H$10,SUM('Water supply'!$D$146:$M$153)*'Summary of area'!$E$44*B16,0)</f>
        <v>0</v>
      </c>
      <c r="AF16">
        <f>IF(A16=$H$10,SUM(Heritage!$D$221:$M$222)*'Summary of area'!$E$46*B16,0)</f>
        <v>0</v>
      </c>
      <c r="AG16">
        <f>IF(A16&gt;=$H$10,SUM(Heritage!$D$223:$M$230)*'Summary of area'!$E$46*Sheet1!B16,0)</f>
        <v>0</v>
      </c>
      <c r="AH16">
        <f>IF(A16=$H$10,SUM('Recreation and tourism'!$D$109:$M$110)*'Summary of area'!$E$45*Sheet1!B16,0)</f>
        <v>0</v>
      </c>
      <c r="AI16">
        <f>IF(A16&gt;=$H$10,SUM('Recreation and tourism'!$D$111:$M$118)*'Summary of area'!$E$45*Sheet1!B16,0)</f>
        <v>0</v>
      </c>
    </row>
    <row r="17" spans="1:35" ht="15.75" thickBot="1">
      <c r="A17" s="134">
        <f aca="true" t="shared" si="1" ref="A17:A80">A16+1</f>
        <v>2</v>
      </c>
      <c r="B17" s="108">
        <f aca="true" t="shared" si="2" ref="B17:B45">B16/(1+$D$9)</f>
        <v>0.933510700366403</v>
      </c>
      <c r="C17" s="137">
        <f>SUM($B$15:B17)</f>
        <v>2.89969427524563</v>
      </c>
      <c r="D17" s="136"/>
      <c r="G17">
        <f>IF(A17&gt;=$H$10,Carbon!$F$33*'Summary of area'!$E$31*B17,0)</f>
        <v>0</v>
      </c>
      <c r="H17">
        <f>IF(A17=$H$10,SUM('Water levels-Residential'!$D$53:$M$54)*'Summary of area'!$E$32*B17,0)</f>
        <v>0</v>
      </c>
      <c r="I17">
        <f>IF(A17&gt;=$H$10,SUM('Water levels-Residential'!$D$55:$M$62)*'Summary of area'!$E$32*B17,0)</f>
        <v>0</v>
      </c>
      <c r="J17">
        <f>IF(A17=$H$10,SUM('Water levels-Business'!$D$87:$M$88)*'Summary of area'!$E$33*B17,0)</f>
        <v>0</v>
      </c>
      <c r="K17">
        <f>IF(A17&gt;=$H$10,SUM('Water levels-Business'!$D$89:$M$96)*'Summary of area'!$E$33*B17,0)</f>
        <v>0</v>
      </c>
      <c r="L17">
        <f>IF(A17=$H$10,SUM('Water levels-Social Infra'!$D$169:$M$170)*'Summary of area'!$E$34*B17,0)</f>
        <v>0</v>
      </c>
      <c r="M17">
        <f>IF(A17&gt;=$H$10,SUM('Water levels-Social Infra'!$D$171:$M$178)*'Summary of area'!$E$34*B17,0)</f>
        <v>0</v>
      </c>
      <c r="N17">
        <f>IF(A17=$H$10,SUM('Water levels-Emergency'!$D$152:$M$153)*'Summary of area'!$E$35*B17,0)</f>
        <v>0</v>
      </c>
      <c r="O17">
        <f>IF(A17&gt;=$H$10,SUM('Water levels-Emergency'!$D$154:$M$161)*'Summary of area'!$E$35*B17,0)</f>
        <v>0</v>
      </c>
      <c r="P17">
        <f>IF(A17=$H$10,SUM('Water levels-Utilities'!$D$189:$M$190)*'Summary of area'!$E$36*B17,0)</f>
        <v>0</v>
      </c>
      <c r="Q17">
        <f>IF(A17&gt;=$H$10,SUM('Water levels-Utilities'!$D$191:$M$198)*'Summary of area'!$E$36*B17,0)</f>
        <v>0</v>
      </c>
      <c r="R17">
        <f>IF(A17=$H$10,SUM('Water levels-Transport (road)'!$D$160:$M$161)*'Summary of area'!$E$37*B17,0)</f>
        <v>0</v>
      </c>
      <c r="S17">
        <f>IF(A17&gt;=$H$10,SUM('Water levels-Transport (road)'!$D$162:$M$169)*'Summary of area'!$E$37*B17+SUM('Water levels-Transport (road)'!$D$215:$M$222)*'Summary of area'!$E$37*B17,0)</f>
        <v>0</v>
      </c>
      <c r="T17">
        <f>IF(A17=$H$10,SUM('Water levels-Transport (rail)'!$D$137:$M$138)*'Summary of area'!$E$38*Sheet1!B17,0)</f>
        <v>0</v>
      </c>
      <c r="U17">
        <f>IF(A17&gt;=$H$10,SUM('Water levels-Transport (rail)'!$D$139:$M$146)*'Summary of area'!$E$38*B17+SUM('Water levels-Transport (rail)'!$D$165:$M$172)*'Summary of area'!$E$38*B17,0)</f>
        <v>0</v>
      </c>
      <c r="V17">
        <f>IF(A17=$H$10,SUM('Food production'!$D$256:$M$257)*'Summary of area'!$E$39*Sheet1!B17,0)</f>
        <v>0</v>
      </c>
      <c r="W17">
        <f>IF(A17&gt;=$H$10,SUM('Food production'!$D$258:$M$265)*'Summary of area'!$E$39*Sheet1!B17,0)</f>
        <v>0</v>
      </c>
      <c r="X17">
        <f>IF(A17=$H$10,SUM('Energy (direct)'!$D$85:$M$86)*'Summary of area'!$E$40*B17,0)</f>
        <v>0</v>
      </c>
      <c r="Y17">
        <f>IF(A17&gt;=$H$10,SUM('Energy (direct)'!$D$87:$M$94)*'Summary of area'!$E$40*Sheet1!B17,0)</f>
        <v>0</v>
      </c>
      <c r="Z17">
        <f>IF(A17=$H$10,SUM('Energy (indirect)'!$D$158:$M$159)*'Summary of area'!$E$41*Sheet1!B17,0)</f>
        <v>0</v>
      </c>
      <c r="AA17">
        <f>IF(A17&gt;=$H$10,SUM('Energy (indirect)'!$D$160:$M$167)*'Summary of area'!$E$41*B17,0)</f>
        <v>0</v>
      </c>
      <c r="AB17">
        <f>IF(A17=$H$10,SUM('Designated biodiversity sites'!$D$123:$M$124)*'Summary of area'!$E$42*Sheet1!B17+'Biodiversity - non-designated'!O81*'Summary of area'!$E$43*Sheet1!B17,0)</f>
        <v>0</v>
      </c>
      <c r="AC17">
        <f>IF(A17&gt;=$H$10,SUM('Designated biodiversity sites'!$D$125:$M$132)*'Summary of area'!$E$42*Sheet1!B17+'Biodiversity - non-designated'!O81*'Summary of area'!$E$43*Sheet1!B17,0)</f>
        <v>0</v>
      </c>
      <c r="AD17">
        <f>IF(A17=$H$10,SUM('Water supply'!$D$144:$M$145)*'Summary of area'!$E$44*Sheet1!B17,0)</f>
        <v>0</v>
      </c>
      <c r="AE17">
        <f>IF(A17&gt;=$H$10,SUM('Water supply'!$D$146:$M$153)*'Summary of area'!$E$44*B17,0)</f>
        <v>0</v>
      </c>
      <c r="AF17">
        <f>IF(A17=$H$10,SUM(Heritage!$D$221:$M$222)*'Summary of area'!$E$46*B17,0)</f>
        <v>0</v>
      </c>
      <c r="AG17">
        <f>IF(A17&gt;=$H$10,SUM(Heritage!$D$223:$M$230)*'Summary of area'!$E$46*Sheet1!B17,0)</f>
        <v>0</v>
      </c>
      <c r="AH17">
        <f>IF(A17=$H$10,SUM('Recreation and tourism'!$D$109:$M$110)*'Summary of area'!$E$45*Sheet1!B17,0)</f>
        <v>0</v>
      </c>
      <c r="AI17">
        <f>IF(A17&gt;=$H$10,SUM('Recreation and tourism'!$D$111:$M$118)*'Summary of area'!$E$45*Sheet1!B17,0)</f>
        <v>0</v>
      </c>
    </row>
    <row r="18" spans="1:35" ht="15.75" thickBot="1">
      <c r="A18" s="134">
        <f t="shared" si="1"/>
        <v>3</v>
      </c>
      <c r="B18" s="108">
        <f t="shared" si="2"/>
        <v>0.9019427056680224</v>
      </c>
      <c r="C18" s="137">
        <f>SUM($B$15:B18)</f>
        <v>3.8016369809136523</v>
      </c>
      <c r="D18" s="136"/>
      <c r="G18">
        <f>IF(A18&gt;=$H$10,Carbon!$F$33*'Summary of area'!$E$31*B18,0)</f>
        <v>0</v>
      </c>
      <c r="H18">
        <f>IF(A18=$H$10,SUM('Water levels-Residential'!$D$53:$M$54)*'Summary of area'!$E$32*B18,0)</f>
        <v>0</v>
      </c>
      <c r="I18">
        <f>IF(A18&gt;=$H$10,SUM('Water levels-Residential'!$D$55:$M$62)*'Summary of area'!$E$32*B18,0)</f>
        <v>0</v>
      </c>
      <c r="J18">
        <f>IF(A18=$H$10,SUM('Water levels-Business'!$D$87:$M$88)*'Summary of area'!$E$33*B18,0)</f>
        <v>0</v>
      </c>
      <c r="K18">
        <f>IF(A18&gt;=$H$10,SUM('Water levels-Business'!$D$89:$M$96)*'Summary of area'!$E$33*B18,0)</f>
        <v>0</v>
      </c>
      <c r="L18">
        <f>IF(A18=$H$10,SUM('Water levels-Social Infra'!$D$169:$M$170)*'Summary of area'!$E$34*B18,0)</f>
        <v>0</v>
      </c>
      <c r="M18">
        <f>IF(A18&gt;=$H$10,SUM('Water levels-Social Infra'!$D$171:$M$178)*'Summary of area'!$E$34*B18,0)</f>
        <v>0</v>
      </c>
      <c r="N18">
        <f>IF(A18=$H$10,SUM('Water levels-Emergency'!$D$152:$M$153)*'Summary of area'!$E$35*B18,0)</f>
        <v>0</v>
      </c>
      <c r="O18">
        <f>IF(A18&gt;=$H$10,SUM('Water levels-Emergency'!$D$154:$M$161)*'Summary of area'!$E$35*B18,0)</f>
        <v>0</v>
      </c>
      <c r="P18">
        <f>IF(A18=$H$10,SUM('Water levels-Utilities'!$D$189:$M$190)*'Summary of area'!$E$36*B18,0)</f>
        <v>0</v>
      </c>
      <c r="Q18">
        <f>IF(A18&gt;=$H$10,SUM('Water levels-Utilities'!$D$191:$M$198)*'Summary of area'!$E$36*B18,0)</f>
        <v>0</v>
      </c>
      <c r="R18">
        <f>IF(A18=$H$10,SUM('Water levels-Transport (road)'!$D$160:$M$161)*'Summary of area'!$E$37*B18,0)</f>
        <v>0</v>
      </c>
      <c r="S18">
        <f>IF(A18&gt;=$H$10,SUM('Water levels-Transport (road)'!$D$162:$M$169)*'Summary of area'!$E$37*B18+SUM('Water levels-Transport (road)'!$D$215:$M$222)*'Summary of area'!$E$37*B18,0)</f>
        <v>0</v>
      </c>
      <c r="T18">
        <f>IF(A18=$H$10,SUM('Water levels-Transport (rail)'!$D$137:$M$138)*'Summary of area'!$E$38*Sheet1!B18,0)</f>
        <v>0</v>
      </c>
      <c r="U18">
        <f>IF(A18&gt;=$H$10,SUM('Water levels-Transport (rail)'!$D$139:$M$146)*'Summary of area'!$E$38*B18+SUM('Water levels-Transport (rail)'!$D$165:$M$172)*'Summary of area'!$E$38*B18,0)</f>
        <v>0</v>
      </c>
      <c r="V18">
        <f>IF(A18=$H$10,SUM('Food production'!$D$256:$M$257)*'Summary of area'!$E$39*Sheet1!B18,0)</f>
        <v>0</v>
      </c>
      <c r="W18">
        <f>IF(A18&gt;=$H$10,SUM('Food production'!$D$258:$M$265)*'Summary of area'!$E$39*Sheet1!B18,0)</f>
        <v>0</v>
      </c>
      <c r="X18">
        <f>IF(A18=$H$10,SUM('Energy (direct)'!$D$85:$M$86)*'Summary of area'!$E$40*B18,0)</f>
        <v>0</v>
      </c>
      <c r="Y18">
        <f>IF(A18&gt;=$H$10,SUM('Energy (direct)'!$D$87:$M$94)*'Summary of area'!$E$40*Sheet1!B18,0)</f>
        <v>0</v>
      </c>
      <c r="Z18">
        <f>IF(A18=$H$10,SUM('Energy (indirect)'!$D$158:$M$159)*'Summary of area'!$E$41*Sheet1!B18,0)</f>
        <v>0</v>
      </c>
      <c r="AA18">
        <f>IF(A18&gt;=$H$10,SUM('Energy (indirect)'!$D$160:$M$167)*'Summary of area'!$E$41*B18,0)</f>
        <v>0</v>
      </c>
      <c r="AB18">
        <f>IF(A18=$H$10,SUM('Designated biodiversity sites'!$D$123:$M$124)*'Summary of area'!$E$42*Sheet1!B18+'Biodiversity - non-designated'!O82*'Summary of area'!$E$43*Sheet1!B18,0)</f>
        <v>0</v>
      </c>
      <c r="AC18">
        <f>IF(A18&gt;=$H$10,SUM('Designated biodiversity sites'!$D$125:$M$132)*'Summary of area'!$E$42*Sheet1!B18+'Biodiversity - non-designated'!O82*'Summary of area'!$E$43*Sheet1!B18,0)</f>
        <v>0</v>
      </c>
      <c r="AD18">
        <f>IF(A18=$H$10,SUM('Water supply'!$D$144:$M$145)*'Summary of area'!$E$44*Sheet1!B18,0)</f>
        <v>0</v>
      </c>
      <c r="AE18">
        <f>IF(A18&gt;=$H$10,SUM('Water supply'!$D$146:$M$153)*'Summary of area'!$E$44*B18,0)</f>
        <v>0</v>
      </c>
      <c r="AF18">
        <f>IF(A18=$H$10,SUM(Heritage!$D$221:$M$222)*'Summary of area'!$E$46*B18,0)</f>
        <v>0</v>
      </c>
      <c r="AG18">
        <f>IF(A18&gt;=$H$10,SUM(Heritage!$D$223:$M$230)*'Summary of area'!$E$46*Sheet1!B18,0)</f>
        <v>0</v>
      </c>
      <c r="AH18">
        <f>IF(A18=$H$10,SUM('Recreation and tourism'!$D$109:$M$110)*'Summary of area'!$E$45*Sheet1!B18,0)</f>
        <v>0</v>
      </c>
      <c r="AI18">
        <f>IF(A18&gt;=$H$10,SUM('Recreation and tourism'!$D$111:$M$118)*'Summary of area'!$E$45*Sheet1!B18,0)</f>
        <v>0</v>
      </c>
    </row>
    <row r="19" spans="1:35" ht="15.75" thickBot="1">
      <c r="A19" s="134">
        <f t="shared" si="1"/>
        <v>4</v>
      </c>
      <c r="B19" s="108">
        <f t="shared" si="2"/>
        <v>0.8714422276985724</v>
      </c>
      <c r="C19" s="137">
        <f>SUM($B$15:B19)</f>
        <v>4.673079208612225</v>
      </c>
      <c r="D19" s="136"/>
      <c r="G19">
        <f>IF(A19&gt;=$H$10,Carbon!$F$33*'Summary of area'!$E$31*B19,0)</f>
        <v>0</v>
      </c>
      <c r="H19">
        <f>IF(A19=$H$10,SUM('Water levels-Residential'!$D$53:$M$54)*'Summary of area'!$E$32*B19,0)</f>
        <v>0</v>
      </c>
      <c r="I19">
        <f>IF(A19&gt;=$H$10,SUM('Water levels-Residential'!$D$55:$M$62)*'Summary of area'!$E$32*B19,0)</f>
        <v>0</v>
      </c>
      <c r="J19">
        <f>IF(A19=$H$10,SUM('Water levels-Business'!$D$87:$M$88)*'Summary of area'!$E$33*B19,0)</f>
        <v>0</v>
      </c>
      <c r="K19">
        <f>IF(A19&gt;=$H$10,SUM('Water levels-Business'!$D$89:$M$96)*'Summary of area'!$E$33*B19,0)</f>
        <v>0</v>
      </c>
      <c r="L19">
        <f>IF(A19=$H$10,SUM('Water levels-Social Infra'!$D$169:$M$170)*'Summary of area'!$E$34*B19,0)</f>
        <v>0</v>
      </c>
      <c r="M19">
        <f>IF(A19&gt;=$H$10,SUM('Water levels-Social Infra'!$D$171:$M$178)*'Summary of area'!$E$34*B19,0)</f>
        <v>0</v>
      </c>
      <c r="N19">
        <f>IF(A19=$H$10,SUM('Water levels-Emergency'!$D$152:$M$153)*'Summary of area'!$E$35*B19,0)</f>
        <v>0</v>
      </c>
      <c r="O19">
        <f>IF(A19&gt;=$H$10,SUM('Water levels-Emergency'!$D$154:$M$161)*'Summary of area'!$E$35*B19,0)</f>
        <v>0</v>
      </c>
      <c r="P19">
        <f>IF(A19=$H$10,SUM('Water levels-Utilities'!$D$189:$M$190)*'Summary of area'!$E$36*B19,0)</f>
        <v>0</v>
      </c>
      <c r="Q19">
        <f>IF(A19&gt;=$H$10,SUM('Water levels-Utilities'!$D$191:$M$198)*'Summary of area'!$E$36*B19,0)</f>
        <v>0</v>
      </c>
      <c r="R19">
        <f>IF(A19=$H$10,SUM('Water levels-Transport (road)'!$D$160:$M$161)*'Summary of area'!$E$37*B19,0)</f>
        <v>0</v>
      </c>
      <c r="S19">
        <f>IF(A19&gt;=$H$10,SUM('Water levels-Transport (road)'!$D$162:$M$169)*'Summary of area'!$E$37*B19+SUM('Water levels-Transport (road)'!$D$215:$M$222)*'Summary of area'!$E$37*B19,0)</f>
        <v>0</v>
      </c>
      <c r="T19">
        <f>IF(A19=$H$10,SUM('Water levels-Transport (rail)'!$D$137:$M$138)*'Summary of area'!$E$38*Sheet1!B19,0)</f>
        <v>0</v>
      </c>
      <c r="U19">
        <f>IF(A19&gt;=$H$10,SUM('Water levels-Transport (rail)'!$D$139:$M$146)*'Summary of area'!$E$38*B19+SUM('Water levels-Transport (rail)'!$D$165:$M$172)*'Summary of area'!$E$38*B19,0)</f>
        <v>0</v>
      </c>
      <c r="V19">
        <f>IF(A19=$H$10,SUM('Food production'!$D$256:$M$257)*'Summary of area'!$E$39*Sheet1!B19,0)</f>
        <v>0</v>
      </c>
      <c r="W19">
        <f>IF(A19&gt;=$H$10,SUM('Food production'!$D$258:$M$265)*'Summary of area'!$E$39*Sheet1!B19,0)</f>
        <v>0</v>
      </c>
      <c r="X19">
        <f>IF(A19=$H$10,SUM('Energy (direct)'!$D$85:$M$86)*'Summary of area'!$E$40*B19,0)</f>
        <v>0</v>
      </c>
      <c r="Y19">
        <f>IF(A19&gt;=$H$10,SUM('Energy (direct)'!$D$87:$M$94)*'Summary of area'!$E$40*Sheet1!B19,0)</f>
        <v>0</v>
      </c>
      <c r="Z19">
        <f>IF(A19=$H$10,SUM('Energy (indirect)'!$D$158:$M$159)*'Summary of area'!$E$41*Sheet1!B19,0)</f>
        <v>0</v>
      </c>
      <c r="AA19">
        <f>IF(A19&gt;=$H$10,SUM('Energy (indirect)'!$D$160:$M$167)*'Summary of area'!$E$41*B19,0)</f>
        <v>0</v>
      </c>
      <c r="AB19">
        <f>IF(A19=$H$10,SUM('Designated biodiversity sites'!$D$123:$M$124)*'Summary of area'!$E$42*Sheet1!B19+'Biodiversity - non-designated'!O83*'Summary of area'!$E$43*Sheet1!B19,0)</f>
        <v>0</v>
      </c>
      <c r="AC19">
        <f>IF(A19&gt;=$H$10,SUM('Designated biodiversity sites'!$D$125:$M$132)*'Summary of area'!$E$42*Sheet1!B19+'Biodiversity - non-designated'!O83*'Summary of area'!$E$43*Sheet1!B19,0)</f>
        <v>0</v>
      </c>
      <c r="AD19">
        <f>IF(A19=$H$10,SUM('Water supply'!$D$144:$M$145)*'Summary of area'!$E$44*Sheet1!B19,0)</f>
        <v>0</v>
      </c>
      <c r="AE19">
        <f>IF(A19&gt;=$H$10,SUM('Water supply'!$D$146:$M$153)*'Summary of area'!$E$44*B19,0)</f>
        <v>0</v>
      </c>
      <c r="AF19">
        <f>IF(A19=$H$10,SUM(Heritage!$D$221:$M$222)*'Summary of area'!$E$46*B19,0)</f>
        <v>0</v>
      </c>
      <c r="AG19">
        <f>IF(A19&gt;=$H$10,SUM(Heritage!$D$223:$M$230)*'Summary of area'!$E$46*Sheet1!B19,0)</f>
        <v>0</v>
      </c>
      <c r="AH19">
        <f>IF(A19=$H$10,SUM('Recreation and tourism'!$D$109:$M$110)*'Summary of area'!$E$45*Sheet1!B19,0)</f>
        <v>0</v>
      </c>
      <c r="AI19">
        <f>IF(A19&gt;=$H$10,SUM('Recreation and tourism'!$D$111:$M$118)*'Summary of area'!$E$45*Sheet1!B19,0)</f>
        <v>0</v>
      </c>
    </row>
    <row r="20" spans="1:35" ht="15.75" thickBot="1">
      <c r="A20" s="134">
        <f t="shared" si="1"/>
        <v>5</v>
      </c>
      <c r="B20" s="108">
        <f t="shared" si="2"/>
        <v>0.8419731668585241</v>
      </c>
      <c r="C20" s="137">
        <f>SUM($B$15:B20)</f>
        <v>5.515052375470749</v>
      </c>
      <c r="D20" s="136"/>
      <c r="G20">
        <f>IF(A20&gt;=$H$10,Carbon!$F$33*'Summary of area'!$E$31*B20,0)</f>
        <v>0</v>
      </c>
      <c r="H20">
        <f>IF(A20=$H$10,SUM('Water levels-Residential'!$D$53:$M$54)*'Summary of area'!$E$32*B20,0)</f>
        <v>0</v>
      </c>
      <c r="I20">
        <f>IF(A20&gt;=$H$10,SUM('Water levels-Residential'!$D$55:$M$62)*'Summary of area'!$E$32*B20,0)</f>
        <v>0</v>
      </c>
      <c r="J20">
        <f>IF(A20=$H$10,SUM('Water levels-Business'!$D$87:$M$88)*'Summary of area'!$E$33*B20,0)</f>
        <v>0</v>
      </c>
      <c r="K20">
        <f>IF(A20&gt;=$H$10,SUM('Water levels-Business'!$D$89:$M$96)*'Summary of area'!$E$33*B20,0)</f>
        <v>0</v>
      </c>
      <c r="L20">
        <f>IF(A20=$H$10,SUM('Water levels-Social Infra'!$D$169:$M$170)*'Summary of area'!$E$34*B20,0)</f>
        <v>0</v>
      </c>
      <c r="M20">
        <f>IF(A20&gt;=$H$10,SUM('Water levels-Social Infra'!$D$171:$M$178)*'Summary of area'!$E$34*B20,0)</f>
        <v>0</v>
      </c>
      <c r="N20">
        <f>IF(A20=$H$10,SUM('Water levels-Emergency'!$D$152:$M$153)*'Summary of area'!$E$35*B20,0)</f>
        <v>0</v>
      </c>
      <c r="O20">
        <f>IF(A20&gt;=$H$10,SUM('Water levels-Emergency'!$D$154:$M$161)*'Summary of area'!$E$35*B20,0)</f>
        <v>0</v>
      </c>
      <c r="P20">
        <f>IF(A20=$H$10,SUM('Water levels-Utilities'!$D$189:$M$190)*'Summary of area'!$E$36*B20,0)</f>
        <v>0</v>
      </c>
      <c r="Q20">
        <f>IF(A20&gt;=$H$10,SUM('Water levels-Utilities'!$D$191:$M$198)*'Summary of area'!$E$36*B20,0)</f>
        <v>0</v>
      </c>
      <c r="R20">
        <f>IF(A20=$H$10,SUM('Water levels-Transport (road)'!$D$160:$M$161)*'Summary of area'!$E$37*B20,0)</f>
        <v>0</v>
      </c>
      <c r="S20">
        <f>IF(A20&gt;=$H$10,SUM('Water levels-Transport (road)'!$D$162:$M$169)*'Summary of area'!$E$37*B20+SUM('Water levels-Transport (road)'!$D$215:$M$222)*'Summary of area'!$E$37*B20,0)</f>
        <v>0</v>
      </c>
      <c r="T20">
        <f>IF(A20=$H$10,SUM('Water levels-Transport (rail)'!$D$137:$M$138)*'Summary of area'!$E$38*Sheet1!B20,0)</f>
        <v>0</v>
      </c>
      <c r="U20">
        <f>IF(A20&gt;=$H$10,SUM('Water levels-Transport (rail)'!$D$139:$M$146)*'Summary of area'!$E$38*B20+SUM('Water levels-Transport (rail)'!$D$165:$M$172)*'Summary of area'!$E$38*B20,0)</f>
        <v>0</v>
      </c>
      <c r="V20">
        <f>IF(A20=$H$10,SUM('Food production'!$D$256:$M$257)*'Summary of area'!$E$39*Sheet1!B20,0)</f>
        <v>0</v>
      </c>
      <c r="W20">
        <f>IF(A20&gt;=$H$10,SUM('Food production'!$D$258:$M$265)*'Summary of area'!$E$39*Sheet1!B20,0)</f>
        <v>0</v>
      </c>
      <c r="X20">
        <f>IF(A20=$H$10,SUM('Energy (direct)'!$D$85:$M$86)*'Summary of area'!$E$40*B20,0)</f>
        <v>0</v>
      </c>
      <c r="Y20">
        <f>IF(A20&gt;=$H$10,SUM('Energy (direct)'!$D$87:$M$94)*'Summary of area'!$E$40*Sheet1!B20,0)</f>
        <v>0</v>
      </c>
      <c r="Z20">
        <f>IF(A20=$H$10,SUM('Energy (indirect)'!$D$158:$M$159)*'Summary of area'!$E$41*Sheet1!B20,0)</f>
        <v>0</v>
      </c>
      <c r="AA20">
        <f>IF(A20&gt;=$H$10,SUM('Energy (indirect)'!$D$160:$M$167)*'Summary of area'!$E$41*B20,0)</f>
        <v>0</v>
      </c>
      <c r="AB20">
        <f>IF(A20=$H$10,SUM('Designated biodiversity sites'!$D$123:$M$124)*'Summary of area'!$E$42*Sheet1!B20+'Biodiversity - non-designated'!O84*'Summary of area'!$E$43*Sheet1!B20,0)</f>
        <v>0</v>
      </c>
      <c r="AC20">
        <f>IF(A20&gt;=$H$10,SUM('Designated biodiversity sites'!$D$125:$M$132)*'Summary of area'!$E$42*Sheet1!B20+'Biodiversity - non-designated'!O84*'Summary of area'!$E$43*Sheet1!B20,0)</f>
        <v>0</v>
      </c>
      <c r="AD20">
        <f>IF(A20=$H$10,SUM('Water supply'!$D$144:$M$145)*'Summary of area'!$E$44*Sheet1!B20,0)</f>
        <v>0</v>
      </c>
      <c r="AE20">
        <f>IF(A20&gt;=$H$10,SUM('Water supply'!$D$146:$M$153)*'Summary of area'!$E$44*B20,0)</f>
        <v>0</v>
      </c>
      <c r="AF20">
        <f>IF(A20=$H$10,SUM(Heritage!$D$221:$M$222)*'Summary of area'!$E$46*B20,0)</f>
        <v>0</v>
      </c>
      <c r="AG20">
        <f>IF(A20&gt;=$H$10,SUM(Heritage!$D$223:$M$230)*'Summary of area'!$E$46*Sheet1!B20,0)</f>
        <v>0</v>
      </c>
      <c r="AH20">
        <f>IF(A20=$H$10,SUM('Recreation and tourism'!$D$109:$M$110)*'Summary of area'!$E$45*Sheet1!B20,0)</f>
        <v>0</v>
      </c>
      <c r="AI20">
        <f>IF(A20&gt;=$H$10,SUM('Recreation and tourism'!$D$111:$M$118)*'Summary of area'!$E$45*Sheet1!B20,0)</f>
        <v>0</v>
      </c>
    </row>
    <row r="21" spans="1:35" ht="15.75" thickBot="1">
      <c r="A21" s="134">
        <f t="shared" si="1"/>
        <v>6</v>
      </c>
      <c r="B21" s="108">
        <f t="shared" si="2"/>
        <v>0.8135006443077528</v>
      </c>
      <c r="C21" s="137">
        <f>SUM($B$15:B21)</f>
        <v>6.328553019778502</v>
      </c>
      <c r="D21" s="136"/>
      <c r="G21">
        <f>IF(A21&gt;=$H$10,Carbon!$F$33*'Summary of area'!$E$31*B21,0)</f>
        <v>0</v>
      </c>
      <c r="H21">
        <f>IF(A21=$H$10,SUM('Water levels-Residential'!$D$53:$M$54)*'Summary of area'!$E$32*B21,0)</f>
        <v>0</v>
      </c>
      <c r="I21">
        <f>IF(A21&gt;=$H$10,SUM('Water levels-Residential'!$D$55:$M$62)*'Summary of area'!$E$32*B21,0)</f>
        <v>0</v>
      </c>
      <c r="J21">
        <f>IF(A21=$H$10,SUM('Water levels-Business'!$D$87:$M$88)*'Summary of area'!$E$33*B21,0)</f>
        <v>0</v>
      </c>
      <c r="K21">
        <f>IF(A21&gt;=$H$10,SUM('Water levels-Business'!$D$89:$M$96)*'Summary of area'!$E$33*B21,0)</f>
        <v>0</v>
      </c>
      <c r="L21">
        <f>IF(A21=$H$10,SUM('Water levels-Social Infra'!$D$169:$M$170)*'Summary of area'!$E$34*B21,0)</f>
        <v>0</v>
      </c>
      <c r="M21">
        <f>IF(A21&gt;=$H$10,SUM('Water levels-Social Infra'!$D$171:$M$178)*'Summary of area'!$E$34*B21,0)</f>
        <v>0</v>
      </c>
      <c r="N21">
        <f>IF(A21=$H$10,SUM('Water levels-Emergency'!$D$152:$M$153)*'Summary of area'!$E$35*B21,0)</f>
        <v>0</v>
      </c>
      <c r="O21">
        <f>IF(A21&gt;=$H$10,SUM('Water levels-Emergency'!$D$154:$M$161)*'Summary of area'!$E$35*B21,0)</f>
        <v>0</v>
      </c>
      <c r="P21">
        <f>IF(A21=$H$10,SUM('Water levels-Utilities'!$D$189:$M$190)*'Summary of area'!$E$36*B21,0)</f>
        <v>0</v>
      </c>
      <c r="Q21">
        <f>IF(A21&gt;=$H$10,SUM('Water levels-Utilities'!$D$191:$M$198)*'Summary of area'!$E$36*B21,0)</f>
        <v>0</v>
      </c>
      <c r="R21">
        <f>IF(A21=$H$10,SUM('Water levels-Transport (road)'!$D$160:$M$161)*'Summary of area'!$E$37*B21,0)</f>
        <v>0</v>
      </c>
      <c r="S21">
        <f>IF(A21&gt;=$H$10,SUM('Water levels-Transport (road)'!$D$162:$M$169)*'Summary of area'!$E$37*B21+SUM('Water levels-Transport (road)'!$D$215:$M$222)*'Summary of area'!$E$37*B21,0)</f>
        <v>0</v>
      </c>
      <c r="T21">
        <f>IF(A21=$H$10,SUM('Water levels-Transport (rail)'!$D$137:$M$138)*'Summary of area'!$E$38*Sheet1!B21,0)</f>
        <v>0</v>
      </c>
      <c r="U21">
        <f>IF(A21&gt;=$H$10,SUM('Water levels-Transport (rail)'!$D$139:$M$146)*'Summary of area'!$E$38*B21+SUM('Water levels-Transport (rail)'!$D$165:$M$172)*'Summary of area'!$E$38*B21,0)</f>
        <v>0</v>
      </c>
      <c r="V21">
        <f>IF(A21=$H$10,SUM('Food production'!$D$256:$M$257)*'Summary of area'!$E$39*Sheet1!B21,0)</f>
        <v>0</v>
      </c>
      <c r="W21">
        <f>IF(A21&gt;=$H$10,SUM('Food production'!$D$258:$M$265)*'Summary of area'!$E$39*Sheet1!B21,0)</f>
        <v>0</v>
      </c>
      <c r="X21">
        <f>IF(A21=$H$10,SUM('Energy (direct)'!$D$85:$M$86)*'Summary of area'!$E$40*B21,0)</f>
        <v>0</v>
      </c>
      <c r="Y21">
        <f>IF(A21&gt;=$H$10,SUM('Energy (direct)'!$D$87:$M$94)*'Summary of area'!$E$40*Sheet1!B21,0)</f>
        <v>0</v>
      </c>
      <c r="Z21">
        <f>IF(A21=$H$10,SUM('Energy (indirect)'!$D$158:$M$159)*'Summary of area'!$E$41*Sheet1!B21,0)</f>
        <v>0</v>
      </c>
      <c r="AA21">
        <f>IF(A21&gt;=$H$10,SUM('Energy (indirect)'!$D$160:$M$167)*'Summary of area'!$E$41*B21,0)</f>
        <v>0</v>
      </c>
      <c r="AB21">
        <f>IF(A21=$H$10,SUM('Designated biodiversity sites'!$D$123:$M$124)*'Summary of area'!$E$42*Sheet1!B21+'Biodiversity - non-designated'!O85*'Summary of area'!$E$43*Sheet1!B21,0)</f>
        <v>0</v>
      </c>
      <c r="AC21">
        <f>IF(A21&gt;=$H$10,SUM('Designated biodiversity sites'!$D$125:$M$132)*'Summary of area'!$E$42*Sheet1!B21+'Biodiversity - non-designated'!O85*'Summary of area'!$E$43*Sheet1!B21,0)</f>
        <v>0</v>
      </c>
      <c r="AD21">
        <f>IF(A21=$H$10,SUM('Water supply'!$D$144:$M$145)*'Summary of area'!$E$44*Sheet1!B21,0)</f>
        <v>0</v>
      </c>
      <c r="AE21">
        <f>IF(A21&gt;=$H$10,SUM('Water supply'!$D$146:$M$153)*'Summary of area'!$E$44*B21,0)</f>
        <v>0</v>
      </c>
      <c r="AF21">
        <f>IF(A21=$H$10,SUM(Heritage!$D$221:$M$222)*'Summary of area'!$E$46*B21,0)</f>
        <v>0</v>
      </c>
      <c r="AG21">
        <f>IF(A21&gt;=$H$10,SUM(Heritage!$D$223:$M$230)*'Summary of area'!$E$46*Sheet1!B21,0)</f>
        <v>0</v>
      </c>
      <c r="AH21">
        <f>IF(A21=$H$10,SUM('Recreation and tourism'!$D$109:$M$110)*'Summary of area'!$E$45*Sheet1!B21,0)</f>
        <v>0</v>
      </c>
      <c r="AI21">
        <f>IF(A21&gt;=$H$10,SUM('Recreation and tourism'!$D$111:$M$118)*'Summary of area'!$E$45*Sheet1!B21,0)</f>
        <v>0</v>
      </c>
    </row>
    <row r="22" spans="1:35" ht="15.75" thickBot="1">
      <c r="A22" s="134">
        <f t="shared" si="1"/>
        <v>7</v>
      </c>
      <c r="B22" s="108">
        <f t="shared" si="2"/>
        <v>0.7859909606838192</v>
      </c>
      <c r="C22" s="137">
        <f>SUM($B$15:B22)</f>
        <v>7.114543980462321</v>
      </c>
      <c r="D22" s="136"/>
      <c r="G22">
        <f>IF(A22&gt;=$H$10,Carbon!$F$33*'Summary of area'!$E$31*B22,0)</f>
        <v>0</v>
      </c>
      <c r="H22">
        <f>IF(A22=$H$10,SUM('Water levels-Residential'!$D$53:$M$54)*'Summary of area'!$E$32*B22,0)</f>
        <v>0</v>
      </c>
      <c r="I22">
        <f>IF(A22&gt;=$H$10,SUM('Water levels-Residential'!$D$55:$M$62)*'Summary of area'!$E$32*B22,0)</f>
        <v>0</v>
      </c>
      <c r="J22">
        <f>IF(A22=$H$10,SUM('Water levels-Business'!$D$87:$M$88)*'Summary of area'!$E$33*B22,0)</f>
        <v>0</v>
      </c>
      <c r="K22">
        <f>IF(A22&gt;=$H$10,SUM('Water levels-Business'!$D$89:$M$96)*'Summary of area'!$E$33*B22,0)</f>
        <v>0</v>
      </c>
      <c r="L22">
        <f>IF(A22=$H$10,SUM('Water levels-Social Infra'!$D$169:$M$170)*'Summary of area'!$E$34*B22,0)</f>
        <v>0</v>
      </c>
      <c r="M22">
        <f>IF(A22&gt;=$H$10,SUM('Water levels-Social Infra'!$D$171:$M$178)*'Summary of area'!$E$34*B22,0)</f>
        <v>0</v>
      </c>
      <c r="N22">
        <f>IF(A22=$H$10,SUM('Water levels-Emergency'!$D$152:$M$153)*'Summary of area'!$E$35*B22,0)</f>
        <v>0</v>
      </c>
      <c r="O22">
        <f>IF(A22&gt;=$H$10,SUM('Water levels-Emergency'!$D$154:$M$161)*'Summary of area'!$E$35*B22,0)</f>
        <v>0</v>
      </c>
      <c r="P22">
        <f>IF(A22=$H$10,SUM('Water levels-Utilities'!$D$189:$M$190)*'Summary of area'!$E$36*B22,0)</f>
        <v>0</v>
      </c>
      <c r="Q22">
        <f>IF(A22&gt;=$H$10,SUM('Water levels-Utilities'!$D$191:$M$198)*'Summary of area'!$E$36*B22,0)</f>
        <v>0</v>
      </c>
      <c r="R22">
        <f>IF(A22=$H$10,SUM('Water levels-Transport (road)'!$D$160:$M$161)*'Summary of area'!$E$37*B22,0)</f>
        <v>0</v>
      </c>
      <c r="S22">
        <f>IF(A22&gt;=$H$10,SUM('Water levels-Transport (road)'!$D$162:$M$169)*'Summary of area'!$E$37*B22+SUM('Water levels-Transport (road)'!$D$215:$M$222)*'Summary of area'!$E$37*B22,0)</f>
        <v>0</v>
      </c>
      <c r="T22">
        <f>IF(A22=$H$10,SUM('Water levels-Transport (rail)'!$D$137:$M$138)*'Summary of area'!$E$38*Sheet1!B22,0)</f>
        <v>0</v>
      </c>
      <c r="U22">
        <f>IF(A22&gt;=$H$10,SUM('Water levels-Transport (rail)'!$D$139:$M$146)*'Summary of area'!$E$38*B22+SUM('Water levels-Transport (rail)'!$D$165:$M$172)*'Summary of area'!$E$38*B22,0)</f>
        <v>0</v>
      </c>
      <c r="V22">
        <f>IF(A22=$H$10,SUM('Food production'!$D$256:$M$257)*'Summary of area'!$E$39*Sheet1!B22,0)</f>
        <v>0</v>
      </c>
      <c r="W22">
        <f>IF(A22&gt;=$H$10,SUM('Food production'!$D$258:$M$265)*'Summary of area'!$E$39*Sheet1!B22,0)</f>
        <v>0</v>
      </c>
      <c r="X22">
        <f>IF(A22=$H$10,SUM('Energy (direct)'!$D$85:$M$86)*'Summary of area'!$E$40*B22,0)</f>
        <v>0</v>
      </c>
      <c r="Y22">
        <f>IF(A22&gt;=$H$10,SUM('Energy (direct)'!$D$87:$M$94)*'Summary of area'!$E$40*Sheet1!B22,0)</f>
        <v>0</v>
      </c>
      <c r="Z22">
        <f>IF(A22=$H$10,SUM('Energy (indirect)'!$D$158:$M$159)*'Summary of area'!$E$41*Sheet1!B22,0)</f>
        <v>0</v>
      </c>
      <c r="AA22">
        <f>IF(A22&gt;=$H$10,SUM('Energy (indirect)'!$D$160:$M$167)*'Summary of area'!$E$41*B22,0)</f>
        <v>0</v>
      </c>
      <c r="AB22">
        <f>IF(A22=$H$10,SUM('Designated biodiversity sites'!$D$123:$M$124)*'Summary of area'!$E$42*Sheet1!B22+'Biodiversity - non-designated'!O86*'Summary of area'!$E$43*Sheet1!B22,0)</f>
        <v>0</v>
      </c>
      <c r="AC22">
        <f>IF(A22&gt;=$H$10,SUM('Designated biodiversity sites'!$D$125:$M$132)*'Summary of area'!$E$42*Sheet1!B22+'Biodiversity - non-designated'!O86*'Summary of area'!$E$43*Sheet1!B22,0)</f>
        <v>0</v>
      </c>
      <c r="AD22">
        <f>IF(A22=$H$10,SUM('Water supply'!$D$144:$M$145)*'Summary of area'!$E$44*Sheet1!B22,0)</f>
        <v>0</v>
      </c>
      <c r="AE22">
        <f>IF(A22&gt;=$H$10,SUM('Water supply'!$D$146:$M$153)*'Summary of area'!$E$44*B22,0)</f>
        <v>0</v>
      </c>
      <c r="AF22">
        <f>IF(A22=$H$10,SUM(Heritage!$D$221:$M$222)*'Summary of area'!$E$46*B22,0)</f>
        <v>0</v>
      </c>
      <c r="AG22">
        <f>IF(A22&gt;=$H$10,SUM(Heritage!$D$223:$M$230)*'Summary of area'!$E$46*Sheet1!B22,0)</f>
        <v>0</v>
      </c>
      <c r="AH22">
        <f>IF(A22=$H$10,SUM('Recreation and tourism'!$D$109:$M$110)*'Summary of area'!$E$45*Sheet1!B22,0)</f>
        <v>0</v>
      </c>
      <c r="AI22">
        <f>IF(A22&gt;=$H$10,SUM('Recreation and tourism'!$D$111:$M$118)*'Summary of area'!$E$45*Sheet1!B22,0)</f>
        <v>0</v>
      </c>
    </row>
    <row r="23" spans="1:35" ht="15.75" thickBot="1">
      <c r="A23" s="134">
        <f t="shared" si="1"/>
        <v>8</v>
      </c>
      <c r="B23" s="108">
        <f t="shared" si="2"/>
        <v>0.7594115562162506</v>
      </c>
      <c r="C23" s="137">
        <f>SUM($B$15:B23)</f>
        <v>7.873955536678572</v>
      </c>
      <c r="D23" s="136"/>
      <c r="G23">
        <f>IF(A23&gt;=$H$10,Carbon!$F$33*'Summary of area'!$E$31*B23,0)</f>
        <v>0</v>
      </c>
      <c r="H23">
        <f>IF(A23=$H$10,SUM('Water levels-Residential'!$D$53:$M$54)*'Summary of area'!$E$32*B23,0)</f>
        <v>0</v>
      </c>
      <c r="I23">
        <f>IF(A23&gt;=$H$10,SUM('Water levels-Residential'!$D$55:$M$62)*'Summary of area'!$E$32*B23,0)</f>
        <v>0</v>
      </c>
      <c r="J23">
        <f>IF(A23=$H$10,SUM('Water levels-Business'!$D$87:$M$88)*'Summary of area'!$E$33*B23,0)</f>
        <v>0</v>
      </c>
      <c r="K23">
        <f>IF(A23&gt;=$H$10,SUM('Water levels-Business'!$D$89:$M$96)*'Summary of area'!$E$33*B23,0)</f>
        <v>0</v>
      </c>
      <c r="L23">
        <f>IF(A23=$H$10,SUM('Water levels-Social Infra'!$D$169:$M$170)*'Summary of area'!$E$34*B23,0)</f>
        <v>0</v>
      </c>
      <c r="M23">
        <f>IF(A23&gt;=$H$10,SUM('Water levels-Social Infra'!$D$171:$M$178)*'Summary of area'!$E$34*B23,0)</f>
        <v>0</v>
      </c>
      <c r="N23">
        <f>IF(A23=$H$10,SUM('Water levels-Emergency'!$D$152:$M$153)*'Summary of area'!$E$35*B23,0)</f>
        <v>0</v>
      </c>
      <c r="O23">
        <f>IF(A23&gt;=$H$10,SUM('Water levels-Emergency'!$D$154:$M$161)*'Summary of area'!$E$35*B23,0)</f>
        <v>0</v>
      </c>
      <c r="P23">
        <f>IF(A23=$H$10,SUM('Water levels-Utilities'!$D$189:$M$190)*'Summary of area'!$E$36*B23,0)</f>
        <v>0</v>
      </c>
      <c r="Q23">
        <f>IF(A23&gt;=$H$10,SUM('Water levels-Utilities'!$D$191:$M$198)*'Summary of area'!$E$36*B23,0)</f>
        <v>0</v>
      </c>
      <c r="R23">
        <f>IF(A23=$H$10,SUM('Water levels-Transport (road)'!$D$160:$M$161)*'Summary of area'!$E$37*B23,0)</f>
        <v>0</v>
      </c>
      <c r="S23">
        <f>IF(A23&gt;=$H$10,SUM('Water levels-Transport (road)'!$D$162:$M$169)*'Summary of area'!$E$37*B23+SUM('Water levels-Transport (road)'!$D$215:$M$222)*'Summary of area'!$E$37*B23,0)</f>
        <v>0</v>
      </c>
      <c r="T23">
        <f>IF(A23=$H$10,SUM('Water levels-Transport (rail)'!$D$137:$M$138)*'Summary of area'!$E$38*Sheet1!B23,0)</f>
        <v>0</v>
      </c>
      <c r="U23">
        <f>IF(A23&gt;=$H$10,SUM('Water levels-Transport (rail)'!$D$139:$M$146)*'Summary of area'!$E$38*B23+SUM('Water levels-Transport (rail)'!$D$165:$M$172)*'Summary of area'!$E$38*B23,0)</f>
        <v>0</v>
      </c>
      <c r="V23">
        <f>IF(A23=$H$10,SUM('Food production'!$D$256:$M$257)*'Summary of area'!$E$39*Sheet1!B23,0)</f>
        <v>0</v>
      </c>
      <c r="W23">
        <f>IF(A23&gt;=$H$10,SUM('Food production'!$D$258:$M$265)*'Summary of area'!$E$39*Sheet1!B23,0)</f>
        <v>0</v>
      </c>
      <c r="X23">
        <f>IF(A23=$H$10,SUM('Energy (direct)'!$D$85:$M$86)*'Summary of area'!$E$40*B23,0)</f>
        <v>0</v>
      </c>
      <c r="Y23">
        <f>IF(A23&gt;=$H$10,SUM('Energy (direct)'!$D$87:$M$94)*'Summary of area'!$E$40*Sheet1!B23,0)</f>
        <v>0</v>
      </c>
      <c r="Z23">
        <f>IF(A23=$H$10,SUM('Energy (indirect)'!$D$158:$M$159)*'Summary of area'!$E$41*Sheet1!B23,0)</f>
        <v>0</v>
      </c>
      <c r="AA23">
        <f>IF(A23&gt;=$H$10,SUM('Energy (indirect)'!$D$160:$M$167)*'Summary of area'!$E$41*B23,0)</f>
        <v>0</v>
      </c>
      <c r="AB23">
        <f>IF(A23=$H$10,SUM('Designated biodiversity sites'!$D$123:$M$124)*'Summary of area'!$E$42*Sheet1!B23+'Biodiversity - non-designated'!O87*'Summary of area'!$E$43*Sheet1!B23,0)</f>
        <v>0</v>
      </c>
      <c r="AC23">
        <f>IF(A23&gt;=$H$10,SUM('Designated biodiversity sites'!$D$125:$M$132)*'Summary of area'!$E$42*Sheet1!B23+'Biodiversity - non-designated'!O87*'Summary of area'!$E$43*Sheet1!B23,0)</f>
        <v>0</v>
      </c>
      <c r="AD23">
        <f>IF(A23=$H$10,SUM('Water supply'!$D$144:$M$145)*'Summary of area'!$E$44*Sheet1!B23,0)</f>
        <v>0</v>
      </c>
      <c r="AE23">
        <f>IF(A23&gt;=$H$10,SUM('Water supply'!$D$146:$M$153)*'Summary of area'!$E$44*B23,0)</f>
        <v>0</v>
      </c>
      <c r="AF23">
        <f>IF(A23=$H$10,SUM(Heritage!$D$221:$M$222)*'Summary of area'!$E$46*B23,0)</f>
        <v>0</v>
      </c>
      <c r="AG23">
        <f>IF(A23&gt;=$H$10,SUM(Heritage!$D$223:$M$230)*'Summary of area'!$E$46*Sheet1!B23,0)</f>
        <v>0</v>
      </c>
      <c r="AH23">
        <f>IF(A23=$H$10,SUM('Recreation and tourism'!$D$109:$M$110)*'Summary of area'!$E$45*Sheet1!B23,0)</f>
        <v>0</v>
      </c>
      <c r="AI23">
        <f>IF(A23&gt;=$H$10,SUM('Recreation and tourism'!$D$111:$M$118)*'Summary of area'!$E$45*Sheet1!B23,0)</f>
        <v>0</v>
      </c>
    </row>
    <row r="24" spans="1:35" ht="15.75" thickBot="1">
      <c r="A24" s="134">
        <f t="shared" si="1"/>
        <v>9</v>
      </c>
      <c r="B24" s="108">
        <f t="shared" si="2"/>
        <v>0.7337309721896141</v>
      </c>
      <c r="C24" s="137">
        <f>SUM($B$15:B24)</f>
        <v>8.607686508868186</v>
      </c>
      <c r="D24" s="136"/>
      <c r="G24">
        <f>IF(A24&gt;=$H$10,Carbon!$F$33*'Summary of area'!$E$31*B24,0)</f>
        <v>0</v>
      </c>
      <c r="H24">
        <f>IF(A24=$H$10,SUM('Water levels-Residential'!$D$53:$M$54)*'Summary of area'!$E$32*B24,0)</f>
        <v>0</v>
      </c>
      <c r="I24">
        <f>IF(A24&gt;=$H$10,SUM('Water levels-Residential'!$D$55:$M$62)*'Summary of area'!$E$32*B24,0)</f>
        <v>0</v>
      </c>
      <c r="J24">
        <f>IF(A24=$H$10,SUM('Water levels-Business'!$D$87:$M$88)*'Summary of area'!$E$33*B24,0)</f>
        <v>0</v>
      </c>
      <c r="K24">
        <f>IF(A24&gt;=$H$10,SUM('Water levels-Business'!$D$89:$M$96)*'Summary of area'!$E$33*B24,0)</f>
        <v>0</v>
      </c>
      <c r="L24">
        <f>IF(A24=$H$10,SUM('Water levels-Social Infra'!$D$169:$M$170)*'Summary of area'!$E$34*B24,0)</f>
        <v>0</v>
      </c>
      <c r="M24">
        <f>IF(A24&gt;=$H$10,SUM('Water levels-Social Infra'!$D$171:$M$178)*'Summary of area'!$E$34*B24,0)</f>
        <v>0</v>
      </c>
      <c r="N24">
        <f>IF(A24=$H$10,SUM('Water levels-Emergency'!$D$152:$M$153)*'Summary of area'!$E$35*B24,0)</f>
        <v>0</v>
      </c>
      <c r="O24">
        <f>IF(A24&gt;=$H$10,SUM('Water levels-Emergency'!$D$154:$M$161)*'Summary of area'!$E$35*B24,0)</f>
        <v>0</v>
      </c>
      <c r="P24">
        <f>IF(A24=$H$10,SUM('Water levels-Utilities'!$D$189:$M$190)*'Summary of area'!$E$36*B24,0)</f>
        <v>0</v>
      </c>
      <c r="Q24">
        <f>IF(A24&gt;=$H$10,SUM('Water levels-Utilities'!$D$191:$M$198)*'Summary of area'!$E$36*B24,0)</f>
        <v>0</v>
      </c>
      <c r="R24">
        <f>IF(A24=$H$10,SUM('Water levels-Transport (road)'!$D$160:$M$161)*'Summary of area'!$E$37*B24,0)</f>
        <v>0</v>
      </c>
      <c r="S24">
        <f>IF(A24&gt;=$H$10,SUM('Water levels-Transport (road)'!$D$162:$M$169)*'Summary of area'!$E$37*B24+SUM('Water levels-Transport (road)'!$D$215:$M$222)*'Summary of area'!$E$37*B24,0)</f>
        <v>0</v>
      </c>
      <c r="T24">
        <f>IF(A24=$H$10,SUM('Water levels-Transport (rail)'!$D$137:$M$138)*'Summary of area'!$E$38*Sheet1!B24,0)</f>
        <v>0</v>
      </c>
      <c r="U24">
        <f>IF(A24&gt;=$H$10,SUM('Water levels-Transport (rail)'!$D$139:$M$146)*'Summary of area'!$E$38*B24+SUM('Water levels-Transport (rail)'!$D$165:$M$172)*'Summary of area'!$E$38*B24,0)</f>
        <v>0</v>
      </c>
      <c r="V24">
        <f>IF(A24=$H$10,SUM('Food production'!$D$256:$M$257)*'Summary of area'!$E$39*Sheet1!B24,0)</f>
        <v>0</v>
      </c>
      <c r="W24">
        <f>IF(A24&gt;=$H$10,SUM('Food production'!$D$258:$M$265)*'Summary of area'!$E$39*Sheet1!B24,0)</f>
        <v>0</v>
      </c>
      <c r="X24">
        <f>IF(A24=$H$10,SUM('Energy (direct)'!$D$85:$M$86)*'Summary of area'!$E$40*B24,0)</f>
        <v>0</v>
      </c>
      <c r="Y24">
        <f>IF(A24&gt;=$H$10,SUM('Energy (direct)'!$D$87:$M$94)*'Summary of area'!$E$40*Sheet1!B24,0)</f>
        <v>0</v>
      </c>
      <c r="Z24">
        <f>IF(A24=$H$10,SUM('Energy (indirect)'!$D$158:$M$159)*'Summary of area'!$E$41*Sheet1!B24,0)</f>
        <v>0</v>
      </c>
      <c r="AA24">
        <f>IF(A24&gt;=$H$10,SUM('Energy (indirect)'!$D$160:$M$167)*'Summary of area'!$E$41*B24,0)</f>
        <v>0</v>
      </c>
      <c r="AB24">
        <f>IF(A24=$H$10,SUM('Designated biodiversity sites'!$D$123:$M$124)*'Summary of area'!$E$42*Sheet1!B24+'Biodiversity - non-designated'!O88*'Summary of area'!$E$43*Sheet1!B24,0)</f>
        <v>0</v>
      </c>
      <c r="AC24">
        <f>IF(A24&gt;=$H$10,SUM('Designated biodiversity sites'!$D$125:$M$132)*'Summary of area'!$E$42*Sheet1!B24+'Biodiversity - non-designated'!O88*'Summary of area'!$E$43*Sheet1!B24,0)</f>
        <v>0</v>
      </c>
      <c r="AD24">
        <f>IF(A24=$H$10,SUM('Water supply'!$D$144:$M$145)*'Summary of area'!$E$44*Sheet1!B24,0)</f>
        <v>0</v>
      </c>
      <c r="AE24">
        <f>IF(A24&gt;=$H$10,SUM('Water supply'!$D$146:$M$153)*'Summary of area'!$E$44*B24,0)</f>
        <v>0</v>
      </c>
      <c r="AF24">
        <f>IF(A24=$H$10,SUM(Heritage!$D$221:$M$222)*'Summary of area'!$E$46*B24,0)</f>
        <v>0</v>
      </c>
      <c r="AG24">
        <f>IF(A24&gt;=$H$10,SUM(Heritage!$D$223:$M$230)*'Summary of area'!$E$46*Sheet1!B24,0)</f>
        <v>0</v>
      </c>
      <c r="AH24">
        <f>IF(A24=$H$10,SUM('Recreation and tourism'!$D$109:$M$110)*'Summary of area'!$E$45*Sheet1!B24,0)</f>
        <v>0</v>
      </c>
      <c r="AI24">
        <f>IF(A24&gt;=$H$10,SUM('Recreation and tourism'!$D$111:$M$118)*'Summary of area'!$E$45*Sheet1!B24,0)</f>
        <v>0</v>
      </c>
    </row>
    <row r="25" spans="1:35" ht="15.75" thickBot="1">
      <c r="A25" s="134">
        <f t="shared" si="1"/>
        <v>10</v>
      </c>
      <c r="B25" s="108">
        <f t="shared" si="2"/>
        <v>0.7089188137097722</v>
      </c>
      <c r="C25" s="137">
        <f>SUM($B$15:B25)</f>
        <v>9.316605322577958</v>
      </c>
      <c r="D25" s="136"/>
      <c r="G25">
        <f>IF(A25&gt;=$H$10,Carbon!$F$33*'Summary of area'!$E$31*B25,0)</f>
        <v>0</v>
      </c>
      <c r="H25">
        <f>IF(A25=$H$10,SUM('Water levels-Residential'!$D$53:$M$54)*'Summary of area'!$E$32*B25,0)</f>
        <v>0</v>
      </c>
      <c r="I25">
        <f>IF(A25&gt;=$H$10,SUM('Water levels-Residential'!$D$55:$M$62)*'Summary of area'!$E$32*B25,0)</f>
        <v>0</v>
      </c>
      <c r="J25">
        <f>IF(A25=$H$10,SUM('Water levels-Business'!$D$87:$M$88)*'Summary of area'!$E$33*B25,0)</f>
        <v>0</v>
      </c>
      <c r="K25">
        <f>IF(A25&gt;=$H$10,SUM('Water levels-Business'!$D$89:$M$96)*'Summary of area'!$E$33*B25,0)</f>
        <v>0</v>
      </c>
      <c r="L25">
        <f>IF(A25=$H$10,SUM('Water levels-Social Infra'!$D$169:$M$170)*'Summary of area'!$E$34*B25,0)</f>
        <v>0</v>
      </c>
      <c r="M25">
        <f>IF(A25&gt;=$H$10,SUM('Water levels-Social Infra'!$D$171:$M$178)*'Summary of area'!$E$34*B25,0)</f>
        <v>0</v>
      </c>
      <c r="N25">
        <f>IF(A25=$H$10,SUM('Water levels-Emergency'!$D$152:$M$153)*'Summary of area'!$E$35*B25,0)</f>
        <v>0</v>
      </c>
      <c r="O25">
        <f>IF(A25&gt;=$H$10,SUM('Water levels-Emergency'!$D$154:$M$161)*'Summary of area'!$E$35*B25,0)</f>
        <v>0</v>
      </c>
      <c r="P25">
        <f>IF(A25=$H$10,SUM('Water levels-Utilities'!$D$189:$M$190)*'Summary of area'!$E$36*B25,0)</f>
        <v>0</v>
      </c>
      <c r="Q25">
        <f>IF(A25&gt;=$H$10,SUM('Water levels-Utilities'!$D$191:$M$198)*'Summary of area'!$E$36*B25,0)</f>
        <v>0</v>
      </c>
      <c r="R25">
        <f>IF(A25=$H$10,SUM('Water levels-Transport (road)'!$D$160:$M$161)*'Summary of area'!$E$37*B25,0)</f>
        <v>0</v>
      </c>
      <c r="S25">
        <f>IF(A25&gt;=$H$10,SUM('Water levels-Transport (road)'!$D$162:$M$169)*'Summary of area'!$E$37*B25+SUM('Water levels-Transport (road)'!$D$215:$M$222)*'Summary of area'!$E$37*B25,0)</f>
        <v>0</v>
      </c>
      <c r="T25">
        <f>IF(A25=$H$10,SUM('Water levels-Transport (rail)'!$D$137:$M$138)*'Summary of area'!$E$38*Sheet1!B25,0)</f>
        <v>0</v>
      </c>
      <c r="U25">
        <f>IF(A25&gt;=$H$10,SUM('Water levels-Transport (rail)'!$D$139:$M$146)*'Summary of area'!$E$38*B25+SUM('Water levels-Transport (rail)'!$D$165:$M$172)*'Summary of area'!$E$38*B25,0)</f>
        <v>0</v>
      </c>
      <c r="V25">
        <f>IF(A25=$H$10,SUM('Food production'!$D$256:$M$257)*'Summary of area'!$E$39*Sheet1!B25,0)</f>
        <v>0</v>
      </c>
      <c r="W25">
        <f>IF(A25&gt;=$H$10,SUM('Food production'!$D$258:$M$265)*'Summary of area'!$E$39*Sheet1!B25,0)</f>
        <v>0</v>
      </c>
      <c r="X25">
        <f>IF(A25=$H$10,SUM('Energy (direct)'!$D$85:$M$86)*'Summary of area'!$E$40*B25,0)</f>
        <v>0</v>
      </c>
      <c r="Y25">
        <f>IF(A25&gt;=$H$10,SUM('Energy (direct)'!$D$87:$M$94)*'Summary of area'!$E$40*Sheet1!B25,0)</f>
        <v>0</v>
      </c>
      <c r="Z25">
        <f>IF(A25=$H$10,SUM('Energy (indirect)'!$D$158:$M$159)*'Summary of area'!$E$41*Sheet1!B25,0)</f>
        <v>0</v>
      </c>
      <c r="AA25">
        <f>IF(A25&gt;=$H$10,SUM('Energy (indirect)'!$D$160:$M$167)*'Summary of area'!$E$41*B25,0)</f>
        <v>0</v>
      </c>
      <c r="AB25">
        <f>IF(A25=$H$10,SUM('Designated biodiversity sites'!$D$123:$M$124)*'Summary of area'!$E$42*Sheet1!B25+'Biodiversity - non-designated'!O89*'Summary of area'!$E$43*Sheet1!B25,0)</f>
        <v>0</v>
      </c>
      <c r="AC25">
        <f>IF(A25&gt;=$H$10,SUM('Designated biodiversity sites'!$D$125:$M$132)*'Summary of area'!$E$42*Sheet1!B25+'Biodiversity - non-designated'!O89*'Summary of area'!$E$43*Sheet1!B25,0)</f>
        <v>0</v>
      </c>
      <c r="AD25">
        <f>IF(A25=$H$10,SUM('Water supply'!$D$144:$M$145)*'Summary of area'!$E$44*Sheet1!B25,0)</f>
        <v>0</v>
      </c>
      <c r="AE25">
        <f>IF(A25&gt;=$H$10,SUM('Water supply'!$D$146:$M$153)*'Summary of area'!$E$44*B25,0)</f>
        <v>0</v>
      </c>
      <c r="AF25">
        <f>IF(A25=$H$10,SUM(Heritage!$D$221:$M$222)*'Summary of area'!$E$46*B25,0)</f>
        <v>0</v>
      </c>
      <c r="AG25">
        <f>IF(A25&gt;=$H$10,SUM(Heritage!$D$223:$M$230)*'Summary of area'!$E$46*Sheet1!B25,0)</f>
        <v>0</v>
      </c>
      <c r="AH25">
        <f>IF(A25=$H$10,SUM('Recreation and tourism'!$D$109:$M$110)*'Summary of area'!$E$45*Sheet1!B25,0)</f>
        <v>0</v>
      </c>
      <c r="AI25">
        <f>IF(A25&gt;=$H$10,SUM('Recreation and tourism'!$D$111:$M$118)*'Summary of area'!$E$45*Sheet1!B25,0)</f>
        <v>0</v>
      </c>
    </row>
    <row r="26" spans="1:35" ht="15.75" thickBot="1">
      <c r="A26" s="134">
        <f t="shared" si="1"/>
        <v>11</v>
      </c>
      <c r="B26" s="108">
        <f t="shared" si="2"/>
        <v>0.6849457137292485</v>
      </c>
      <c r="C26" s="137">
        <f>SUM($B$15:B26)</f>
        <v>10.001551036307207</v>
      </c>
      <c r="D26" s="136"/>
      <c r="G26">
        <f>IF(A26&gt;=$H$10,Carbon!$F$33*'Summary of area'!$E$31*B26,0)</f>
        <v>0</v>
      </c>
      <c r="H26">
        <f>IF(A26=$H$10,SUM('Water levels-Residential'!$D$53:$M$54)*'Summary of area'!$E$32*B26,0)</f>
        <v>0</v>
      </c>
      <c r="I26">
        <f>IF(A26&gt;=$H$10,SUM('Water levels-Residential'!$D$55:$M$62)*'Summary of area'!$E$32*B26,0)</f>
        <v>0</v>
      </c>
      <c r="J26">
        <f>IF(A26=$H$10,SUM('Water levels-Business'!$D$87:$M$88)*'Summary of area'!$E$33*B26,0)</f>
        <v>0</v>
      </c>
      <c r="K26">
        <f>IF(A26&gt;=$H$10,SUM('Water levels-Business'!$D$89:$M$96)*'Summary of area'!$E$33*B26,0)</f>
        <v>0</v>
      </c>
      <c r="L26">
        <f>IF(A26=$H$10,SUM('Water levels-Social Infra'!$D$169:$M$170)*'Summary of area'!$E$34*B26,0)</f>
        <v>0</v>
      </c>
      <c r="M26">
        <f>IF(A26&gt;=$H$10,SUM('Water levels-Social Infra'!$D$171:$M$178)*'Summary of area'!$E$34*B26,0)</f>
        <v>0</v>
      </c>
      <c r="N26">
        <f>IF(A26=$H$10,SUM('Water levels-Emergency'!$D$152:$M$153)*'Summary of area'!$E$35*B26,0)</f>
        <v>0</v>
      </c>
      <c r="O26">
        <f>IF(A26&gt;=$H$10,SUM('Water levels-Emergency'!$D$154:$M$161)*'Summary of area'!$E$35*B26,0)</f>
        <v>0</v>
      </c>
      <c r="P26">
        <f>IF(A26=$H$10,SUM('Water levels-Utilities'!$D$189:$M$190)*'Summary of area'!$E$36*B26,0)</f>
        <v>0</v>
      </c>
      <c r="Q26">
        <f>IF(A26&gt;=$H$10,SUM('Water levels-Utilities'!$D$191:$M$198)*'Summary of area'!$E$36*B26,0)</f>
        <v>0</v>
      </c>
      <c r="R26">
        <f>IF(A26=$H$10,SUM('Water levels-Transport (road)'!$D$160:$M$161)*'Summary of area'!$E$37*B26,0)</f>
        <v>0</v>
      </c>
      <c r="S26">
        <f>IF(A26&gt;=$H$10,SUM('Water levels-Transport (road)'!$D$162:$M$169)*'Summary of area'!$E$37*B26+SUM('Water levels-Transport (road)'!$D$215:$M$222)*'Summary of area'!$E$37*B26,0)</f>
        <v>0</v>
      </c>
      <c r="T26">
        <f>IF(A26=$H$10,SUM('Water levels-Transport (rail)'!$D$137:$M$138)*'Summary of area'!$E$38*Sheet1!B26,0)</f>
        <v>0</v>
      </c>
      <c r="U26">
        <f>IF(A26&gt;=$H$10,SUM('Water levels-Transport (rail)'!$D$139:$M$146)*'Summary of area'!$E$38*B26+SUM('Water levels-Transport (rail)'!$D$165:$M$172)*'Summary of area'!$E$38*B26,0)</f>
        <v>0</v>
      </c>
      <c r="V26">
        <f>IF(A26=$H$10,SUM('Food production'!$D$256:$M$257)*'Summary of area'!$E$39*Sheet1!B26,0)</f>
        <v>0</v>
      </c>
      <c r="W26">
        <f>IF(A26&gt;=$H$10,SUM('Food production'!$D$258:$M$265)*'Summary of area'!$E$39*Sheet1!B26,0)</f>
        <v>0</v>
      </c>
      <c r="X26">
        <f>IF(A26=$H$10,SUM('Energy (direct)'!$D$85:$M$86)*'Summary of area'!$E$40*B26,0)</f>
        <v>0</v>
      </c>
      <c r="Y26">
        <f>IF(A26&gt;=$H$10,SUM('Energy (direct)'!$D$87:$M$94)*'Summary of area'!$E$40*Sheet1!B26,0)</f>
        <v>0</v>
      </c>
      <c r="Z26">
        <f>IF(A26=$H$10,SUM('Energy (indirect)'!$D$158:$M$159)*'Summary of area'!$E$41*Sheet1!B26,0)</f>
        <v>0</v>
      </c>
      <c r="AA26">
        <f>IF(A26&gt;=$H$10,SUM('Energy (indirect)'!$D$160:$M$167)*'Summary of area'!$E$41*B26,0)</f>
        <v>0</v>
      </c>
      <c r="AB26">
        <f>IF(A26=$H$10,SUM('Designated biodiversity sites'!$D$123:$M$124)*'Summary of area'!$E$42*Sheet1!B26+'Biodiversity - non-designated'!O90*'Summary of area'!$E$43*Sheet1!B26,0)</f>
        <v>0</v>
      </c>
      <c r="AC26">
        <f>IF(A26&gt;=$H$10,SUM('Designated biodiversity sites'!$D$125:$M$132)*'Summary of area'!$E$42*Sheet1!B26+'Biodiversity - non-designated'!O90*'Summary of area'!$E$43*Sheet1!B26,0)</f>
        <v>0</v>
      </c>
      <c r="AD26">
        <f>IF(A26=$H$10,SUM('Water supply'!$D$144:$M$145)*'Summary of area'!$E$44*Sheet1!B26,0)</f>
        <v>0</v>
      </c>
      <c r="AE26">
        <f>IF(A26&gt;=$H$10,SUM('Water supply'!$D$146:$M$153)*'Summary of area'!$E$44*B26,0)</f>
        <v>0</v>
      </c>
      <c r="AF26">
        <f>IF(A26=$H$10,SUM(Heritage!$D$221:$M$222)*'Summary of area'!$E$46*B26,0)</f>
        <v>0</v>
      </c>
      <c r="AG26">
        <f>IF(A26&gt;=$H$10,SUM(Heritage!$D$223:$M$230)*'Summary of area'!$E$46*Sheet1!B26,0)</f>
        <v>0</v>
      </c>
      <c r="AH26">
        <f>IF(A26=$H$10,SUM('Recreation and tourism'!$D$109:$M$110)*'Summary of area'!$E$45*Sheet1!B26,0)</f>
        <v>0</v>
      </c>
      <c r="AI26">
        <f>IF(A26&gt;=$H$10,SUM('Recreation and tourism'!$D$111:$M$118)*'Summary of area'!$E$45*Sheet1!B26,0)</f>
        <v>0</v>
      </c>
    </row>
    <row r="27" spans="1:35" ht="15.75" thickBot="1">
      <c r="A27" s="134">
        <f t="shared" si="1"/>
        <v>12</v>
      </c>
      <c r="B27" s="108">
        <f t="shared" si="2"/>
        <v>0.6617832982891291</v>
      </c>
      <c r="C27" s="137">
        <f>SUM($B$15:B27)</f>
        <v>10.663334334596335</v>
      </c>
      <c r="D27" s="136"/>
      <c r="G27">
        <f>IF(A27&gt;=$H$10,Carbon!$F$33*'Summary of area'!$E$31*B27,0)</f>
        <v>0</v>
      </c>
      <c r="H27">
        <f>IF(A27=$H$10,SUM('Water levels-Residential'!$D$53:$M$54)*'Summary of area'!$E$32*B27,0)</f>
        <v>0</v>
      </c>
      <c r="I27">
        <f>IF(A27&gt;=$H$10,SUM('Water levels-Residential'!$D$55:$M$62)*'Summary of area'!$E$32*B27,0)</f>
        <v>0</v>
      </c>
      <c r="J27">
        <f>IF(A27=$H$10,SUM('Water levels-Business'!$D$87:$M$88)*'Summary of area'!$E$33*B27,0)</f>
        <v>0</v>
      </c>
      <c r="K27">
        <f>IF(A27&gt;=$H$10,SUM('Water levels-Business'!$D$89:$M$96)*'Summary of area'!$E$33*B27,0)</f>
        <v>0</v>
      </c>
      <c r="L27">
        <f>IF(A27=$H$10,SUM('Water levels-Social Infra'!$D$169:$M$170)*'Summary of area'!$E$34*B27,0)</f>
        <v>0</v>
      </c>
      <c r="M27">
        <f>IF(A27&gt;=$H$10,SUM('Water levels-Social Infra'!$D$171:$M$178)*'Summary of area'!$E$34*B27,0)</f>
        <v>0</v>
      </c>
      <c r="N27">
        <f>IF(A27=$H$10,SUM('Water levels-Emergency'!$D$152:$M$153)*'Summary of area'!$E$35*B27,0)</f>
        <v>0</v>
      </c>
      <c r="O27">
        <f>IF(A27&gt;=$H$10,SUM('Water levels-Emergency'!$D$154:$M$161)*'Summary of area'!$E$35*B27,0)</f>
        <v>0</v>
      </c>
      <c r="P27">
        <f>IF(A27=$H$10,SUM('Water levels-Utilities'!$D$189:$M$190)*'Summary of area'!$E$36*B27,0)</f>
        <v>0</v>
      </c>
      <c r="Q27">
        <f>IF(A27&gt;=$H$10,SUM('Water levels-Utilities'!$D$191:$M$198)*'Summary of area'!$E$36*B27,0)</f>
        <v>0</v>
      </c>
      <c r="R27">
        <f>IF(A27=$H$10,SUM('Water levels-Transport (road)'!$D$160:$M$161)*'Summary of area'!$E$37*B27,0)</f>
        <v>0</v>
      </c>
      <c r="S27">
        <f>IF(A27&gt;=$H$10,SUM('Water levels-Transport (road)'!$D$162:$M$169)*'Summary of area'!$E$37*B27+SUM('Water levels-Transport (road)'!$D$215:$M$222)*'Summary of area'!$E$37*B27,0)</f>
        <v>0</v>
      </c>
      <c r="T27">
        <f>IF(A27=$H$10,SUM('Water levels-Transport (rail)'!$D$137:$M$138)*'Summary of area'!$E$38*Sheet1!B27,0)</f>
        <v>0</v>
      </c>
      <c r="U27">
        <f>IF(A27&gt;=$H$10,SUM('Water levels-Transport (rail)'!$D$139:$M$146)*'Summary of area'!$E$38*B27+SUM('Water levels-Transport (rail)'!$D$165:$M$172)*'Summary of area'!$E$38*B27,0)</f>
        <v>0</v>
      </c>
      <c r="V27">
        <f>IF(A27=$H$10,SUM('Food production'!$D$256:$M$257)*'Summary of area'!$E$39*Sheet1!B27,0)</f>
        <v>0</v>
      </c>
      <c r="W27">
        <f>IF(A27&gt;=$H$10,SUM('Food production'!$D$258:$M$265)*'Summary of area'!$E$39*Sheet1!B27,0)</f>
        <v>0</v>
      </c>
      <c r="X27">
        <f>IF(A27=$H$10,SUM('Energy (direct)'!$D$85:$M$86)*'Summary of area'!$E$40*B27,0)</f>
        <v>0</v>
      </c>
      <c r="Y27">
        <f>IF(A27&gt;=$H$10,SUM('Energy (direct)'!$D$87:$M$94)*'Summary of area'!$E$40*Sheet1!B27,0)</f>
        <v>0</v>
      </c>
      <c r="Z27">
        <f>IF(A27=$H$10,SUM('Energy (indirect)'!$D$158:$M$159)*'Summary of area'!$E$41*Sheet1!B27,0)</f>
        <v>0</v>
      </c>
      <c r="AA27">
        <f>IF(A27&gt;=$H$10,SUM('Energy (indirect)'!$D$160:$M$167)*'Summary of area'!$E$41*B27,0)</f>
        <v>0</v>
      </c>
      <c r="AB27">
        <f>IF(A27=$H$10,SUM('Designated biodiversity sites'!$D$123:$M$124)*'Summary of area'!$E$42*Sheet1!B27+'Biodiversity - non-designated'!O91*'Summary of area'!$E$43*Sheet1!B27,0)</f>
        <v>0</v>
      </c>
      <c r="AC27">
        <f>IF(A27&gt;=$H$10,SUM('Designated biodiversity sites'!$D$125:$M$132)*'Summary of area'!$E$42*Sheet1!B27+'Biodiversity - non-designated'!O91*'Summary of area'!$E$43*Sheet1!B27,0)</f>
        <v>0</v>
      </c>
      <c r="AD27">
        <f>IF(A27=$H$10,SUM('Water supply'!$D$144:$M$145)*'Summary of area'!$E$44*Sheet1!B27,0)</f>
        <v>0</v>
      </c>
      <c r="AE27">
        <f>IF(A27&gt;=$H$10,SUM('Water supply'!$D$146:$M$153)*'Summary of area'!$E$44*B27,0)</f>
        <v>0</v>
      </c>
      <c r="AF27">
        <f>IF(A27=$H$10,SUM(Heritage!$D$221:$M$222)*'Summary of area'!$E$46*B27,0)</f>
        <v>0</v>
      </c>
      <c r="AG27">
        <f>IF(A27&gt;=$H$10,SUM(Heritage!$D$223:$M$230)*'Summary of area'!$E$46*Sheet1!B27,0)</f>
        <v>0</v>
      </c>
      <c r="AH27">
        <f>IF(A27=$H$10,SUM('Recreation and tourism'!$D$109:$M$110)*'Summary of area'!$E$45*Sheet1!B27,0)</f>
        <v>0</v>
      </c>
      <c r="AI27">
        <f>IF(A27&gt;=$H$10,SUM('Recreation and tourism'!$D$111:$M$118)*'Summary of area'!$E$45*Sheet1!B27,0)</f>
        <v>0</v>
      </c>
    </row>
    <row r="28" spans="1:35" ht="15.75" thickBot="1">
      <c r="A28" s="134">
        <f t="shared" si="1"/>
        <v>13</v>
      </c>
      <c r="B28" s="108">
        <f t="shared" si="2"/>
        <v>0.6394041529363567</v>
      </c>
      <c r="C28" s="137">
        <f>SUM($B$15:B28)</f>
        <v>11.302738487532691</v>
      </c>
      <c r="D28" s="136"/>
      <c r="G28">
        <f>IF(A28&gt;=$H$10,Carbon!$F$33*'Summary of area'!$E$31*B28,0)</f>
        <v>0</v>
      </c>
      <c r="H28">
        <f>IF(A28=$H$10,SUM('Water levels-Residential'!$D$53:$M$54)*'Summary of area'!$E$32*B28,0)</f>
        <v>0</v>
      </c>
      <c r="I28">
        <f>IF(A28&gt;=$H$10,SUM('Water levels-Residential'!$D$55:$M$62)*'Summary of area'!$E$32*B28,0)</f>
        <v>0</v>
      </c>
      <c r="J28">
        <f>IF(A28=$H$10,SUM('Water levels-Business'!$D$87:$M$88)*'Summary of area'!$E$33*B28,0)</f>
        <v>0</v>
      </c>
      <c r="K28">
        <f>IF(A28&gt;=$H$10,SUM('Water levels-Business'!$D$89:$M$96)*'Summary of area'!$E$33*B28,0)</f>
        <v>0</v>
      </c>
      <c r="L28">
        <f>IF(A28=$H$10,SUM('Water levels-Social Infra'!$D$169:$M$170)*'Summary of area'!$E$34*B28,0)</f>
        <v>0</v>
      </c>
      <c r="M28">
        <f>IF(A28&gt;=$H$10,SUM('Water levels-Social Infra'!$D$171:$M$178)*'Summary of area'!$E$34*B28,0)</f>
        <v>0</v>
      </c>
      <c r="N28">
        <f>IF(A28=$H$10,SUM('Water levels-Emergency'!$D$152:$M$153)*'Summary of area'!$E$35*B28,0)</f>
        <v>0</v>
      </c>
      <c r="O28">
        <f>IF(A28&gt;=$H$10,SUM('Water levels-Emergency'!$D$154:$M$161)*'Summary of area'!$E$35*B28,0)</f>
        <v>0</v>
      </c>
      <c r="P28">
        <f>IF(A28=$H$10,SUM('Water levels-Utilities'!$D$189:$M$190)*'Summary of area'!$E$36*B28,0)</f>
        <v>0</v>
      </c>
      <c r="Q28">
        <f>IF(A28&gt;=$H$10,SUM('Water levels-Utilities'!$D$191:$M$198)*'Summary of area'!$E$36*B28,0)</f>
        <v>0</v>
      </c>
      <c r="R28">
        <f>IF(A28=$H$10,SUM('Water levels-Transport (road)'!$D$160:$M$161)*'Summary of area'!$E$37*B28,0)</f>
        <v>0</v>
      </c>
      <c r="S28">
        <f>IF(A28&gt;=$H$10,SUM('Water levels-Transport (road)'!$D$162:$M$169)*'Summary of area'!$E$37*B28+SUM('Water levels-Transport (road)'!$D$215:$M$222)*'Summary of area'!$E$37*B28,0)</f>
        <v>0</v>
      </c>
      <c r="T28">
        <f>IF(A28=$H$10,SUM('Water levels-Transport (rail)'!$D$137:$M$138)*'Summary of area'!$E$38*Sheet1!B28,0)</f>
        <v>0</v>
      </c>
      <c r="U28">
        <f>IF(A28&gt;=$H$10,SUM('Water levels-Transport (rail)'!$D$139:$M$146)*'Summary of area'!$E$38*B28+SUM('Water levels-Transport (rail)'!$D$165:$M$172)*'Summary of area'!$E$38*B28,0)</f>
        <v>0</v>
      </c>
      <c r="V28">
        <f>IF(A28=$H$10,SUM('Food production'!$D$256:$M$257)*'Summary of area'!$E$39*Sheet1!B28,0)</f>
        <v>0</v>
      </c>
      <c r="W28">
        <f>IF(A28&gt;=$H$10,SUM('Food production'!$D$258:$M$265)*'Summary of area'!$E$39*Sheet1!B28,0)</f>
        <v>0</v>
      </c>
      <c r="X28">
        <f>IF(A28=$H$10,SUM('Energy (direct)'!$D$85:$M$86)*'Summary of area'!$E$40*B28,0)</f>
        <v>0</v>
      </c>
      <c r="Y28">
        <f>IF(A28&gt;=$H$10,SUM('Energy (direct)'!$D$87:$M$94)*'Summary of area'!$E$40*Sheet1!B28,0)</f>
        <v>0</v>
      </c>
      <c r="Z28">
        <f>IF(A28=$H$10,SUM('Energy (indirect)'!$D$158:$M$159)*'Summary of area'!$E$41*Sheet1!B28,0)</f>
        <v>0</v>
      </c>
      <c r="AA28">
        <f>IF(A28&gt;=$H$10,SUM('Energy (indirect)'!$D$160:$M$167)*'Summary of area'!$E$41*B28,0)</f>
        <v>0</v>
      </c>
      <c r="AB28">
        <f>IF(A28=$H$10,SUM('Designated biodiversity sites'!$D$123:$M$124)*'Summary of area'!$E$42*Sheet1!B28+'Biodiversity - non-designated'!O92*'Summary of area'!$E$43*Sheet1!B28,0)</f>
        <v>0</v>
      </c>
      <c r="AC28">
        <f>IF(A28&gt;=$H$10,SUM('Designated biodiversity sites'!$D$125:$M$132)*'Summary of area'!$E$42*Sheet1!B28+'Biodiversity - non-designated'!O92*'Summary of area'!$E$43*Sheet1!B28,0)</f>
        <v>0</v>
      </c>
      <c r="AD28">
        <f>IF(A28=$H$10,SUM('Water supply'!$D$144:$M$145)*'Summary of area'!$E$44*Sheet1!B28,0)</f>
        <v>0</v>
      </c>
      <c r="AE28">
        <f>IF(A28&gt;=$H$10,SUM('Water supply'!$D$146:$M$153)*'Summary of area'!$E$44*B28,0)</f>
        <v>0</v>
      </c>
      <c r="AF28">
        <f>IF(A28=$H$10,SUM(Heritage!$D$221:$M$222)*'Summary of area'!$E$46*B28,0)</f>
        <v>0</v>
      </c>
      <c r="AG28">
        <f>IF(A28&gt;=$H$10,SUM(Heritage!$D$223:$M$230)*'Summary of area'!$E$46*Sheet1!B28,0)</f>
        <v>0</v>
      </c>
      <c r="AH28">
        <f>IF(A28=$H$10,SUM('Recreation and tourism'!$D$109:$M$110)*'Summary of area'!$E$45*Sheet1!B28,0)</f>
        <v>0</v>
      </c>
      <c r="AI28">
        <f>IF(A28&gt;=$H$10,SUM('Recreation and tourism'!$D$111:$M$118)*'Summary of area'!$E$45*Sheet1!B28,0)</f>
        <v>0</v>
      </c>
    </row>
    <row r="29" spans="1:35" ht="15.75" thickBot="1">
      <c r="A29" s="134">
        <f t="shared" si="1"/>
        <v>14</v>
      </c>
      <c r="B29" s="108">
        <f t="shared" si="2"/>
        <v>0.6177817902766731</v>
      </c>
      <c r="C29" s="137">
        <f>SUM($B$15:B29)</f>
        <v>11.920520277809365</v>
      </c>
      <c r="D29" s="136"/>
      <c r="G29">
        <f>IF(A29&gt;=$H$10,Carbon!$F$33*'Summary of area'!$E$31*B29,0)</f>
        <v>0</v>
      </c>
      <c r="H29">
        <f>IF(A29=$H$10,SUM('Water levels-Residential'!$D$53:$M$54)*'Summary of area'!$E$32*B29,0)</f>
        <v>0</v>
      </c>
      <c r="I29">
        <f>IF(A29&gt;=$H$10,SUM('Water levels-Residential'!$D$55:$M$62)*'Summary of area'!$E$32*B29,0)</f>
        <v>0</v>
      </c>
      <c r="J29">
        <f>IF(A29=$H$10,SUM('Water levels-Business'!$D$87:$M$88)*'Summary of area'!$E$33*B29,0)</f>
        <v>0</v>
      </c>
      <c r="K29">
        <f>IF(A29&gt;=$H$10,SUM('Water levels-Business'!$D$89:$M$96)*'Summary of area'!$E$33*B29,0)</f>
        <v>0</v>
      </c>
      <c r="L29">
        <f>IF(A29=$H$10,SUM('Water levels-Social Infra'!$D$169:$M$170)*'Summary of area'!$E$34*B29,0)</f>
        <v>0</v>
      </c>
      <c r="M29">
        <f>IF(A29&gt;=$H$10,SUM('Water levels-Social Infra'!$D$171:$M$178)*'Summary of area'!$E$34*B29,0)</f>
        <v>0</v>
      </c>
      <c r="N29">
        <f>IF(A29=$H$10,SUM('Water levels-Emergency'!$D$152:$M$153)*'Summary of area'!$E$35*B29,0)</f>
        <v>0</v>
      </c>
      <c r="O29">
        <f>IF(A29&gt;=$H$10,SUM('Water levels-Emergency'!$D$154:$M$161)*'Summary of area'!$E$35*B29,0)</f>
        <v>0</v>
      </c>
      <c r="P29">
        <f>IF(A29=$H$10,SUM('Water levels-Utilities'!$D$189:$M$190)*'Summary of area'!$E$36*B29,0)</f>
        <v>0</v>
      </c>
      <c r="Q29">
        <f>IF(A29&gt;=$H$10,SUM('Water levels-Utilities'!$D$191:$M$198)*'Summary of area'!$E$36*B29,0)</f>
        <v>0</v>
      </c>
      <c r="R29">
        <f>IF(A29=$H$10,SUM('Water levels-Transport (road)'!$D$160:$M$161)*'Summary of area'!$E$37*B29,0)</f>
        <v>0</v>
      </c>
      <c r="S29">
        <f>IF(A29&gt;=$H$10,SUM('Water levels-Transport (road)'!$D$162:$M$169)*'Summary of area'!$E$37*B29+SUM('Water levels-Transport (road)'!$D$215:$M$222)*'Summary of area'!$E$37*B29,0)</f>
        <v>0</v>
      </c>
      <c r="T29">
        <f>IF(A29=$H$10,SUM('Water levels-Transport (rail)'!$D$137:$M$138)*'Summary of area'!$E$38*Sheet1!B29,0)</f>
        <v>0</v>
      </c>
      <c r="U29">
        <f>IF(A29&gt;=$H$10,SUM('Water levels-Transport (rail)'!$D$139:$M$146)*'Summary of area'!$E$38*B29+SUM('Water levels-Transport (rail)'!$D$165:$M$172)*'Summary of area'!$E$38*B29,0)</f>
        <v>0</v>
      </c>
      <c r="V29">
        <f>IF(A29=$H$10,SUM('Food production'!$D$256:$M$257)*'Summary of area'!$E$39*Sheet1!B29,0)</f>
        <v>0</v>
      </c>
      <c r="W29">
        <f>IF(A29&gt;=$H$10,SUM('Food production'!$D$258:$M$265)*'Summary of area'!$E$39*Sheet1!B29,0)</f>
        <v>0</v>
      </c>
      <c r="X29">
        <f>IF(A29=$H$10,SUM('Energy (direct)'!$D$85:$M$86)*'Summary of area'!$E$40*B29,0)</f>
        <v>0</v>
      </c>
      <c r="Y29">
        <f>IF(A29&gt;=$H$10,SUM('Energy (direct)'!$D$87:$M$94)*'Summary of area'!$E$40*Sheet1!B29,0)</f>
        <v>0</v>
      </c>
      <c r="Z29">
        <f>IF(A29=$H$10,SUM('Energy (indirect)'!$D$158:$M$159)*'Summary of area'!$E$41*Sheet1!B29,0)</f>
        <v>0</v>
      </c>
      <c r="AA29">
        <f>IF(A29&gt;=$H$10,SUM('Energy (indirect)'!$D$160:$M$167)*'Summary of area'!$E$41*B29,0)</f>
        <v>0</v>
      </c>
      <c r="AB29">
        <f>IF(A29=$H$10,SUM('Designated biodiversity sites'!$D$123:$M$124)*'Summary of area'!$E$42*Sheet1!B29+'Biodiversity - non-designated'!O93*'Summary of area'!$E$43*Sheet1!B29,0)</f>
        <v>0</v>
      </c>
      <c r="AC29">
        <f>IF(A29&gt;=$H$10,SUM('Designated biodiversity sites'!$D$125:$M$132)*'Summary of area'!$E$42*Sheet1!B29+'Biodiversity - non-designated'!O93*'Summary of area'!$E$43*Sheet1!B29,0)</f>
        <v>0</v>
      </c>
      <c r="AD29">
        <f>IF(A29=$H$10,SUM('Water supply'!$D$144:$M$145)*'Summary of area'!$E$44*Sheet1!B29,0)</f>
        <v>0</v>
      </c>
      <c r="AE29">
        <f>IF(A29&gt;=$H$10,SUM('Water supply'!$D$146:$M$153)*'Summary of area'!$E$44*B29,0)</f>
        <v>0</v>
      </c>
      <c r="AF29">
        <f>IF(A29=$H$10,SUM(Heritage!$D$221:$M$222)*'Summary of area'!$E$46*B29,0)</f>
        <v>0</v>
      </c>
      <c r="AG29">
        <f>IF(A29&gt;=$H$10,SUM(Heritage!$D$223:$M$230)*'Summary of area'!$E$46*Sheet1!B29,0)</f>
        <v>0</v>
      </c>
      <c r="AH29">
        <f>IF(A29=$H$10,SUM('Recreation and tourism'!$D$109:$M$110)*'Summary of area'!$E$45*Sheet1!B29,0)</f>
        <v>0</v>
      </c>
      <c r="AI29">
        <f>IF(A29&gt;=$H$10,SUM('Recreation and tourism'!$D$111:$M$118)*'Summary of area'!$E$45*Sheet1!B29,0)</f>
        <v>0</v>
      </c>
    </row>
    <row r="30" spans="1:35" ht="15.75" thickBot="1">
      <c r="A30" s="134">
        <f t="shared" si="1"/>
        <v>15</v>
      </c>
      <c r="B30" s="108">
        <f t="shared" si="2"/>
        <v>0.596890618624805</v>
      </c>
      <c r="C30" s="137">
        <f>SUM($B$15:B30)</f>
        <v>12.51741089643417</v>
      </c>
      <c r="D30" s="136"/>
      <c r="G30">
        <f>IF(A30&gt;=$H$10,Carbon!$F$33*'Summary of area'!$E$31*B30,0)</f>
        <v>0</v>
      </c>
      <c r="H30">
        <f>IF(A30=$H$10,SUM('Water levels-Residential'!$D$53:$M$54)*'Summary of area'!$E$32*B30,0)</f>
        <v>0</v>
      </c>
      <c r="I30">
        <f>IF(A30&gt;=$H$10,SUM('Water levels-Residential'!$D$55:$M$62)*'Summary of area'!$E$32*B30,0)</f>
        <v>0</v>
      </c>
      <c r="J30">
        <f>IF(A30=$H$10,SUM('Water levels-Business'!$D$87:$M$88)*'Summary of area'!$E$33*B30,0)</f>
        <v>0</v>
      </c>
      <c r="K30">
        <f>IF(A30&gt;=$H$10,SUM('Water levels-Business'!$D$89:$M$96)*'Summary of area'!$E$33*B30,0)</f>
        <v>0</v>
      </c>
      <c r="L30">
        <f>IF(A30=$H$10,SUM('Water levels-Social Infra'!$D$169:$M$170)*'Summary of area'!$E$34*B30,0)</f>
        <v>0</v>
      </c>
      <c r="M30">
        <f>IF(A30&gt;=$H$10,SUM('Water levels-Social Infra'!$D$171:$M$178)*'Summary of area'!$E$34*B30,0)</f>
        <v>0</v>
      </c>
      <c r="N30">
        <f>IF(A30=$H$10,SUM('Water levels-Emergency'!$D$152:$M$153)*'Summary of area'!$E$35*B30,0)</f>
        <v>0</v>
      </c>
      <c r="O30">
        <f>IF(A30&gt;=$H$10,SUM('Water levels-Emergency'!$D$154:$M$161)*'Summary of area'!$E$35*B30,0)</f>
        <v>0</v>
      </c>
      <c r="P30">
        <f>IF(A30=$H$10,SUM('Water levels-Utilities'!$D$189:$M$190)*'Summary of area'!$E$36*B30,0)</f>
        <v>0</v>
      </c>
      <c r="Q30">
        <f>IF(A30&gt;=$H$10,SUM('Water levels-Utilities'!$D$191:$M$198)*'Summary of area'!$E$36*B30,0)</f>
        <v>0</v>
      </c>
      <c r="R30">
        <f>IF(A30=$H$10,SUM('Water levels-Transport (road)'!$D$160:$M$161)*'Summary of area'!$E$37*B30,0)</f>
        <v>0</v>
      </c>
      <c r="S30">
        <f>IF(A30&gt;=$H$10,SUM('Water levels-Transport (road)'!$D$162:$M$169)*'Summary of area'!$E$37*B30+SUM('Water levels-Transport (road)'!$D$215:$M$222)*'Summary of area'!$E$37*B30,0)</f>
        <v>0</v>
      </c>
      <c r="T30">
        <f>IF(A30=$H$10,SUM('Water levels-Transport (rail)'!$D$137:$M$138)*'Summary of area'!$E$38*Sheet1!B30,0)</f>
        <v>0</v>
      </c>
      <c r="U30">
        <f>IF(A30&gt;=$H$10,SUM('Water levels-Transport (rail)'!$D$139:$M$146)*'Summary of area'!$E$38*B30+SUM('Water levels-Transport (rail)'!$D$165:$M$172)*'Summary of area'!$E$38*B30,0)</f>
        <v>0</v>
      </c>
      <c r="V30">
        <f>IF(A30=$H$10,SUM('Food production'!$D$256:$M$257)*'Summary of area'!$E$39*Sheet1!B30,0)</f>
        <v>0</v>
      </c>
      <c r="W30">
        <f>IF(A30&gt;=$H$10,SUM('Food production'!$D$258:$M$265)*'Summary of area'!$E$39*Sheet1!B30,0)</f>
        <v>0</v>
      </c>
      <c r="X30">
        <f>IF(A30=$H$10,SUM('Energy (direct)'!$D$85:$M$86)*'Summary of area'!$E$40*B30,0)</f>
        <v>0</v>
      </c>
      <c r="Y30">
        <f>IF(A30&gt;=$H$10,SUM('Energy (direct)'!$D$87:$M$94)*'Summary of area'!$E$40*Sheet1!B30,0)</f>
        <v>0</v>
      </c>
      <c r="Z30">
        <f>IF(A30=$H$10,SUM('Energy (indirect)'!$D$158:$M$159)*'Summary of area'!$E$41*Sheet1!B30,0)</f>
        <v>0</v>
      </c>
      <c r="AA30">
        <f>IF(A30&gt;=$H$10,SUM('Energy (indirect)'!$D$160:$M$167)*'Summary of area'!$E$41*B30,0)</f>
        <v>0</v>
      </c>
      <c r="AB30">
        <f>IF(A30=$H$10,SUM('Designated biodiversity sites'!$D$123:$M$124)*'Summary of area'!$E$42*Sheet1!B30+'Biodiversity - non-designated'!O94*'Summary of area'!$E$43*Sheet1!B30,0)</f>
        <v>0</v>
      </c>
      <c r="AC30">
        <f>IF(A30&gt;=$H$10,SUM('Designated biodiversity sites'!$D$125:$M$132)*'Summary of area'!$E$42*Sheet1!B30+'Biodiversity - non-designated'!O94*'Summary of area'!$E$43*Sheet1!B30,0)</f>
        <v>0</v>
      </c>
      <c r="AD30">
        <f>IF(A30=$H$10,SUM('Water supply'!$D$144:$M$145)*'Summary of area'!$E$44*Sheet1!B30,0)</f>
        <v>0</v>
      </c>
      <c r="AE30">
        <f>IF(A30&gt;=$H$10,SUM('Water supply'!$D$146:$M$153)*'Summary of area'!$E$44*B30,0)</f>
        <v>0</v>
      </c>
      <c r="AF30">
        <f>IF(A30=$H$10,SUM(Heritage!$D$221:$M$222)*'Summary of area'!$E$46*B30,0)</f>
        <v>0</v>
      </c>
      <c r="AG30">
        <f>IF(A30&gt;=$H$10,SUM(Heritage!$D$223:$M$230)*'Summary of area'!$E$46*Sheet1!B30,0)</f>
        <v>0</v>
      </c>
      <c r="AH30">
        <f>IF(A30=$H$10,SUM('Recreation and tourism'!$D$109:$M$110)*'Summary of area'!$E$45*Sheet1!B30,0)</f>
        <v>0</v>
      </c>
      <c r="AI30">
        <f>IF(A30&gt;=$H$10,SUM('Recreation and tourism'!$D$111:$M$118)*'Summary of area'!$E$45*Sheet1!B30,0)</f>
        <v>0</v>
      </c>
    </row>
    <row r="31" spans="1:35" ht="15.75" thickBot="1">
      <c r="A31" s="134">
        <f t="shared" si="1"/>
        <v>16</v>
      </c>
      <c r="B31" s="108">
        <f t="shared" si="2"/>
        <v>0.5767059117147875</v>
      </c>
      <c r="C31" s="137">
        <f>SUM($B$15:B31)</f>
        <v>13.094116808148957</v>
      </c>
      <c r="D31" s="136"/>
      <c r="G31">
        <f>IF(A31&gt;=$H$10,Carbon!$F$33*'Summary of area'!$E$31*B31,0)</f>
        <v>0</v>
      </c>
      <c r="H31">
        <f>IF(A31=$H$10,SUM('Water levels-Residential'!$D$53:$M$54)*'Summary of area'!$E$32*B31,0)</f>
        <v>0</v>
      </c>
      <c r="I31">
        <f>IF(A31&gt;=$H$10,SUM('Water levels-Residential'!$D$55:$M$62)*'Summary of area'!$E$32*B31,0)</f>
        <v>0</v>
      </c>
      <c r="J31">
        <f>IF(A31=$H$10,SUM('Water levels-Business'!$D$87:$M$88)*'Summary of area'!$E$33*B31,0)</f>
        <v>0</v>
      </c>
      <c r="K31">
        <f>IF(A31&gt;=$H$10,SUM('Water levels-Business'!$D$89:$M$96)*'Summary of area'!$E$33*B31,0)</f>
        <v>0</v>
      </c>
      <c r="L31">
        <f>IF(A31=$H$10,SUM('Water levels-Social Infra'!$D$169:$M$170)*'Summary of area'!$E$34*B31,0)</f>
        <v>0</v>
      </c>
      <c r="M31">
        <f>IF(A31&gt;=$H$10,SUM('Water levels-Social Infra'!$D$171:$M$178)*'Summary of area'!$E$34*B31,0)</f>
        <v>0</v>
      </c>
      <c r="N31">
        <f>IF(A31=$H$10,SUM('Water levels-Emergency'!$D$152:$M$153)*'Summary of area'!$E$35*B31,0)</f>
        <v>0</v>
      </c>
      <c r="O31">
        <f>IF(A31&gt;=$H$10,SUM('Water levels-Emergency'!$D$154:$M$161)*'Summary of area'!$E$35*B31,0)</f>
        <v>0</v>
      </c>
      <c r="P31">
        <f>IF(A31=$H$10,SUM('Water levels-Utilities'!$D$189:$M$190)*'Summary of area'!$E$36*B31,0)</f>
        <v>0</v>
      </c>
      <c r="Q31">
        <f>IF(A31&gt;=$H$10,SUM('Water levels-Utilities'!$D$191:$M$198)*'Summary of area'!$E$36*B31,0)</f>
        <v>0</v>
      </c>
      <c r="R31">
        <f>IF(A31=$H$10,SUM('Water levels-Transport (road)'!$D$160:$M$161)*'Summary of area'!$E$37*B31,0)</f>
        <v>0</v>
      </c>
      <c r="S31">
        <f>IF(A31&gt;=$H$10,SUM('Water levels-Transport (road)'!$D$162:$M$169)*'Summary of area'!$E$37*B31+SUM('Water levels-Transport (road)'!$D$215:$M$222)*'Summary of area'!$E$37*B31,0)</f>
        <v>0</v>
      </c>
      <c r="T31">
        <f>IF(A31=$H$10,SUM('Water levels-Transport (rail)'!$D$137:$M$138)*'Summary of area'!$E$38*Sheet1!B31,0)</f>
        <v>0</v>
      </c>
      <c r="U31">
        <f>IF(A31&gt;=$H$10,SUM('Water levels-Transport (rail)'!$D$139:$M$146)*'Summary of area'!$E$38*B31+SUM('Water levels-Transport (rail)'!$D$165:$M$172)*'Summary of area'!$E$38*B31,0)</f>
        <v>0</v>
      </c>
      <c r="V31">
        <f>IF(A31=$H$10,SUM('Food production'!$D$256:$M$257)*'Summary of area'!$E$39*Sheet1!B31,0)</f>
        <v>0</v>
      </c>
      <c r="W31">
        <f>IF(A31&gt;=$H$10,SUM('Food production'!$D$258:$M$265)*'Summary of area'!$E$39*Sheet1!B31,0)</f>
        <v>0</v>
      </c>
      <c r="X31">
        <f>IF(A31=$H$10,SUM('Energy (direct)'!$D$85:$M$86)*'Summary of area'!$E$40*B31,0)</f>
        <v>0</v>
      </c>
      <c r="Y31">
        <f>IF(A31&gt;=$H$10,SUM('Energy (direct)'!$D$87:$M$94)*'Summary of area'!$E$40*Sheet1!B31,0)</f>
        <v>0</v>
      </c>
      <c r="Z31">
        <f>IF(A31=$H$10,SUM('Energy (indirect)'!$D$158:$M$159)*'Summary of area'!$E$41*Sheet1!B31,0)</f>
        <v>0</v>
      </c>
      <c r="AA31">
        <f>IF(A31&gt;=$H$10,SUM('Energy (indirect)'!$D$160:$M$167)*'Summary of area'!$E$41*B31,0)</f>
        <v>0</v>
      </c>
      <c r="AB31">
        <f>IF(A31=$H$10,SUM('Designated biodiversity sites'!$D$123:$M$124)*'Summary of area'!$E$42*Sheet1!B31+'Biodiversity - non-designated'!O95*'Summary of area'!$E$43*Sheet1!B31,0)</f>
        <v>0</v>
      </c>
      <c r="AC31">
        <f>IF(A31&gt;=$H$10,SUM('Designated biodiversity sites'!$D$125:$M$132)*'Summary of area'!$E$42*Sheet1!B31+'Biodiversity - non-designated'!O95*'Summary of area'!$E$43*Sheet1!B31,0)</f>
        <v>0</v>
      </c>
      <c r="AD31">
        <f>IF(A31=$H$10,SUM('Water supply'!$D$144:$M$145)*'Summary of area'!$E$44*Sheet1!B31,0)</f>
        <v>0</v>
      </c>
      <c r="AE31">
        <f>IF(A31&gt;=$H$10,SUM('Water supply'!$D$146:$M$153)*'Summary of area'!$E$44*B31,0)</f>
        <v>0</v>
      </c>
      <c r="AF31">
        <f>IF(A31=$H$10,SUM(Heritage!$D$221:$M$222)*'Summary of area'!$E$46*B31,0)</f>
        <v>0</v>
      </c>
      <c r="AG31">
        <f>IF(A31&gt;=$H$10,SUM(Heritage!$D$223:$M$230)*'Summary of area'!$E$46*Sheet1!B31,0)</f>
        <v>0</v>
      </c>
      <c r="AH31">
        <f>IF(A31=$H$10,SUM('Recreation and tourism'!$D$109:$M$110)*'Summary of area'!$E$45*Sheet1!B31,0)</f>
        <v>0</v>
      </c>
      <c r="AI31">
        <f>IF(A31&gt;=$H$10,SUM('Recreation and tourism'!$D$111:$M$118)*'Summary of area'!$E$45*Sheet1!B31,0)</f>
        <v>0</v>
      </c>
    </row>
    <row r="32" spans="1:35" ht="15.75" thickBot="1">
      <c r="A32" s="134">
        <f t="shared" si="1"/>
        <v>17</v>
      </c>
      <c r="B32" s="108">
        <f t="shared" si="2"/>
        <v>0.5572037794345773</v>
      </c>
      <c r="C32" s="137">
        <f>SUM($B$15:B32)</f>
        <v>13.651320587583534</v>
      </c>
      <c r="D32" s="136"/>
      <c r="G32">
        <f>IF(A32&gt;=$H$10,Carbon!$F$33*'Summary of area'!$E$31*B32,0)</f>
        <v>0</v>
      </c>
      <c r="H32">
        <f>IF(A32=$H$10,SUM('Water levels-Residential'!$D$53:$M$54)*'Summary of area'!$E$32*B32,0)</f>
        <v>0</v>
      </c>
      <c r="I32">
        <f>IF(A32&gt;=$H$10,SUM('Water levels-Residential'!$D$55:$M$62)*'Summary of area'!$E$32*B32,0)</f>
        <v>0</v>
      </c>
      <c r="J32">
        <f>IF(A32=$H$10,SUM('Water levels-Business'!$D$87:$M$88)*'Summary of area'!$E$33*B32,0)</f>
        <v>0</v>
      </c>
      <c r="K32">
        <f>IF(A32&gt;=$H$10,SUM('Water levels-Business'!$D$89:$M$96)*'Summary of area'!$E$33*B32,0)</f>
        <v>0</v>
      </c>
      <c r="L32">
        <f>IF(A32=$H$10,SUM('Water levels-Social Infra'!$D$169:$M$170)*'Summary of area'!$E$34*B32,0)</f>
        <v>0</v>
      </c>
      <c r="M32">
        <f>IF(A32&gt;=$H$10,SUM('Water levels-Social Infra'!$D$171:$M$178)*'Summary of area'!$E$34*B32,0)</f>
        <v>0</v>
      </c>
      <c r="N32">
        <f>IF(A32=$H$10,SUM('Water levels-Emergency'!$D$152:$M$153)*'Summary of area'!$E$35*B32,0)</f>
        <v>0</v>
      </c>
      <c r="O32">
        <f>IF(A32&gt;=$H$10,SUM('Water levels-Emergency'!$D$154:$M$161)*'Summary of area'!$E$35*B32,0)</f>
        <v>0</v>
      </c>
      <c r="P32">
        <f>IF(A32=$H$10,SUM('Water levels-Utilities'!$D$189:$M$190)*'Summary of area'!$E$36*B32,0)</f>
        <v>0</v>
      </c>
      <c r="Q32">
        <f>IF(A32&gt;=$H$10,SUM('Water levels-Utilities'!$D$191:$M$198)*'Summary of area'!$E$36*B32,0)</f>
        <v>0</v>
      </c>
      <c r="R32">
        <f>IF(A32=$H$10,SUM('Water levels-Transport (road)'!$D$160:$M$161)*'Summary of area'!$E$37*B32,0)</f>
        <v>0</v>
      </c>
      <c r="S32">
        <f>IF(A32&gt;=$H$10,SUM('Water levels-Transport (road)'!$D$162:$M$169)*'Summary of area'!$E$37*B32+SUM('Water levels-Transport (road)'!$D$215:$M$222)*'Summary of area'!$E$37*B32,0)</f>
        <v>0</v>
      </c>
      <c r="T32">
        <f>IF(A32=$H$10,SUM('Water levels-Transport (rail)'!$D$137:$M$138)*'Summary of area'!$E$38*Sheet1!B32,0)</f>
        <v>0</v>
      </c>
      <c r="U32">
        <f>IF(A32&gt;=$H$10,SUM('Water levels-Transport (rail)'!$D$139:$M$146)*'Summary of area'!$E$38*B32+SUM('Water levels-Transport (rail)'!$D$165:$M$172)*'Summary of area'!$E$38*B32,0)</f>
        <v>0</v>
      </c>
      <c r="V32">
        <f>IF(A32=$H$10,SUM('Food production'!$D$256:$M$257)*'Summary of area'!$E$39*Sheet1!B32,0)</f>
        <v>0</v>
      </c>
      <c r="W32">
        <f>IF(A32&gt;=$H$10,SUM('Food production'!$D$258:$M$265)*'Summary of area'!$E$39*Sheet1!B32,0)</f>
        <v>0</v>
      </c>
      <c r="X32">
        <f>IF(A32=$H$10,SUM('Energy (direct)'!$D$85:$M$86)*'Summary of area'!$E$40*B32,0)</f>
        <v>0</v>
      </c>
      <c r="Y32">
        <f>IF(A32&gt;=$H$10,SUM('Energy (direct)'!$D$87:$M$94)*'Summary of area'!$E$40*Sheet1!B32,0)</f>
        <v>0</v>
      </c>
      <c r="Z32">
        <f>IF(A32=$H$10,SUM('Energy (indirect)'!$D$158:$M$159)*'Summary of area'!$E$41*Sheet1!B32,0)</f>
        <v>0</v>
      </c>
      <c r="AA32">
        <f>IF(A32&gt;=$H$10,SUM('Energy (indirect)'!$D$160:$M$167)*'Summary of area'!$E$41*B32,0)</f>
        <v>0</v>
      </c>
      <c r="AB32">
        <f>IF(A32=$H$10,SUM('Designated biodiversity sites'!$D$123:$M$124)*'Summary of area'!$E$42*Sheet1!B32+'Biodiversity - non-designated'!O96*'Summary of area'!$E$43*Sheet1!B32,0)</f>
        <v>0</v>
      </c>
      <c r="AC32">
        <f>IF(A32&gt;=$H$10,SUM('Designated biodiversity sites'!$D$125:$M$132)*'Summary of area'!$E$42*Sheet1!B32+'Biodiversity - non-designated'!O96*'Summary of area'!$E$43*Sheet1!B32,0)</f>
        <v>0</v>
      </c>
      <c r="AD32">
        <f>IF(A32=$H$10,SUM('Water supply'!$D$144:$M$145)*'Summary of area'!$E$44*Sheet1!B32,0)</f>
        <v>0</v>
      </c>
      <c r="AE32">
        <f>IF(A32&gt;=$H$10,SUM('Water supply'!$D$146:$M$153)*'Summary of area'!$E$44*B32,0)</f>
        <v>0</v>
      </c>
      <c r="AF32">
        <f>IF(A32=$H$10,SUM(Heritage!$D$221:$M$222)*'Summary of area'!$E$46*B32,0)</f>
        <v>0</v>
      </c>
      <c r="AG32">
        <f>IF(A32&gt;=$H$10,SUM(Heritage!$D$223:$M$230)*'Summary of area'!$E$46*Sheet1!B32,0)</f>
        <v>0</v>
      </c>
      <c r="AH32">
        <f>IF(A32=$H$10,SUM('Recreation and tourism'!$D$109:$M$110)*'Summary of area'!$E$45*Sheet1!B32,0)</f>
        <v>0</v>
      </c>
      <c r="AI32">
        <f>IF(A32&gt;=$H$10,SUM('Recreation and tourism'!$D$111:$M$118)*'Summary of area'!$E$45*Sheet1!B32,0)</f>
        <v>0</v>
      </c>
    </row>
    <row r="33" spans="1:35" ht="15.75" thickBot="1">
      <c r="A33" s="134">
        <f t="shared" si="1"/>
        <v>18</v>
      </c>
      <c r="B33" s="108">
        <f t="shared" si="2"/>
        <v>0.5383611395503163</v>
      </c>
      <c r="C33" s="137">
        <f>SUM($B$15:B33)</f>
        <v>14.18968172713385</v>
      </c>
      <c r="D33" s="136"/>
      <c r="G33">
        <f>IF(A33&gt;=$H$10,Carbon!$F$33*'Summary of area'!$E$31*B33,0)</f>
        <v>0</v>
      </c>
      <c r="H33">
        <f>IF(A33=$H$10,SUM('Water levels-Residential'!$D$53:$M$54)*'Summary of area'!$E$32*B33,0)</f>
        <v>0</v>
      </c>
      <c r="I33">
        <f>IF(A33&gt;=$H$10,SUM('Water levels-Residential'!$D$55:$M$62)*'Summary of area'!$E$32*B33,0)</f>
        <v>0</v>
      </c>
      <c r="J33">
        <f>IF(A33=$H$10,SUM('Water levels-Business'!$D$87:$M$88)*'Summary of area'!$E$33*B33,0)</f>
        <v>0</v>
      </c>
      <c r="K33">
        <f>IF(A33&gt;=$H$10,SUM('Water levels-Business'!$D$89:$M$96)*'Summary of area'!$E$33*B33,0)</f>
        <v>0</v>
      </c>
      <c r="L33">
        <f>IF(A33=$H$10,SUM('Water levels-Social Infra'!$D$169:$M$170)*'Summary of area'!$E$34*B33,0)</f>
        <v>0</v>
      </c>
      <c r="M33">
        <f>IF(A33&gt;=$H$10,SUM('Water levels-Social Infra'!$D$171:$M$178)*'Summary of area'!$E$34*B33,0)</f>
        <v>0</v>
      </c>
      <c r="N33">
        <f>IF(A33=$H$10,SUM('Water levels-Emergency'!$D$152:$M$153)*'Summary of area'!$E$35*B33,0)</f>
        <v>0</v>
      </c>
      <c r="O33">
        <f>IF(A33&gt;=$H$10,SUM('Water levels-Emergency'!$D$154:$M$161)*'Summary of area'!$E$35*B33,0)</f>
        <v>0</v>
      </c>
      <c r="P33">
        <f>IF(A33=$H$10,SUM('Water levels-Utilities'!$D$189:$M$190)*'Summary of area'!$E$36*B33,0)</f>
        <v>0</v>
      </c>
      <c r="Q33">
        <f>IF(A33&gt;=$H$10,SUM('Water levels-Utilities'!$D$191:$M$198)*'Summary of area'!$E$36*B33,0)</f>
        <v>0</v>
      </c>
      <c r="R33">
        <f>IF(A33=$H$10,SUM('Water levels-Transport (road)'!$D$160:$M$161)*'Summary of area'!$E$37*B33,0)</f>
        <v>0</v>
      </c>
      <c r="S33">
        <f>IF(A33&gt;=$H$10,SUM('Water levels-Transport (road)'!$D$162:$M$169)*'Summary of area'!$E$37*B33+SUM('Water levels-Transport (road)'!$D$215:$M$222)*'Summary of area'!$E$37*B33,0)</f>
        <v>0</v>
      </c>
      <c r="T33">
        <f>IF(A33=$H$10,SUM('Water levels-Transport (rail)'!$D$137:$M$138)*'Summary of area'!$E$38*Sheet1!B33,0)</f>
        <v>0</v>
      </c>
      <c r="U33">
        <f>IF(A33&gt;=$H$10,SUM('Water levels-Transport (rail)'!$D$139:$M$146)*'Summary of area'!$E$38*B33+SUM('Water levels-Transport (rail)'!$D$165:$M$172)*'Summary of area'!$E$38*B33,0)</f>
        <v>0</v>
      </c>
      <c r="V33">
        <f>IF(A33=$H$10,SUM('Food production'!$D$256:$M$257)*'Summary of area'!$E$39*Sheet1!B33,0)</f>
        <v>0</v>
      </c>
      <c r="W33">
        <f>IF(A33&gt;=$H$10,SUM('Food production'!$D$258:$M$265)*'Summary of area'!$E$39*Sheet1!B33,0)</f>
        <v>0</v>
      </c>
      <c r="X33">
        <f>IF(A33=$H$10,SUM('Energy (direct)'!$D$85:$M$86)*'Summary of area'!$E$40*B33,0)</f>
        <v>0</v>
      </c>
      <c r="Y33">
        <f>IF(A33&gt;=$H$10,SUM('Energy (direct)'!$D$87:$M$94)*'Summary of area'!$E$40*Sheet1!B33,0)</f>
        <v>0</v>
      </c>
      <c r="Z33">
        <f>IF(A33=$H$10,SUM('Energy (indirect)'!$D$158:$M$159)*'Summary of area'!$E$41*Sheet1!B33,0)</f>
        <v>0</v>
      </c>
      <c r="AA33">
        <f>IF(A33&gt;=$H$10,SUM('Energy (indirect)'!$D$160:$M$167)*'Summary of area'!$E$41*B33,0)</f>
        <v>0</v>
      </c>
      <c r="AB33">
        <f>IF(A33=$H$10,SUM('Designated biodiversity sites'!$D$123:$M$124)*'Summary of area'!$E$42*Sheet1!B33+'Biodiversity - non-designated'!O97*'Summary of area'!$E$43*Sheet1!B33,0)</f>
        <v>0</v>
      </c>
      <c r="AC33">
        <f>IF(A33&gt;=$H$10,SUM('Designated biodiversity sites'!$D$125:$M$132)*'Summary of area'!$E$42*Sheet1!B33+'Biodiversity - non-designated'!O97*'Summary of area'!$E$43*Sheet1!B33,0)</f>
        <v>0</v>
      </c>
      <c r="AD33">
        <f>IF(A33=$H$10,SUM('Water supply'!$D$144:$M$145)*'Summary of area'!$E$44*Sheet1!B33,0)</f>
        <v>0</v>
      </c>
      <c r="AE33">
        <f>IF(A33&gt;=$H$10,SUM('Water supply'!$D$146:$M$153)*'Summary of area'!$E$44*B33,0)</f>
        <v>0</v>
      </c>
      <c r="AF33">
        <f>IF(A33=$H$10,SUM(Heritage!$D$221:$M$222)*'Summary of area'!$E$46*B33,0)</f>
        <v>0</v>
      </c>
      <c r="AG33">
        <f>IF(A33&gt;=$H$10,SUM(Heritage!$D$223:$M$230)*'Summary of area'!$E$46*Sheet1!B33,0)</f>
        <v>0</v>
      </c>
      <c r="AH33">
        <f>IF(A33=$H$10,SUM('Recreation and tourism'!$D$109:$M$110)*'Summary of area'!$E$45*Sheet1!B33,0)</f>
        <v>0</v>
      </c>
      <c r="AI33">
        <f>IF(A33&gt;=$H$10,SUM('Recreation and tourism'!$D$111:$M$118)*'Summary of area'!$E$45*Sheet1!B33,0)</f>
        <v>0</v>
      </c>
    </row>
    <row r="34" spans="1:35" ht="15.75" thickBot="1">
      <c r="A34" s="134">
        <f t="shared" si="1"/>
        <v>19</v>
      </c>
      <c r="B34" s="108">
        <f t="shared" si="2"/>
        <v>0.520155690386779</v>
      </c>
      <c r="C34" s="137">
        <f>SUM($B$15:B34)</f>
        <v>14.70983741752063</v>
      </c>
      <c r="D34" s="136"/>
      <c r="G34">
        <f>IF(A34&gt;=$H$10,Carbon!$F$33*'Summary of area'!$E$31*B34,0)</f>
        <v>0</v>
      </c>
      <c r="H34">
        <f>IF(A34=$H$10,SUM('Water levels-Residential'!$D$53:$M$54)*'Summary of area'!$E$32*B34,0)</f>
        <v>0</v>
      </c>
      <c r="I34">
        <f>IF(A34&gt;=$H$10,SUM('Water levels-Residential'!$D$55:$M$62)*'Summary of area'!$E$32*B34,0)</f>
        <v>0</v>
      </c>
      <c r="J34">
        <f>IF(A34=$H$10,SUM('Water levels-Business'!$D$87:$M$88)*'Summary of area'!$E$33*B34,0)</f>
        <v>0</v>
      </c>
      <c r="K34">
        <f>IF(A34&gt;=$H$10,SUM('Water levels-Business'!$D$89:$M$96)*'Summary of area'!$E$33*B34,0)</f>
        <v>0</v>
      </c>
      <c r="L34">
        <f>IF(A34=$H$10,SUM('Water levels-Social Infra'!$D$169:$M$170)*'Summary of area'!$E$34*B34,0)</f>
        <v>0</v>
      </c>
      <c r="M34">
        <f>IF(A34&gt;=$H$10,SUM('Water levels-Social Infra'!$D$171:$M$178)*'Summary of area'!$E$34*B34,0)</f>
        <v>0</v>
      </c>
      <c r="N34">
        <f>IF(A34=$H$10,SUM('Water levels-Emergency'!$D$152:$M$153)*'Summary of area'!$E$35*B34,0)</f>
        <v>0</v>
      </c>
      <c r="O34">
        <f>IF(A34&gt;=$H$10,SUM('Water levels-Emergency'!$D$154:$M$161)*'Summary of area'!$E$35*B34,0)</f>
        <v>0</v>
      </c>
      <c r="P34">
        <f>IF(A34=$H$10,SUM('Water levels-Utilities'!$D$189:$M$190)*'Summary of area'!$E$36*B34,0)</f>
        <v>0</v>
      </c>
      <c r="Q34">
        <f>IF(A34&gt;=$H$10,SUM('Water levels-Utilities'!$D$191:$M$198)*'Summary of area'!$E$36*B34,0)</f>
        <v>0</v>
      </c>
      <c r="R34">
        <f>IF(A34=$H$10,SUM('Water levels-Transport (road)'!$D$160:$M$161)*'Summary of area'!$E$37*B34,0)</f>
        <v>0</v>
      </c>
      <c r="S34">
        <f>IF(A34&gt;=$H$10,SUM('Water levels-Transport (road)'!$D$162:$M$169)*'Summary of area'!$E$37*B34+SUM('Water levels-Transport (road)'!$D$215:$M$222)*'Summary of area'!$E$37*B34,0)</f>
        <v>0</v>
      </c>
      <c r="T34">
        <f>IF(A34=$H$10,SUM('Water levels-Transport (rail)'!$D$137:$M$138)*'Summary of area'!$E$38*Sheet1!B34,0)</f>
        <v>0</v>
      </c>
      <c r="U34">
        <f>IF(A34&gt;=$H$10,SUM('Water levels-Transport (rail)'!$D$139:$M$146)*'Summary of area'!$E$38*B34+SUM('Water levels-Transport (rail)'!$D$165:$M$172)*'Summary of area'!$E$38*B34,0)</f>
        <v>0</v>
      </c>
      <c r="V34">
        <f>IF(A34=$H$10,SUM('Food production'!$D$256:$M$257)*'Summary of area'!$E$39*Sheet1!B34,0)</f>
        <v>0</v>
      </c>
      <c r="W34">
        <f>IF(A34&gt;=$H$10,SUM('Food production'!$D$258:$M$265)*'Summary of area'!$E$39*Sheet1!B34,0)</f>
        <v>0</v>
      </c>
      <c r="X34">
        <f>IF(A34=$H$10,SUM('Energy (direct)'!$D$85:$M$86)*'Summary of area'!$E$40*B34,0)</f>
        <v>0</v>
      </c>
      <c r="Y34">
        <f>IF(A34&gt;=$H$10,SUM('Energy (direct)'!$D$87:$M$94)*'Summary of area'!$E$40*Sheet1!B34,0)</f>
        <v>0</v>
      </c>
      <c r="Z34">
        <f>IF(A34=$H$10,SUM('Energy (indirect)'!$D$158:$M$159)*'Summary of area'!$E$41*Sheet1!B34,0)</f>
        <v>0</v>
      </c>
      <c r="AA34">
        <f>IF(A34&gt;=$H$10,SUM('Energy (indirect)'!$D$160:$M$167)*'Summary of area'!$E$41*B34,0)</f>
        <v>0</v>
      </c>
      <c r="AB34">
        <f>IF(A34=$H$10,SUM('Designated biodiversity sites'!$D$123:$M$124)*'Summary of area'!$E$42*Sheet1!B34+'Biodiversity - non-designated'!O98*'Summary of area'!$E$43*Sheet1!B34,0)</f>
        <v>0</v>
      </c>
      <c r="AC34">
        <f>IF(A34&gt;=$H$10,SUM('Designated biodiversity sites'!$D$125:$M$132)*'Summary of area'!$E$42*Sheet1!B34+'Biodiversity - non-designated'!O98*'Summary of area'!$E$43*Sheet1!B34,0)</f>
        <v>0</v>
      </c>
      <c r="AD34">
        <f>IF(A34=$H$10,SUM('Water supply'!$D$144:$M$145)*'Summary of area'!$E$44*Sheet1!B34,0)</f>
        <v>0</v>
      </c>
      <c r="AE34">
        <f>IF(A34&gt;=$H$10,SUM('Water supply'!$D$146:$M$153)*'Summary of area'!$E$44*B34,0)</f>
        <v>0</v>
      </c>
      <c r="AF34">
        <f>IF(A34=$H$10,SUM(Heritage!$D$221:$M$222)*'Summary of area'!$E$46*B34,0)</f>
        <v>0</v>
      </c>
      <c r="AG34">
        <f>IF(A34&gt;=$H$10,SUM(Heritage!$D$223:$M$230)*'Summary of area'!$E$46*Sheet1!B34,0)</f>
        <v>0</v>
      </c>
      <c r="AH34">
        <f>IF(A34=$H$10,SUM('Recreation and tourism'!$D$109:$M$110)*'Summary of area'!$E$45*Sheet1!B34,0)</f>
        <v>0</v>
      </c>
      <c r="AI34">
        <f>IF(A34&gt;=$H$10,SUM('Recreation and tourism'!$D$111:$M$118)*'Summary of area'!$E$45*Sheet1!B34,0)</f>
        <v>0</v>
      </c>
    </row>
    <row r="35" spans="1:35" ht="15.75" thickBot="1">
      <c r="A35" s="134">
        <f t="shared" si="1"/>
        <v>20</v>
      </c>
      <c r="B35" s="108">
        <f t="shared" si="2"/>
        <v>0.5025658844316706</v>
      </c>
      <c r="C35" s="137">
        <f>SUM($B$15:B35)</f>
        <v>15.2124033019523</v>
      </c>
      <c r="D35" s="136"/>
      <c r="G35">
        <f>IF(A35&gt;=$H$10,Carbon!$F$33*'Summary of area'!$E$31*B35,0)</f>
        <v>0</v>
      </c>
      <c r="H35">
        <f>IF(A35=$H$10,SUM('Water levels-Residential'!$D$53:$M$54)*'Summary of area'!$E$32*B35,0)</f>
        <v>0</v>
      </c>
      <c r="I35">
        <f>IF(A35&gt;=$H$10,SUM('Water levels-Residential'!$D$55:$M$62)*'Summary of area'!$E$32*B35,0)</f>
        <v>0</v>
      </c>
      <c r="J35">
        <f>IF(A35=$H$10,SUM('Water levels-Business'!$D$87:$M$88)*'Summary of area'!$E$33*B35,0)</f>
        <v>0</v>
      </c>
      <c r="K35">
        <f>IF(A35&gt;=$H$10,SUM('Water levels-Business'!$D$89:$M$96)*'Summary of area'!$E$33*B35,0)</f>
        <v>0</v>
      </c>
      <c r="L35">
        <f>IF(A35=$H$10,SUM('Water levels-Social Infra'!$D$169:$M$170)*'Summary of area'!$E$34*B35,0)</f>
        <v>0</v>
      </c>
      <c r="M35">
        <f>IF(A35&gt;=$H$10,SUM('Water levels-Social Infra'!$D$171:$M$178)*'Summary of area'!$E$34*B35,0)</f>
        <v>0</v>
      </c>
      <c r="N35">
        <f>IF(A35=$H$10,SUM('Water levels-Emergency'!$D$152:$M$153)*'Summary of area'!$E$35*B35,0)</f>
        <v>0</v>
      </c>
      <c r="O35">
        <f>IF(A35&gt;=$H$10,SUM('Water levels-Emergency'!$D$154:$M$161)*'Summary of area'!$E$35*B35,0)</f>
        <v>0</v>
      </c>
      <c r="P35">
        <f>IF(A35=$H$10,SUM('Water levels-Utilities'!$D$189:$M$190)*'Summary of area'!$E$36*B35,0)</f>
        <v>0</v>
      </c>
      <c r="Q35">
        <f>IF(A35&gt;=$H$10,SUM('Water levels-Utilities'!$D$191:$M$198)*'Summary of area'!$E$36*B35,0)</f>
        <v>0</v>
      </c>
      <c r="R35">
        <f>IF(A35=$H$10,SUM('Water levels-Transport (road)'!$D$160:$M$161)*'Summary of area'!$E$37*B35,0)</f>
        <v>0</v>
      </c>
      <c r="S35">
        <f>IF(A35&gt;=$H$10,SUM('Water levels-Transport (road)'!$D$162:$M$169)*'Summary of area'!$E$37*B35+SUM('Water levels-Transport (road)'!$D$215:$M$222)*'Summary of area'!$E$37*B35,0)</f>
        <v>0</v>
      </c>
      <c r="T35">
        <f>IF(A35=$H$10,SUM('Water levels-Transport (rail)'!$D$137:$M$138)*'Summary of area'!$E$38*Sheet1!B35,0)</f>
        <v>0</v>
      </c>
      <c r="U35">
        <f>IF(A35&gt;=$H$10,SUM('Water levels-Transport (rail)'!$D$139:$M$146)*'Summary of area'!$E$38*B35+SUM('Water levels-Transport (rail)'!$D$165:$M$172)*'Summary of area'!$E$38*B35,0)</f>
        <v>0</v>
      </c>
      <c r="V35">
        <f>IF(A35=$H$10,SUM('Food production'!$D$256:$M$257)*'Summary of area'!$E$39*Sheet1!B35,0)</f>
        <v>0</v>
      </c>
      <c r="W35">
        <f>IF(A35&gt;=$H$10,SUM('Food production'!$D$258:$M$265)*'Summary of area'!$E$39*Sheet1!B35,0)</f>
        <v>0</v>
      </c>
      <c r="X35">
        <f>IF(A35=$H$10,SUM('Energy (direct)'!$D$85:$M$86)*'Summary of area'!$E$40*B35,0)</f>
        <v>0</v>
      </c>
      <c r="Y35">
        <f>IF(A35&gt;=$H$10,SUM('Energy (direct)'!$D$87:$M$94)*'Summary of area'!$E$40*Sheet1!B35,0)</f>
        <v>0</v>
      </c>
      <c r="Z35">
        <f>IF(A35=$H$10,SUM('Energy (indirect)'!$D$158:$M$159)*'Summary of area'!$E$41*Sheet1!B35,0)</f>
        <v>0</v>
      </c>
      <c r="AA35">
        <f>IF(A35&gt;=$H$10,SUM('Energy (indirect)'!$D$160:$M$167)*'Summary of area'!$E$41*B35,0)</f>
        <v>0</v>
      </c>
      <c r="AB35">
        <f>IF(A35=$H$10,SUM('Designated biodiversity sites'!$D$123:$M$124)*'Summary of area'!$E$42*Sheet1!B35+'Biodiversity - non-designated'!O99*'Summary of area'!$E$43*Sheet1!B35,0)</f>
        <v>0</v>
      </c>
      <c r="AC35">
        <f>IF(A35&gt;=$H$10,SUM('Designated biodiversity sites'!$D$125:$M$132)*'Summary of area'!$E$42*Sheet1!B35+'Biodiversity - non-designated'!O99*'Summary of area'!$E$43*Sheet1!B35,0)</f>
        <v>0</v>
      </c>
      <c r="AD35">
        <f>IF(A35=$H$10,SUM('Water supply'!$D$144:$M$145)*'Summary of area'!$E$44*Sheet1!B35,0)</f>
        <v>0</v>
      </c>
      <c r="AE35">
        <f>IF(A35&gt;=$H$10,SUM('Water supply'!$D$146:$M$153)*'Summary of area'!$E$44*B35,0)</f>
        <v>0</v>
      </c>
      <c r="AF35">
        <f>IF(A35=$H$10,SUM(Heritage!$D$221:$M$222)*'Summary of area'!$E$46*B35,0)</f>
        <v>0</v>
      </c>
      <c r="AG35">
        <f>IF(A35&gt;=$H$10,SUM(Heritage!$D$223:$M$230)*'Summary of area'!$E$46*Sheet1!B35,0)</f>
        <v>0</v>
      </c>
      <c r="AH35">
        <f>IF(A35=$H$10,SUM('Recreation and tourism'!$D$109:$M$110)*'Summary of area'!$E$45*Sheet1!B35,0)</f>
        <v>0</v>
      </c>
      <c r="AI35">
        <f>IF(A35&gt;=$H$10,SUM('Recreation and tourism'!$D$111:$M$118)*'Summary of area'!$E$45*Sheet1!B35,0)</f>
        <v>0</v>
      </c>
    </row>
    <row r="36" spans="1:35" ht="15.75" thickBot="1">
      <c r="A36" s="134">
        <f t="shared" si="1"/>
        <v>21</v>
      </c>
      <c r="B36" s="108">
        <f t="shared" si="2"/>
        <v>0.485570902832532</v>
      </c>
      <c r="C36" s="137">
        <f>SUM($B$15:B36)</f>
        <v>15.697974204784831</v>
      </c>
      <c r="D36" s="136"/>
      <c r="G36">
        <f>IF(A36&gt;=$H$10,Carbon!$F$33*'Summary of area'!$E$31*B36,0)</f>
        <v>0</v>
      </c>
      <c r="H36">
        <f>IF(A36=$H$10,SUM('Water levels-Residential'!$D$53:$M$54)*'Summary of area'!$E$32*B36,0)</f>
        <v>0</v>
      </c>
      <c r="I36">
        <f>IF(A36&gt;=$H$10,SUM('Water levels-Residential'!$D$55:$M$62)*'Summary of area'!$E$32*B36,0)</f>
        <v>0</v>
      </c>
      <c r="J36">
        <f>IF(A36=$H$10,SUM('Water levels-Business'!$D$87:$M$88)*'Summary of area'!$E$33*B36,0)</f>
        <v>0</v>
      </c>
      <c r="K36">
        <f>IF(A36&gt;=$H$10,SUM('Water levels-Business'!$D$89:$M$96)*'Summary of area'!$E$33*B36,0)</f>
        <v>0</v>
      </c>
      <c r="L36">
        <f>IF(A36=$H$10,SUM('Water levels-Social Infra'!$D$169:$M$170)*'Summary of area'!$E$34*B36,0)</f>
        <v>0</v>
      </c>
      <c r="M36">
        <f>IF(A36&gt;=$H$10,SUM('Water levels-Social Infra'!$D$171:$M$178)*'Summary of area'!$E$34*B36,0)</f>
        <v>0</v>
      </c>
      <c r="N36">
        <f>IF(A36=$H$10,SUM('Water levels-Emergency'!$D$152:$M$153)*'Summary of area'!$E$35*B36,0)</f>
        <v>0</v>
      </c>
      <c r="O36">
        <f>IF(A36&gt;=$H$10,SUM('Water levels-Emergency'!$D$154:$M$161)*'Summary of area'!$E$35*B36,0)</f>
        <v>0</v>
      </c>
      <c r="P36">
        <f>IF(A36=$H$10,SUM('Water levels-Utilities'!$D$189:$M$190)*'Summary of area'!$E$36*B36,0)</f>
        <v>0</v>
      </c>
      <c r="Q36">
        <f>IF(A36&gt;=$H$10,SUM('Water levels-Utilities'!$D$191:$M$198)*'Summary of area'!$E$36*B36,0)</f>
        <v>0</v>
      </c>
      <c r="R36">
        <f>IF(A36=$H$10,SUM('Water levels-Transport (road)'!$D$160:$M$161)*'Summary of area'!$E$37*B36,0)</f>
        <v>0</v>
      </c>
      <c r="S36">
        <f>IF(A36&gt;=$H$10,SUM('Water levels-Transport (road)'!$D$162:$M$169)*'Summary of area'!$E$37*B36+SUM('Water levels-Transport (road)'!$D$215:$M$222)*'Summary of area'!$E$37*B36,0)</f>
        <v>0</v>
      </c>
      <c r="T36">
        <f>IF(A36=$H$10,SUM('Water levels-Transport (rail)'!$D$137:$M$138)*'Summary of area'!$E$38*Sheet1!B36,0)</f>
        <v>0</v>
      </c>
      <c r="U36">
        <f>IF(A36&gt;=$H$10,SUM('Water levels-Transport (rail)'!$D$139:$M$146)*'Summary of area'!$E$38*B36+SUM('Water levels-Transport (rail)'!$D$165:$M$172)*'Summary of area'!$E$38*B36,0)</f>
        <v>0</v>
      </c>
      <c r="V36">
        <f>IF(A36=$H$10,SUM('Food production'!$D$256:$M$257)*'Summary of area'!$E$39*Sheet1!B36,0)</f>
        <v>0</v>
      </c>
      <c r="W36">
        <f>IF(A36&gt;=$H$10,SUM('Food production'!$D$258:$M$265)*'Summary of area'!$E$39*Sheet1!B36,0)</f>
        <v>0</v>
      </c>
      <c r="X36">
        <f>IF(A36=$H$10,SUM('Energy (direct)'!$D$85:$M$86)*'Summary of area'!$E$40*B36,0)</f>
        <v>0</v>
      </c>
      <c r="Y36">
        <f>IF(A36&gt;=$H$10,SUM('Energy (direct)'!$D$87:$M$94)*'Summary of area'!$E$40*Sheet1!B36,0)</f>
        <v>0</v>
      </c>
      <c r="Z36">
        <f>IF(A36=$H$10,SUM('Energy (indirect)'!$D$158:$M$159)*'Summary of area'!$E$41*Sheet1!B36,0)</f>
        <v>0</v>
      </c>
      <c r="AA36">
        <f>IF(A36&gt;=$H$10,SUM('Energy (indirect)'!$D$160:$M$167)*'Summary of area'!$E$41*B36,0)</f>
        <v>0</v>
      </c>
      <c r="AB36">
        <f>IF(A36=$H$10,SUM('Designated biodiversity sites'!$D$123:$M$124)*'Summary of area'!$E$42*Sheet1!B36+'Biodiversity - non-designated'!O100*'Summary of area'!$E$43*Sheet1!B36,0)</f>
        <v>0</v>
      </c>
      <c r="AC36">
        <f>IF(A36&gt;=$H$10,SUM('Designated biodiversity sites'!$D$125:$M$132)*'Summary of area'!$E$42*Sheet1!B36+'Biodiversity - non-designated'!O100*'Summary of area'!$E$43*Sheet1!B36,0)</f>
        <v>0</v>
      </c>
      <c r="AD36">
        <f>IF(A36=$H$10,SUM('Water supply'!$D$144:$M$145)*'Summary of area'!$E$44*Sheet1!B36,0)</f>
        <v>0</v>
      </c>
      <c r="AE36">
        <f>IF(A36&gt;=$H$10,SUM('Water supply'!$D$146:$M$153)*'Summary of area'!$E$44*B36,0)</f>
        <v>0</v>
      </c>
      <c r="AF36">
        <f>IF(A36=$H$10,SUM(Heritage!$D$221:$M$222)*'Summary of area'!$E$46*B36,0)</f>
        <v>0</v>
      </c>
      <c r="AG36">
        <f>IF(A36&gt;=$H$10,SUM(Heritage!$D$223:$M$230)*'Summary of area'!$E$46*Sheet1!B36,0)</f>
        <v>0</v>
      </c>
      <c r="AH36">
        <f>IF(A36=$H$10,SUM('Recreation and tourism'!$D$109:$M$110)*'Summary of area'!$E$45*Sheet1!B36,0)</f>
        <v>0</v>
      </c>
      <c r="AI36">
        <f>IF(A36&gt;=$H$10,SUM('Recreation and tourism'!$D$111:$M$118)*'Summary of area'!$E$45*Sheet1!B36,0)</f>
        <v>0</v>
      </c>
    </row>
    <row r="37" spans="1:35" ht="15.75" thickBot="1">
      <c r="A37" s="134">
        <f t="shared" si="1"/>
        <v>22</v>
      </c>
      <c r="B37" s="108">
        <f t="shared" si="2"/>
        <v>0.4691506307560696</v>
      </c>
      <c r="C37" s="137">
        <f>SUM($B$15:B37)</f>
        <v>16.1671248355409</v>
      </c>
      <c r="D37" s="136"/>
      <c r="G37">
        <f>IF(A37&gt;=$H$10,Carbon!$F$33*'Summary of area'!$E$31*B37,0)</f>
        <v>0</v>
      </c>
      <c r="H37">
        <f>IF(A37=$H$10,SUM('Water levels-Residential'!$D$53:$M$54)*'Summary of area'!$E$32*B37,0)</f>
        <v>0</v>
      </c>
      <c r="I37">
        <f>IF(A37&gt;=$H$10,SUM('Water levels-Residential'!$D$55:$M$62)*'Summary of area'!$E$32*B37,0)</f>
        <v>0</v>
      </c>
      <c r="J37">
        <f>IF(A37=$H$10,SUM('Water levels-Business'!$D$87:$M$88)*'Summary of area'!$E$33*B37,0)</f>
        <v>0</v>
      </c>
      <c r="K37">
        <f>IF(A37&gt;=$H$10,SUM('Water levels-Business'!$D$89:$M$96)*'Summary of area'!$E$33*B37,0)</f>
        <v>0</v>
      </c>
      <c r="L37">
        <f>IF(A37=$H$10,SUM('Water levels-Social Infra'!$D$169:$M$170)*'Summary of area'!$E$34*B37,0)</f>
        <v>0</v>
      </c>
      <c r="M37">
        <f>IF(A37&gt;=$H$10,SUM('Water levels-Social Infra'!$D$171:$M$178)*'Summary of area'!$E$34*B37,0)</f>
        <v>0</v>
      </c>
      <c r="N37">
        <f>IF(A37=$H$10,SUM('Water levels-Emergency'!$D$152:$M$153)*'Summary of area'!$E$35*B37,0)</f>
        <v>0</v>
      </c>
      <c r="O37">
        <f>IF(A37&gt;=$H$10,SUM('Water levels-Emergency'!$D$154:$M$161)*'Summary of area'!$E$35*B37,0)</f>
        <v>0</v>
      </c>
      <c r="P37">
        <f>IF(A37=$H$10,SUM('Water levels-Utilities'!$D$189:$M$190)*'Summary of area'!$E$36*B37,0)</f>
        <v>0</v>
      </c>
      <c r="Q37">
        <f>IF(A37&gt;=$H$10,SUM('Water levels-Utilities'!$D$191:$M$198)*'Summary of area'!$E$36*B37,0)</f>
        <v>0</v>
      </c>
      <c r="R37">
        <f>IF(A37=$H$10,SUM('Water levels-Transport (road)'!$D$160:$M$161)*'Summary of area'!$E$37*B37,0)</f>
        <v>0</v>
      </c>
      <c r="S37">
        <f>IF(A37&gt;=$H$10,SUM('Water levels-Transport (road)'!$D$162:$M$169)*'Summary of area'!$E$37*B37+SUM('Water levels-Transport (road)'!$D$215:$M$222)*'Summary of area'!$E$37*B37,0)</f>
        <v>0</v>
      </c>
      <c r="T37">
        <f>IF(A37=$H$10,SUM('Water levels-Transport (rail)'!$D$137:$M$138)*'Summary of area'!$E$38*Sheet1!B37,0)</f>
        <v>0</v>
      </c>
      <c r="U37">
        <f>IF(A37&gt;=$H$10,SUM('Water levels-Transport (rail)'!$D$139:$M$146)*'Summary of area'!$E$38*B37+SUM('Water levels-Transport (rail)'!$D$165:$M$172)*'Summary of area'!$E$38*B37,0)</f>
        <v>0</v>
      </c>
      <c r="V37">
        <f>IF(A37=$H$10,SUM('Food production'!$D$256:$M$257)*'Summary of area'!$E$39*Sheet1!B37,0)</f>
        <v>0</v>
      </c>
      <c r="W37">
        <f>IF(A37&gt;=$H$10,SUM('Food production'!$D$258:$M$265)*'Summary of area'!$E$39*Sheet1!B37,0)</f>
        <v>0</v>
      </c>
      <c r="X37">
        <f>IF(A37=$H$10,SUM('Energy (direct)'!$D$85:$M$86)*'Summary of area'!$E$40*B37,0)</f>
        <v>0</v>
      </c>
      <c r="Y37">
        <f>IF(A37&gt;=$H$10,SUM('Energy (direct)'!$D$87:$M$94)*'Summary of area'!$E$40*Sheet1!B37,0)</f>
        <v>0</v>
      </c>
      <c r="Z37">
        <f>IF(A37=$H$10,SUM('Energy (indirect)'!$D$158:$M$159)*'Summary of area'!$E$41*Sheet1!B37,0)</f>
        <v>0</v>
      </c>
      <c r="AA37">
        <f>IF(A37&gt;=$H$10,SUM('Energy (indirect)'!$D$160:$M$167)*'Summary of area'!$E$41*B37,0)</f>
        <v>0</v>
      </c>
      <c r="AB37">
        <f>IF(A37=$H$10,SUM('Designated biodiversity sites'!$D$123:$M$124)*'Summary of area'!$E$42*Sheet1!B37+'Biodiversity - non-designated'!O101*'Summary of area'!$E$43*Sheet1!B37,0)</f>
        <v>0</v>
      </c>
      <c r="AC37">
        <f>IF(A37&gt;=$H$10,SUM('Designated biodiversity sites'!$D$125:$M$132)*'Summary of area'!$E$42*Sheet1!B37+'Biodiversity - non-designated'!O101*'Summary of area'!$E$43*Sheet1!B37,0)</f>
        <v>0</v>
      </c>
      <c r="AD37">
        <f>IF(A37=$H$10,SUM('Water supply'!$D$144:$M$145)*'Summary of area'!$E$44*Sheet1!B37,0)</f>
        <v>0</v>
      </c>
      <c r="AE37">
        <f>IF(A37&gt;=$H$10,SUM('Water supply'!$D$146:$M$153)*'Summary of area'!$E$44*B37,0)</f>
        <v>0</v>
      </c>
      <c r="AF37">
        <f>IF(A37=$H$10,SUM(Heritage!$D$221:$M$222)*'Summary of area'!$E$46*B37,0)</f>
        <v>0</v>
      </c>
      <c r="AG37">
        <f>IF(A37&gt;=$H$10,SUM(Heritage!$D$223:$M$230)*'Summary of area'!$E$46*Sheet1!B37,0)</f>
        <v>0</v>
      </c>
      <c r="AH37">
        <f>IF(A37=$H$10,SUM('Recreation and tourism'!$D$109:$M$110)*'Summary of area'!$E$45*Sheet1!B37,0)</f>
        <v>0</v>
      </c>
      <c r="AI37">
        <f>IF(A37&gt;=$H$10,SUM('Recreation and tourism'!$D$111:$M$118)*'Summary of area'!$E$45*Sheet1!B37,0)</f>
        <v>0</v>
      </c>
    </row>
    <row r="38" spans="1:35" ht="15.75" thickBot="1">
      <c r="A38" s="134">
        <f t="shared" si="1"/>
        <v>23</v>
      </c>
      <c r="B38" s="108">
        <f t="shared" si="2"/>
        <v>0.45328563358074364</v>
      </c>
      <c r="C38" s="137">
        <f>SUM($B$15:B38)</f>
        <v>16.620410469121644</v>
      </c>
      <c r="D38" s="136"/>
      <c r="G38">
        <f>IF(A38&gt;=$H$10,Carbon!$F$33*'Summary of area'!$E$31*B38,0)</f>
        <v>0</v>
      </c>
      <c r="H38">
        <f>IF(A38=$H$10,SUM('Water levels-Residential'!$D$53:$M$54)*'Summary of area'!$E$32*B38,0)</f>
        <v>0</v>
      </c>
      <c r="I38">
        <f>IF(A38&gt;=$H$10,SUM('Water levels-Residential'!$D$55:$M$62)*'Summary of area'!$E$32*B38,0)</f>
        <v>0</v>
      </c>
      <c r="J38">
        <f>IF(A38=$H$10,SUM('Water levels-Business'!$D$87:$M$88)*'Summary of area'!$E$33*B38,0)</f>
        <v>0</v>
      </c>
      <c r="K38">
        <f>IF(A38&gt;=$H$10,SUM('Water levels-Business'!$D$89:$M$96)*'Summary of area'!$E$33*B38,0)</f>
        <v>0</v>
      </c>
      <c r="L38">
        <f>IF(A38=$H$10,SUM('Water levels-Social Infra'!$D$169:$M$170)*'Summary of area'!$E$34*B38,0)</f>
        <v>0</v>
      </c>
      <c r="M38">
        <f>IF(A38&gt;=$H$10,SUM('Water levels-Social Infra'!$D$171:$M$178)*'Summary of area'!$E$34*B38,0)</f>
        <v>0</v>
      </c>
      <c r="N38">
        <f>IF(A38=$H$10,SUM('Water levels-Emergency'!$D$152:$M$153)*'Summary of area'!$E$35*B38,0)</f>
        <v>0</v>
      </c>
      <c r="O38">
        <f>IF(A38&gt;=$H$10,SUM('Water levels-Emergency'!$D$154:$M$161)*'Summary of area'!$E$35*B38,0)</f>
        <v>0</v>
      </c>
      <c r="P38">
        <f>IF(A38=$H$10,SUM('Water levels-Utilities'!$D$189:$M$190)*'Summary of area'!$E$36*B38,0)</f>
        <v>0</v>
      </c>
      <c r="Q38">
        <f>IF(A38&gt;=$H$10,SUM('Water levels-Utilities'!$D$191:$M$198)*'Summary of area'!$E$36*B38,0)</f>
        <v>0</v>
      </c>
      <c r="R38">
        <f>IF(A38=$H$10,SUM('Water levels-Transport (road)'!$D$160:$M$161)*'Summary of area'!$E$37*B38,0)</f>
        <v>0</v>
      </c>
      <c r="S38">
        <f>IF(A38&gt;=$H$10,SUM('Water levels-Transport (road)'!$D$162:$M$169)*'Summary of area'!$E$37*B38+SUM('Water levels-Transport (road)'!$D$215:$M$222)*'Summary of area'!$E$37*B38,0)</f>
        <v>0</v>
      </c>
      <c r="T38">
        <f>IF(A38=$H$10,SUM('Water levels-Transport (rail)'!$D$137:$M$138)*'Summary of area'!$E$38*Sheet1!B38,0)</f>
        <v>0</v>
      </c>
      <c r="U38">
        <f>IF(A38&gt;=$H$10,SUM('Water levels-Transport (rail)'!$D$139:$M$146)*'Summary of area'!$E$38*B38+SUM('Water levels-Transport (rail)'!$D$165:$M$172)*'Summary of area'!$E$38*B38,0)</f>
        <v>0</v>
      </c>
      <c r="V38">
        <f>IF(A38=$H$10,SUM('Food production'!$D$256:$M$257)*'Summary of area'!$E$39*Sheet1!B38,0)</f>
        <v>0</v>
      </c>
      <c r="W38">
        <f>IF(A38&gt;=$H$10,SUM('Food production'!$D$258:$M$265)*'Summary of area'!$E$39*Sheet1!B38,0)</f>
        <v>0</v>
      </c>
      <c r="X38">
        <f>IF(A38=$H$10,SUM('Energy (direct)'!$D$85:$M$86)*'Summary of area'!$E$40*B38,0)</f>
        <v>0</v>
      </c>
      <c r="Y38">
        <f>IF(A38&gt;=$H$10,SUM('Energy (direct)'!$D$87:$M$94)*'Summary of area'!$E$40*Sheet1!B38,0)</f>
        <v>0</v>
      </c>
      <c r="Z38">
        <f>IF(A38=$H$10,SUM('Energy (indirect)'!$D$158:$M$159)*'Summary of area'!$E$41*Sheet1!B38,0)</f>
        <v>0</v>
      </c>
      <c r="AA38">
        <f>IF(A38&gt;=$H$10,SUM('Energy (indirect)'!$D$160:$M$167)*'Summary of area'!$E$41*B38,0)</f>
        <v>0</v>
      </c>
      <c r="AB38">
        <f>IF(A38=$H$10,SUM('Designated biodiversity sites'!$D$123:$M$124)*'Summary of area'!$E$42*Sheet1!B38+'Biodiversity - non-designated'!O102*'Summary of area'!$E$43*Sheet1!B38,0)</f>
        <v>0</v>
      </c>
      <c r="AC38">
        <f>IF(A38&gt;=$H$10,SUM('Designated biodiversity sites'!$D$125:$M$132)*'Summary of area'!$E$42*Sheet1!B38+'Biodiversity - non-designated'!O102*'Summary of area'!$E$43*Sheet1!B38,0)</f>
        <v>0</v>
      </c>
      <c r="AD38">
        <f>IF(A38=$H$10,SUM('Water supply'!$D$144:$M$145)*'Summary of area'!$E$44*Sheet1!B38,0)</f>
        <v>0</v>
      </c>
      <c r="AE38">
        <f>IF(A38&gt;=$H$10,SUM('Water supply'!$D$146:$M$153)*'Summary of area'!$E$44*B38,0)</f>
        <v>0</v>
      </c>
      <c r="AF38">
        <f>IF(A38=$H$10,SUM(Heritage!$D$221:$M$222)*'Summary of area'!$E$46*B38,0)</f>
        <v>0</v>
      </c>
      <c r="AG38">
        <f>IF(A38&gt;=$H$10,SUM(Heritage!$D$223:$M$230)*'Summary of area'!$E$46*Sheet1!B38,0)</f>
        <v>0</v>
      </c>
      <c r="AH38">
        <f>IF(A38=$H$10,SUM('Recreation and tourism'!$D$109:$M$110)*'Summary of area'!$E$45*Sheet1!B38,0)</f>
        <v>0</v>
      </c>
      <c r="AI38">
        <f>IF(A38&gt;=$H$10,SUM('Recreation and tourism'!$D$111:$M$118)*'Summary of area'!$E$45*Sheet1!B38,0)</f>
        <v>0</v>
      </c>
    </row>
    <row r="39" spans="1:35" ht="15.75" thickBot="1">
      <c r="A39" s="134">
        <f t="shared" si="1"/>
        <v>24</v>
      </c>
      <c r="B39" s="108">
        <f t="shared" si="2"/>
        <v>0.43795713389443836</v>
      </c>
      <c r="C39" s="137">
        <f>SUM($B$15:B39)</f>
        <v>17.058367603016084</v>
      </c>
      <c r="D39" s="136"/>
      <c r="G39">
        <f>IF(A39&gt;=$H$10,Carbon!$F$33*'Summary of area'!$E$31*B39,0)</f>
        <v>0</v>
      </c>
      <c r="H39">
        <f>IF(A39=$H$10,SUM('Water levels-Residential'!$D$53:$M$54)*'Summary of area'!$E$32*B39,0)</f>
        <v>0</v>
      </c>
      <c r="I39">
        <f>IF(A39&gt;=$H$10,SUM('Water levels-Residential'!$D$55:$M$62)*'Summary of area'!$E$32*B39,0)</f>
        <v>0</v>
      </c>
      <c r="J39">
        <f>IF(A39=$H$10,SUM('Water levels-Business'!$D$87:$M$88)*'Summary of area'!$E$33*B39,0)</f>
        <v>0</v>
      </c>
      <c r="K39">
        <f>IF(A39&gt;=$H$10,SUM('Water levels-Business'!$D$89:$M$96)*'Summary of area'!$E$33*B39,0)</f>
        <v>0</v>
      </c>
      <c r="L39">
        <f>IF(A39=$H$10,SUM('Water levels-Social Infra'!$D$169:$M$170)*'Summary of area'!$E$34*B39,0)</f>
        <v>0</v>
      </c>
      <c r="M39">
        <f>IF(A39&gt;=$H$10,SUM('Water levels-Social Infra'!$D$171:$M$178)*'Summary of area'!$E$34*B39,0)</f>
        <v>0</v>
      </c>
      <c r="N39">
        <f>IF(A39=$H$10,SUM('Water levels-Emergency'!$D$152:$M$153)*'Summary of area'!$E$35*B39,0)</f>
        <v>0</v>
      </c>
      <c r="O39">
        <f>IF(A39&gt;=$H$10,SUM('Water levels-Emergency'!$D$154:$M$161)*'Summary of area'!$E$35*B39,0)</f>
        <v>0</v>
      </c>
      <c r="P39">
        <f>IF(A39=$H$10,SUM('Water levels-Utilities'!$D$189:$M$190)*'Summary of area'!$E$36*B39,0)</f>
        <v>0</v>
      </c>
      <c r="Q39">
        <f>IF(A39&gt;=$H$10,SUM('Water levels-Utilities'!$D$191:$M$198)*'Summary of area'!$E$36*B39,0)</f>
        <v>0</v>
      </c>
      <c r="R39">
        <f>IF(A39=$H$10,SUM('Water levels-Transport (road)'!$D$160:$M$161)*'Summary of area'!$E$37*B39,0)</f>
        <v>0</v>
      </c>
      <c r="S39">
        <f>IF(A39&gt;=$H$10,SUM('Water levels-Transport (road)'!$D$162:$M$169)*'Summary of area'!$E$37*B39+SUM('Water levels-Transport (road)'!$D$215:$M$222)*'Summary of area'!$E$37*B39,0)</f>
        <v>0</v>
      </c>
      <c r="T39">
        <f>IF(A39=$H$10,SUM('Water levels-Transport (rail)'!$D$137:$M$138)*'Summary of area'!$E$38*Sheet1!B39,0)</f>
        <v>0</v>
      </c>
      <c r="U39">
        <f>IF(A39&gt;=$H$10,SUM('Water levels-Transport (rail)'!$D$139:$M$146)*'Summary of area'!$E$38*B39+SUM('Water levels-Transport (rail)'!$D$165:$M$172)*'Summary of area'!$E$38*B39,0)</f>
        <v>0</v>
      </c>
      <c r="V39">
        <f>IF(A39=$H$10,SUM('Food production'!$D$256:$M$257)*'Summary of area'!$E$39*Sheet1!B39,0)</f>
        <v>0</v>
      </c>
      <c r="W39">
        <f>IF(A39&gt;=$H$10,SUM('Food production'!$D$258:$M$265)*'Summary of area'!$E$39*Sheet1!B39,0)</f>
        <v>0</v>
      </c>
      <c r="X39">
        <f>IF(A39=$H$10,SUM('Energy (direct)'!$D$85:$M$86)*'Summary of area'!$E$40*B39,0)</f>
        <v>0</v>
      </c>
      <c r="Y39">
        <f>IF(A39&gt;=$H$10,SUM('Energy (direct)'!$D$87:$M$94)*'Summary of area'!$E$40*Sheet1!B39,0)</f>
        <v>0</v>
      </c>
      <c r="Z39">
        <f>IF(A39=$H$10,SUM('Energy (indirect)'!$D$158:$M$159)*'Summary of area'!$E$41*Sheet1!B39,0)</f>
        <v>0</v>
      </c>
      <c r="AA39">
        <f>IF(A39&gt;=$H$10,SUM('Energy (indirect)'!$D$160:$M$167)*'Summary of area'!$E$41*B39,0)</f>
        <v>0</v>
      </c>
      <c r="AB39">
        <f>IF(A39=$H$10,SUM('Designated biodiversity sites'!$D$123:$M$124)*'Summary of area'!$E$42*Sheet1!B39+'Biodiversity - non-designated'!O103*'Summary of area'!$E$43*Sheet1!B39,0)</f>
        <v>0</v>
      </c>
      <c r="AC39">
        <f>IF(A39&gt;=$H$10,SUM('Designated biodiversity sites'!$D$125:$M$132)*'Summary of area'!$E$42*Sheet1!B39+'Biodiversity - non-designated'!O103*'Summary of area'!$E$43*Sheet1!B39,0)</f>
        <v>0</v>
      </c>
      <c r="AD39">
        <f>IF(A39=$H$10,SUM('Water supply'!$D$144:$M$145)*'Summary of area'!$E$44*Sheet1!B39,0)</f>
        <v>0</v>
      </c>
      <c r="AE39">
        <f>IF(A39&gt;=$H$10,SUM('Water supply'!$D$146:$M$153)*'Summary of area'!$E$44*B39,0)</f>
        <v>0</v>
      </c>
      <c r="AF39">
        <f>IF(A39=$H$10,SUM(Heritage!$D$221:$M$222)*'Summary of area'!$E$46*B39,0)</f>
        <v>0</v>
      </c>
      <c r="AG39">
        <f>IF(A39&gt;=$H$10,SUM(Heritage!$D$223:$M$230)*'Summary of area'!$E$46*Sheet1!B39,0)</f>
        <v>0</v>
      </c>
      <c r="AH39">
        <f>IF(A39=$H$10,SUM('Recreation and tourism'!$D$109:$M$110)*'Summary of area'!$E$45*Sheet1!B39,0)</f>
        <v>0</v>
      </c>
      <c r="AI39">
        <f>IF(A39&gt;=$H$10,SUM('Recreation and tourism'!$D$111:$M$118)*'Summary of area'!$E$45*Sheet1!B39,0)</f>
        <v>0</v>
      </c>
    </row>
    <row r="40" spans="1:35" ht="15.75" thickBot="1">
      <c r="A40" s="134">
        <f t="shared" si="1"/>
        <v>25</v>
      </c>
      <c r="B40" s="108">
        <f t="shared" si="2"/>
        <v>0.4231469892699888</v>
      </c>
      <c r="C40" s="137">
        <f>SUM($B$15:B40)</f>
        <v>17.48151459228607</v>
      </c>
      <c r="D40" s="136"/>
      <c r="G40">
        <f>IF(A40&gt;=$H$10,Carbon!$F$33*'Summary of area'!$E$31*B40,0)</f>
        <v>0</v>
      </c>
      <c r="H40">
        <f>IF(A40=$H$10,SUM('Water levels-Residential'!$D$53:$M$54)*'Summary of area'!$E$32*B40,0)</f>
        <v>0</v>
      </c>
      <c r="I40">
        <f>IF(A40&gt;=$H$10,SUM('Water levels-Residential'!$D$55:$M$62)*'Summary of area'!$E$32*B40,0)</f>
        <v>0</v>
      </c>
      <c r="J40">
        <f>IF(A40=$H$10,SUM('Water levels-Business'!$D$87:$M$88)*'Summary of area'!$E$33*B40,0)</f>
        <v>0</v>
      </c>
      <c r="K40">
        <f>IF(A40&gt;=$H$10,SUM('Water levels-Business'!$D$89:$M$96)*'Summary of area'!$E$33*B40,0)</f>
        <v>0</v>
      </c>
      <c r="L40">
        <f>IF(A40=$H$10,SUM('Water levels-Social Infra'!$D$169:$M$170)*'Summary of area'!$E$34*B40,0)</f>
        <v>0</v>
      </c>
      <c r="M40">
        <f>IF(A40&gt;=$H$10,SUM('Water levels-Social Infra'!$D$171:$M$178)*'Summary of area'!$E$34*B40,0)</f>
        <v>0</v>
      </c>
      <c r="N40">
        <f>IF(A40=$H$10,SUM('Water levels-Emergency'!$D$152:$M$153)*'Summary of area'!$E$35*B40,0)</f>
        <v>0</v>
      </c>
      <c r="O40">
        <f>IF(A40&gt;=$H$10,SUM('Water levels-Emergency'!$D$154:$M$161)*'Summary of area'!$E$35*B40,0)</f>
        <v>0</v>
      </c>
      <c r="P40">
        <f>IF(A40=$H$10,SUM('Water levels-Utilities'!$D$189:$M$190)*'Summary of area'!$E$36*B40,0)</f>
        <v>0</v>
      </c>
      <c r="Q40">
        <f>IF(A40&gt;=$H$10,SUM('Water levels-Utilities'!$D$191:$M$198)*'Summary of area'!$E$36*B40,0)</f>
        <v>0</v>
      </c>
      <c r="R40">
        <f>IF(A40=$H$10,SUM('Water levels-Transport (road)'!$D$160:$M$161)*'Summary of area'!$E$37*B40,0)</f>
        <v>0</v>
      </c>
      <c r="S40">
        <f>IF(A40&gt;=$H$10,SUM('Water levels-Transport (road)'!$D$162:$M$169)*'Summary of area'!$E$37*B40+SUM('Water levels-Transport (road)'!$D$215:$M$222)*'Summary of area'!$E$37*B40,0)</f>
        <v>0</v>
      </c>
      <c r="T40">
        <f>IF(A40=$H$10,SUM('Water levels-Transport (rail)'!$D$137:$M$138)*'Summary of area'!$E$38*Sheet1!B40,0)</f>
        <v>0</v>
      </c>
      <c r="U40">
        <f>IF(A40&gt;=$H$10,SUM('Water levels-Transport (rail)'!$D$139:$M$146)*'Summary of area'!$E$38*B40+SUM('Water levels-Transport (rail)'!$D$165:$M$172)*'Summary of area'!$E$38*B40,0)</f>
        <v>0</v>
      </c>
      <c r="V40">
        <f>IF(A40=$H$10,SUM('Food production'!$D$256:$M$257)*'Summary of area'!$E$39*Sheet1!B40,0)</f>
        <v>0</v>
      </c>
      <c r="W40">
        <f>IF(A40&gt;=$H$10,SUM('Food production'!$D$258:$M$265)*'Summary of area'!$E$39*Sheet1!B40,0)</f>
        <v>0</v>
      </c>
      <c r="X40">
        <f>IF(A40=$H$10,SUM('Energy (direct)'!$D$85:$M$86)*'Summary of area'!$E$40*B40,0)</f>
        <v>0</v>
      </c>
      <c r="Y40">
        <f>IF(A40&gt;=$H$10,SUM('Energy (direct)'!$D$87:$M$94)*'Summary of area'!$E$40*Sheet1!B40,0)</f>
        <v>0</v>
      </c>
      <c r="Z40">
        <f>IF(A40=$H$10,SUM('Energy (indirect)'!$D$158:$M$159)*'Summary of area'!$E$41*Sheet1!B40,0)</f>
        <v>0</v>
      </c>
      <c r="AA40">
        <f>IF(A40&gt;=$H$10,SUM('Energy (indirect)'!$D$160:$M$167)*'Summary of area'!$E$41*B40,0)</f>
        <v>0</v>
      </c>
      <c r="AB40">
        <f>IF(A40=$H$10,SUM('Designated biodiversity sites'!$D$123:$M$124)*'Summary of area'!$E$42*Sheet1!B40+'Biodiversity - non-designated'!O104*'Summary of area'!$E$43*Sheet1!B40,0)</f>
        <v>0</v>
      </c>
      <c r="AC40">
        <f>IF(A40&gt;=$H$10,SUM('Designated biodiversity sites'!$D$125:$M$132)*'Summary of area'!$E$42*Sheet1!B40+'Biodiversity - non-designated'!O104*'Summary of area'!$E$43*Sheet1!B40,0)</f>
        <v>0</v>
      </c>
      <c r="AD40">
        <f>IF(A40=$H$10,SUM('Water supply'!$D$144:$M$145)*'Summary of area'!$E$44*Sheet1!B40,0)</f>
        <v>0</v>
      </c>
      <c r="AE40">
        <f>IF(A40&gt;=$H$10,SUM('Water supply'!$D$146:$M$153)*'Summary of area'!$E$44*B40,0)</f>
        <v>0</v>
      </c>
      <c r="AF40">
        <f>IF(A40=$H$10,SUM(Heritage!$D$221:$M$222)*'Summary of area'!$E$46*B40,0)</f>
        <v>0</v>
      </c>
      <c r="AG40">
        <f>IF(A40&gt;=$H$10,SUM(Heritage!$D$223:$M$230)*'Summary of area'!$E$46*Sheet1!B40,0)</f>
        <v>0</v>
      </c>
      <c r="AH40">
        <f>IF(A40=$H$10,SUM('Recreation and tourism'!$D$109:$M$110)*'Summary of area'!$E$45*Sheet1!B40,0)</f>
        <v>0</v>
      </c>
      <c r="AI40">
        <f>IF(A40&gt;=$H$10,SUM('Recreation and tourism'!$D$111:$M$118)*'Summary of area'!$E$45*Sheet1!B40,0)</f>
        <v>0</v>
      </c>
    </row>
    <row r="41" spans="1:35" ht="15.75" thickBot="1">
      <c r="A41" s="134">
        <f t="shared" si="1"/>
        <v>26</v>
      </c>
      <c r="B41" s="108">
        <f t="shared" si="2"/>
        <v>0.40883767079225974</v>
      </c>
      <c r="C41" s="137">
        <f>SUM($B$15:B41)</f>
        <v>17.89035226307833</v>
      </c>
      <c r="D41" s="136"/>
      <c r="G41">
        <f>IF(A41&gt;=$H$10,Carbon!$F$33*'Summary of area'!$E$31*B41,0)</f>
        <v>0</v>
      </c>
      <c r="H41">
        <f>IF(A41=$H$10,SUM('Water levels-Residential'!$D$53:$M$54)*'Summary of area'!$E$32*B41,0)</f>
        <v>0</v>
      </c>
      <c r="I41">
        <f>IF(A41&gt;=$H$10,SUM('Water levels-Residential'!$D$55:$M$62)*'Summary of area'!$E$32*B41,0)</f>
        <v>0</v>
      </c>
      <c r="J41">
        <f>IF(A41=$H$10,SUM('Water levels-Business'!$D$87:$M$88)*'Summary of area'!$E$33*B41,0)</f>
        <v>0</v>
      </c>
      <c r="K41">
        <f>IF(A41&gt;=$H$10,SUM('Water levels-Business'!$D$89:$M$96)*'Summary of area'!$E$33*B41,0)</f>
        <v>0</v>
      </c>
      <c r="L41">
        <f>IF(A41=$H$10,SUM('Water levels-Social Infra'!$D$169:$M$170)*'Summary of area'!$E$34*B41,0)</f>
        <v>0</v>
      </c>
      <c r="M41">
        <f>IF(A41&gt;=$H$10,SUM('Water levels-Social Infra'!$D$171:$M$178)*'Summary of area'!$E$34*B41,0)</f>
        <v>0</v>
      </c>
      <c r="N41">
        <f>IF(A41=$H$10,SUM('Water levels-Emergency'!$D$152:$M$153)*'Summary of area'!$E$35*B41,0)</f>
        <v>0</v>
      </c>
      <c r="O41">
        <f>IF(A41&gt;=$H$10,SUM('Water levels-Emergency'!$D$154:$M$161)*'Summary of area'!$E$35*B41,0)</f>
        <v>0</v>
      </c>
      <c r="P41">
        <f>IF(A41=$H$10,SUM('Water levels-Utilities'!$D$189:$M$190)*'Summary of area'!$E$36*B41,0)</f>
        <v>0</v>
      </c>
      <c r="Q41">
        <f>IF(A41&gt;=$H$10,SUM('Water levels-Utilities'!$D$191:$M$198)*'Summary of area'!$E$36*B41,0)</f>
        <v>0</v>
      </c>
      <c r="R41">
        <f>IF(A41=$H$10,SUM('Water levels-Transport (road)'!$D$160:$M$161)*'Summary of area'!$E$37*B41,0)</f>
        <v>0</v>
      </c>
      <c r="S41">
        <f>IF(A41&gt;=$H$10,SUM('Water levels-Transport (road)'!$D$162:$M$169)*'Summary of area'!$E$37*B41+SUM('Water levels-Transport (road)'!$D$215:$M$222)*'Summary of area'!$E$37*B41,0)</f>
        <v>0</v>
      </c>
      <c r="T41">
        <f>IF(A41=$H$10,SUM('Water levels-Transport (rail)'!$D$137:$M$138)*'Summary of area'!$E$38*Sheet1!B41,0)</f>
        <v>0</v>
      </c>
      <c r="U41">
        <f>IF(A41&gt;=$H$10,SUM('Water levels-Transport (rail)'!$D$139:$M$146)*'Summary of area'!$E$38*B41+SUM('Water levels-Transport (rail)'!$D$165:$M$172)*'Summary of area'!$E$38*B41,0)</f>
        <v>0</v>
      </c>
      <c r="V41">
        <f>IF(A41=$H$10,SUM('Food production'!$D$256:$M$257)*'Summary of area'!$E$39*Sheet1!B41,0)</f>
        <v>0</v>
      </c>
      <c r="W41">
        <f>IF(A41&gt;=$H$10,SUM('Food production'!$D$258:$M$265)*'Summary of area'!$E$39*Sheet1!B41,0)</f>
        <v>0</v>
      </c>
      <c r="X41">
        <f>IF(A41=$H$10,SUM('Energy (direct)'!$D$85:$M$86)*'Summary of area'!$E$40*B41,0)</f>
        <v>0</v>
      </c>
      <c r="Y41">
        <f>IF(A41&gt;=$H$10,SUM('Energy (direct)'!$D$87:$M$94)*'Summary of area'!$E$40*Sheet1!B41,0)</f>
        <v>0</v>
      </c>
      <c r="Z41">
        <f>IF(A41=$H$10,SUM('Energy (indirect)'!$D$158:$M$159)*'Summary of area'!$E$41*Sheet1!B41,0)</f>
        <v>0</v>
      </c>
      <c r="AA41">
        <f>IF(A41&gt;=$H$10,SUM('Energy (indirect)'!$D$160:$M$167)*'Summary of area'!$E$41*B41,0)</f>
        <v>0</v>
      </c>
      <c r="AB41">
        <f>IF(A41=$H$10,SUM('Designated biodiversity sites'!$D$123:$M$124)*'Summary of area'!$E$42*Sheet1!B41+'Biodiversity - non-designated'!O105*'Summary of area'!$E$43*Sheet1!B41,0)</f>
        <v>0</v>
      </c>
      <c r="AC41">
        <f>IF(A41&gt;=$H$10,SUM('Designated biodiversity sites'!$D$125:$M$132)*'Summary of area'!$E$42*Sheet1!B41+'Biodiversity - non-designated'!O105*'Summary of area'!$E$43*Sheet1!B41,0)</f>
        <v>0</v>
      </c>
      <c r="AD41">
        <f>IF(A41=$H$10,SUM('Water supply'!$D$144:$M$145)*'Summary of area'!$E$44*Sheet1!B41,0)</f>
        <v>0</v>
      </c>
      <c r="AE41">
        <f>IF(A41&gt;=$H$10,SUM('Water supply'!$D$146:$M$153)*'Summary of area'!$E$44*B41,0)</f>
        <v>0</v>
      </c>
      <c r="AF41">
        <f>IF(A41=$H$10,SUM(Heritage!$D$221:$M$222)*'Summary of area'!$E$46*B41,0)</f>
        <v>0</v>
      </c>
      <c r="AG41">
        <f>IF(A41&gt;=$H$10,SUM(Heritage!$D$223:$M$230)*'Summary of area'!$E$46*Sheet1!B41,0)</f>
        <v>0</v>
      </c>
      <c r="AH41">
        <f>IF(A41=$H$10,SUM('Recreation and tourism'!$D$109:$M$110)*'Summary of area'!$E$45*Sheet1!B41,0)</f>
        <v>0</v>
      </c>
      <c r="AI41">
        <f>IF(A41&gt;=$H$10,SUM('Recreation and tourism'!$D$111:$M$118)*'Summary of area'!$E$45*Sheet1!B41,0)</f>
        <v>0</v>
      </c>
    </row>
    <row r="42" spans="1:35" ht="15.75" thickBot="1">
      <c r="A42" s="134">
        <f t="shared" si="1"/>
        <v>27</v>
      </c>
      <c r="B42" s="108">
        <f t="shared" si="2"/>
        <v>0.3950122423113621</v>
      </c>
      <c r="C42" s="137">
        <f>SUM($B$15:B42)</f>
        <v>18.285364505389694</v>
      </c>
      <c r="D42" s="136"/>
      <c r="G42">
        <f>IF(A42&gt;=$H$10,Carbon!$F$33*'Summary of area'!$E$31*B42,0)</f>
        <v>0</v>
      </c>
      <c r="H42">
        <f>IF(A42=$H$10,SUM('Water levels-Residential'!$D$53:$M$54)*'Summary of area'!$E$32*B42,0)</f>
        <v>0</v>
      </c>
      <c r="I42">
        <f>IF(A42&gt;=$H$10,SUM('Water levels-Residential'!$D$55:$M$62)*'Summary of area'!$E$32*B42,0)</f>
        <v>0</v>
      </c>
      <c r="J42">
        <f>IF(A42=$H$10,SUM('Water levels-Business'!$D$87:$M$88)*'Summary of area'!$E$33*B42,0)</f>
        <v>0</v>
      </c>
      <c r="K42">
        <f>IF(A42&gt;=$H$10,SUM('Water levels-Business'!$D$89:$M$96)*'Summary of area'!$E$33*B42,0)</f>
        <v>0</v>
      </c>
      <c r="L42">
        <f>IF(A42=$H$10,SUM('Water levels-Social Infra'!$D$169:$M$170)*'Summary of area'!$E$34*B42,0)</f>
        <v>0</v>
      </c>
      <c r="M42">
        <f>IF(A42&gt;=$H$10,SUM('Water levels-Social Infra'!$D$171:$M$178)*'Summary of area'!$E$34*B42,0)</f>
        <v>0</v>
      </c>
      <c r="N42">
        <f>IF(A42=$H$10,SUM('Water levels-Emergency'!$D$152:$M$153)*'Summary of area'!$E$35*B42,0)</f>
        <v>0</v>
      </c>
      <c r="O42">
        <f>IF(A42&gt;=$H$10,SUM('Water levels-Emergency'!$D$154:$M$161)*'Summary of area'!$E$35*B42,0)</f>
        <v>0</v>
      </c>
      <c r="P42">
        <f>IF(A42=$H$10,SUM('Water levels-Utilities'!$D$189:$M$190)*'Summary of area'!$E$36*B42,0)</f>
        <v>0</v>
      </c>
      <c r="Q42">
        <f>IF(A42&gt;=$H$10,SUM('Water levels-Utilities'!$D$191:$M$198)*'Summary of area'!$E$36*B42,0)</f>
        <v>0</v>
      </c>
      <c r="R42">
        <f>IF(A42=$H$10,SUM('Water levels-Transport (road)'!$D$160:$M$161)*'Summary of area'!$E$37*B42,0)</f>
        <v>0</v>
      </c>
      <c r="S42">
        <f>IF(A42&gt;=$H$10,SUM('Water levels-Transport (road)'!$D$162:$M$169)*'Summary of area'!$E$37*B42+SUM('Water levels-Transport (road)'!$D$215:$M$222)*'Summary of area'!$E$37*B42,0)</f>
        <v>0</v>
      </c>
      <c r="T42">
        <f>IF(A42=$H$10,SUM('Water levels-Transport (rail)'!$D$137:$M$138)*'Summary of area'!$E$38*Sheet1!B42,0)</f>
        <v>0</v>
      </c>
      <c r="U42">
        <f>IF(A42&gt;=$H$10,SUM('Water levels-Transport (rail)'!$D$139:$M$146)*'Summary of area'!$E$38*B42+SUM('Water levels-Transport (rail)'!$D$165:$M$172)*'Summary of area'!$E$38*B42,0)</f>
        <v>0</v>
      </c>
      <c r="V42">
        <f>IF(A42=$H$10,SUM('Food production'!$D$256:$M$257)*'Summary of area'!$E$39*Sheet1!B42,0)</f>
        <v>0</v>
      </c>
      <c r="W42">
        <f>IF(A42&gt;=$H$10,SUM('Food production'!$D$258:$M$265)*'Summary of area'!$E$39*Sheet1!B42,0)</f>
        <v>0</v>
      </c>
      <c r="X42">
        <f>IF(A42=$H$10,SUM('Energy (direct)'!$D$85:$M$86)*'Summary of area'!$E$40*B42,0)</f>
        <v>0</v>
      </c>
      <c r="Y42">
        <f>IF(A42&gt;=$H$10,SUM('Energy (direct)'!$D$87:$M$94)*'Summary of area'!$E$40*Sheet1!B42,0)</f>
        <v>0</v>
      </c>
      <c r="Z42">
        <f>IF(A42=$H$10,SUM('Energy (indirect)'!$D$158:$M$159)*'Summary of area'!$E$41*Sheet1!B42,0)</f>
        <v>0</v>
      </c>
      <c r="AA42">
        <f>IF(A42&gt;=$H$10,SUM('Energy (indirect)'!$D$160:$M$167)*'Summary of area'!$E$41*B42,0)</f>
        <v>0</v>
      </c>
      <c r="AB42">
        <f>IF(A42=$H$10,SUM('Designated biodiversity sites'!$D$123:$M$124)*'Summary of area'!$E$42*Sheet1!B42+'Biodiversity - non-designated'!O106*'Summary of area'!$E$43*Sheet1!B42,0)</f>
        <v>0</v>
      </c>
      <c r="AC42">
        <f>IF(A42&gt;=$H$10,SUM('Designated biodiversity sites'!$D$125:$M$132)*'Summary of area'!$E$42*Sheet1!B42+'Biodiversity - non-designated'!O106*'Summary of area'!$E$43*Sheet1!B42,0)</f>
        <v>0</v>
      </c>
      <c r="AD42">
        <f>IF(A42=$H$10,SUM('Water supply'!$D$144:$M$145)*'Summary of area'!$E$44*Sheet1!B42,0)</f>
        <v>0</v>
      </c>
      <c r="AE42">
        <f>IF(A42&gt;=$H$10,SUM('Water supply'!$D$146:$M$153)*'Summary of area'!$E$44*B42,0)</f>
        <v>0</v>
      </c>
      <c r="AF42">
        <f>IF(A42=$H$10,SUM(Heritage!$D$221:$M$222)*'Summary of area'!$E$46*B42,0)</f>
        <v>0</v>
      </c>
      <c r="AG42">
        <f>IF(A42&gt;=$H$10,SUM(Heritage!$D$223:$M$230)*'Summary of area'!$E$46*Sheet1!B42,0)</f>
        <v>0</v>
      </c>
      <c r="AH42">
        <f>IF(A42=$H$10,SUM('Recreation and tourism'!$D$109:$M$110)*'Summary of area'!$E$45*Sheet1!B42,0)</f>
        <v>0</v>
      </c>
      <c r="AI42">
        <f>IF(A42&gt;=$H$10,SUM('Recreation and tourism'!$D$111:$M$118)*'Summary of area'!$E$45*Sheet1!B42,0)</f>
        <v>0</v>
      </c>
    </row>
    <row r="43" spans="1:35" ht="15.75" thickBot="1">
      <c r="A43" s="134">
        <f t="shared" si="1"/>
        <v>28</v>
      </c>
      <c r="B43" s="108">
        <f t="shared" si="2"/>
        <v>0.38165434039745133</v>
      </c>
      <c r="C43" s="137">
        <f>SUM($B$15:B43)</f>
        <v>18.667018845787144</v>
      </c>
      <c r="D43" s="136"/>
      <c r="G43">
        <f>IF(A43&gt;=$H$10,Carbon!$F$33*'Summary of area'!$E$31*B43,0)</f>
        <v>0</v>
      </c>
      <c r="H43">
        <f>IF(A43=$H$10,SUM('Water levels-Residential'!$D$53:$M$54)*'Summary of area'!$E$32*B43,0)</f>
        <v>0</v>
      </c>
      <c r="I43">
        <f>IF(A43&gt;=$H$10,SUM('Water levels-Residential'!$D$55:$M$62)*'Summary of area'!$E$32*B43,0)</f>
        <v>0</v>
      </c>
      <c r="J43">
        <f>IF(A43=$H$10,SUM('Water levels-Business'!$D$87:$M$88)*'Summary of area'!$E$33*B43,0)</f>
        <v>0</v>
      </c>
      <c r="K43">
        <f>IF(A43&gt;=$H$10,SUM('Water levels-Business'!$D$89:$M$96)*'Summary of area'!$E$33*B43,0)</f>
        <v>0</v>
      </c>
      <c r="L43">
        <f>IF(A43=$H$10,SUM('Water levels-Social Infra'!$D$169:$M$170)*'Summary of area'!$E$34*B43,0)</f>
        <v>0</v>
      </c>
      <c r="M43">
        <f>IF(A43&gt;=$H$10,SUM('Water levels-Social Infra'!$D$171:$M$178)*'Summary of area'!$E$34*B43,0)</f>
        <v>0</v>
      </c>
      <c r="N43">
        <f>IF(A43=$H$10,SUM('Water levels-Emergency'!$D$152:$M$153)*'Summary of area'!$E$35*B43,0)</f>
        <v>0</v>
      </c>
      <c r="O43">
        <f>IF(A43&gt;=$H$10,SUM('Water levels-Emergency'!$D$154:$M$161)*'Summary of area'!$E$35*B43,0)</f>
        <v>0</v>
      </c>
      <c r="P43">
        <f>IF(A43=$H$10,SUM('Water levels-Utilities'!$D$189:$M$190)*'Summary of area'!$E$36*B43,0)</f>
        <v>0</v>
      </c>
      <c r="Q43">
        <f>IF(A43&gt;=$H$10,SUM('Water levels-Utilities'!$D$191:$M$198)*'Summary of area'!$E$36*B43,0)</f>
        <v>0</v>
      </c>
      <c r="R43">
        <f>IF(A43=$H$10,SUM('Water levels-Transport (road)'!$D$160:$M$161)*'Summary of area'!$E$37*B43,0)</f>
        <v>0</v>
      </c>
      <c r="S43">
        <f>IF(A43&gt;=$H$10,SUM('Water levels-Transport (road)'!$D$162:$M$169)*'Summary of area'!$E$37*B43+SUM('Water levels-Transport (road)'!$D$215:$M$222)*'Summary of area'!$E$37*B43,0)</f>
        <v>0</v>
      </c>
      <c r="T43">
        <f>IF(A43=$H$10,SUM('Water levels-Transport (rail)'!$D$137:$M$138)*'Summary of area'!$E$38*Sheet1!B43,0)</f>
        <v>0</v>
      </c>
      <c r="U43">
        <f>IF(A43&gt;=$H$10,SUM('Water levels-Transport (rail)'!$D$139:$M$146)*'Summary of area'!$E$38*B43+SUM('Water levels-Transport (rail)'!$D$165:$M$172)*'Summary of area'!$E$38*B43,0)</f>
        <v>0</v>
      </c>
      <c r="V43">
        <f>IF(A43=$H$10,SUM('Food production'!$D$256:$M$257)*'Summary of area'!$E$39*Sheet1!B43,0)</f>
        <v>0</v>
      </c>
      <c r="W43">
        <f>IF(A43&gt;=$H$10,SUM('Food production'!$D$258:$M$265)*'Summary of area'!$E$39*Sheet1!B43,0)</f>
        <v>0</v>
      </c>
      <c r="X43">
        <f>IF(A43=$H$10,SUM('Energy (direct)'!$D$85:$M$86)*'Summary of area'!$E$40*B43,0)</f>
        <v>0</v>
      </c>
      <c r="Y43">
        <f>IF(A43&gt;=$H$10,SUM('Energy (direct)'!$D$87:$M$94)*'Summary of area'!$E$40*Sheet1!B43,0)</f>
        <v>0</v>
      </c>
      <c r="Z43">
        <f>IF(A43=$H$10,SUM('Energy (indirect)'!$D$158:$M$159)*'Summary of area'!$E$41*Sheet1!B43,0)</f>
        <v>0</v>
      </c>
      <c r="AA43">
        <f>IF(A43&gt;=$H$10,SUM('Energy (indirect)'!$D$160:$M$167)*'Summary of area'!$E$41*B43,0)</f>
        <v>0</v>
      </c>
      <c r="AB43">
        <f>IF(A43=$H$10,SUM('Designated biodiversity sites'!$D$123:$M$124)*'Summary of area'!$E$42*Sheet1!B43+'Biodiversity - non-designated'!O107*'Summary of area'!$E$43*Sheet1!B43,0)</f>
        <v>0</v>
      </c>
      <c r="AC43">
        <f>IF(A43&gt;=$H$10,SUM('Designated biodiversity sites'!$D$125:$M$132)*'Summary of area'!$E$42*Sheet1!B43+'Biodiversity - non-designated'!O107*'Summary of area'!$E$43*Sheet1!B43,0)</f>
        <v>0</v>
      </c>
      <c r="AD43">
        <f>IF(A43=$H$10,SUM('Water supply'!$D$144:$M$145)*'Summary of area'!$E$44*Sheet1!B43,0)</f>
        <v>0</v>
      </c>
      <c r="AE43">
        <f>IF(A43&gt;=$H$10,SUM('Water supply'!$D$146:$M$153)*'Summary of area'!$E$44*B43,0)</f>
        <v>0</v>
      </c>
      <c r="AF43">
        <f>IF(A43=$H$10,SUM(Heritage!$D$221:$M$222)*'Summary of area'!$E$46*B43,0)</f>
        <v>0</v>
      </c>
      <c r="AG43">
        <f>IF(A43&gt;=$H$10,SUM(Heritage!$D$223:$M$230)*'Summary of area'!$E$46*Sheet1!B43,0)</f>
        <v>0</v>
      </c>
      <c r="AH43">
        <f>IF(A43=$H$10,SUM('Recreation and tourism'!$D$109:$M$110)*'Summary of area'!$E$45*Sheet1!B43,0)</f>
        <v>0</v>
      </c>
      <c r="AI43">
        <f>IF(A43&gt;=$H$10,SUM('Recreation and tourism'!$D$111:$M$118)*'Summary of area'!$E$45*Sheet1!B43,0)</f>
        <v>0</v>
      </c>
    </row>
    <row r="44" spans="1:35" ht="15.75" thickBot="1">
      <c r="A44" s="134">
        <f t="shared" si="1"/>
        <v>29</v>
      </c>
      <c r="B44" s="108">
        <f t="shared" si="2"/>
        <v>0.368748154973383</v>
      </c>
      <c r="C44" s="137">
        <f>SUM($B$15:B44)</f>
        <v>19.035767000760526</v>
      </c>
      <c r="D44" s="136"/>
      <c r="G44">
        <f>IF(A44&gt;=$H$10,Carbon!$F$33*'Summary of area'!$E$31*B44,0)</f>
        <v>0</v>
      </c>
      <c r="H44">
        <f>IF(A44=$H$10,SUM('Water levels-Residential'!$D$53:$M$54)*'Summary of area'!$E$32*B44,0)</f>
        <v>0</v>
      </c>
      <c r="I44">
        <f>IF(A44&gt;=$H$10,SUM('Water levels-Residential'!$D$55:$M$62)*'Summary of area'!$E$32*B44,0)</f>
        <v>0</v>
      </c>
      <c r="J44">
        <f>IF(A44=$H$10,SUM('Water levels-Business'!$D$87:$M$88)*'Summary of area'!$E$33*B44,0)</f>
        <v>0</v>
      </c>
      <c r="K44">
        <f>IF(A44&gt;=$H$10,SUM('Water levels-Business'!$D$89:$M$96)*'Summary of area'!$E$33*B44,0)</f>
        <v>0</v>
      </c>
      <c r="L44">
        <f>IF(A44=$H$10,SUM('Water levels-Social Infra'!$D$169:$M$170)*'Summary of area'!$E$34*B44,0)</f>
        <v>0</v>
      </c>
      <c r="M44">
        <f>IF(A44&gt;=$H$10,SUM('Water levels-Social Infra'!$D$171:$M$178)*'Summary of area'!$E$34*B44,0)</f>
        <v>0</v>
      </c>
      <c r="N44">
        <f>IF(A44=$H$10,SUM('Water levels-Emergency'!$D$152:$M$153)*'Summary of area'!$E$35*B44,0)</f>
        <v>0</v>
      </c>
      <c r="O44">
        <f>IF(A44&gt;=$H$10,SUM('Water levels-Emergency'!$D$154:$M$161)*'Summary of area'!$E$35*B44,0)</f>
        <v>0</v>
      </c>
      <c r="P44">
        <f>IF(A44=$H$10,SUM('Water levels-Utilities'!$D$189:$M$190)*'Summary of area'!$E$36*B44,0)</f>
        <v>0</v>
      </c>
      <c r="Q44">
        <f>IF(A44&gt;=$H$10,SUM('Water levels-Utilities'!$D$191:$M$198)*'Summary of area'!$E$36*B44,0)</f>
        <v>0</v>
      </c>
      <c r="R44">
        <f>IF(A44=$H$10,SUM('Water levels-Transport (road)'!$D$160:$M$161)*'Summary of area'!$E$37*B44,0)</f>
        <v>0</v>
      </c>
      <c r="S44">
        <f>IF(A44&gt;=$H$10,SUM('Water levels-Transport (road)'!$D$162:$M$169)*'Summary of area'!$E$37*B44+SUM('Water levels-Transport (road)'!$D$215:$M$222)*'Summary of area'!$E$37*B44,0)</f>
        <v>0</v>
      </c>
      <c r="T44">
        <f>IF(A44=$H$10,SUM('Water levels-Transport (rail)'!$D$137:$M$138)*'Summary of area'!$E$38*Sheet1!B44,0)</f>
        <v>0</v>
      </c>
      <c r="U44">
        <f>IF(A44&gt;=$H$10,SUM('Water levels-Transport (rail)'!$D$139:$M$146)*'Summary of area'!$E$38*B44+SUM('Water levels-Transport (rail)'!$D$165:$M$172)*'Summary of area'!$E$38*B44,0)</f>
        <v>0</v>
      </c>
      <c r="V44">
        <f>IF(A44=$H$10,SUM('Food production'!$D$256:$M$257)*'Summary of area'!$E$39*Sheet1!B44,0)</f>
        <v>0</v>
      </c>
      <c r="W44">
        <f>IF(A44&gt;=$H$10,SUM('Food production'!$D$258:$M$265)*'Summary of area'!$E$39*Sheet1!B44,0)</f>
        <v>0</v>
      </c>
      <c r="X44">
        <f>IF(A44=$H$10,SUM('Energy (direct)'!$D$85:$M$86)*'Summary of area'!$E$40*B44,0)</f>
        <v>0</v>
      </c>
      <c r="Y44">
        <f>IF(A44&gt;=$H$10,SUM('Energy (direct)'!$D$87:$M$94)*'Summary of area'!$E$40*Sheet1!B44,0)</f>
        <v>0</v>
      </c>
      <c r="Z44">
        <f>IF(A44=$H$10,SUM('Energy (indirect)'!$D$158:$M$159)*'Summary of area'!$E$41*Sheet1!B44,0)</f>
        <v>0</v>
      </c>
      <c r="AA44">
        <f>IF(A44&gt;=$H$10,SUM('Energy (indirect)'!$D$160:$M$167)*'Summary of area'!$E$41*B44,0)</f>
        <v>0</v>
      </c>
      <c r="AB44">
        <f>IF(A44=$H$10,SUM('Designated biodiversity sites'!$D$123:$M$124)*'Summary of area'!$E$42*Sheet1!B44+'Biodiversity - non-designated'!O108*'Summary of area'!$E$43*Sheet1!B44,0)</f>
        <v>0</v>
      </c>
      <c r="AC44">
        <f>IF(A44&gt;=$H$10,SUM('Designated biodiversity sites'!$D$125:$M$132)*'Summary of area'!$E$42*Sheet1!B44+'Biodiversity - non-designated'!O108*'Summary of area'!$E$43*Sheet1!B44,0)</f>
        <v>0</v>
      </c>
      <c r="AD44">
        <f>IF(A44=$H$10,SUM('Water supply'!$D$144:$M$145)*'Summary of area'!$E$44*Sheet1!B44,0)</f>
        <v>0</v>
      </c>
      <c r="AE44">
        <f>IF(A44&gt;=$H$10,SUM('Water supply'!$D$146:$M$153)*'Summary of area'!$E$44*B44,0)</f>
        <v>0</v>
      </c>
      <c r="AF44">
        <f>IF(A44=$H$10,SUM(Heritage!$D$221:$M$222)*'Summary of area'!$E$46*B44,0)</f>
        <v>0</v>
      </c>
      <c r="AG44">
        <f>IF(A44&gt;=$H$10,SUM(Heritage!$D$223:$M$230)*'Summary of area'!$E$46*Sheet1!B44,0)</f>
        <v>0</v>
      </c>
      <c r="AH44">
        <f>IF(A44=$H$10,SUM('Recreation and tourism'!$D$109:$M$110)*'Summary of area'!$E$45*Sheet1!B44,0)</f>
        <v>0</v>
      </c>
      <c r="AI44">
        <f>IF(A44&gt;=$H$10,SUM('Recreation and tourism'!$D$111:$M$118)*'Summary of area'!$E$45*Sheet1!B44,0)</f>
        <v>0</v>
      </c>
    </row>
    <row r="45" spans="1:35" ht="15.75" thickBot="1">
      <c r="A45" s="134">
        <f t="shared" si="1"/>
        <v>30</v>
      </c>
      <c r="B45" s="108">
        <f t="shared" si="2"/>
        <v>0.3562784106023024</v>
      </c>
      <c r="C45" s="137">
        <f>SUM($B$15:B45)</f>
        <v>19.39204541136283</v>
      </c>
      <c r="D45" s="136"/>
      <c r="G45">
        <f>IF(A45&gt;=$H$10,Carbon!$F$33*'Summary of area'!$E$31*B45,0)</f>
        <v>0</v>
      </c>
      <c r="H45">
        <f>IF(A45=$H$10,SUM('Water levels-Residential'!$D$53:$M$54)*'Summary of area'!$E$32*B45,0)</f>
        <v>0</v>
      </c>
      <c r="I45">
        <f>IF(A45&gt;=$H$10,SUM('Water levels-Residential'!$D$55:$M$62)*'Summary of area'!$E$32*B45,0)</f>
        <v>0</v>
      </c>
      <c r="J45">
        <f>IF(A45=$H$10,SUM('Water levels-Business'!$D$87:$M$88)*'Summary of area'!$E$33*B45,0)</f>
        <v>0</v>
      </c>
      <c r="K45">
        <f>IF(A45&gt;=$H$10,SUM('Water levels-Business'!$D$89:$M$96)*'Summary of area'!$E$33*B45,0)</f>
        <v>0</v>
      </c>
      <c r="L45">
        <f>IF(A45=$H$10,SUM('Water levels-Social Infra'!$D$169:$M$170)*'Summary of area'!$E$34*B45,0)</f>
        <v>0</v>
      </c>
      <c r="M45">
        <f>IF(A45&gt;=$H$10,SUM('Water levels-Social Infra'!$D$171:$M$178)*'Summary of area'!$E$34*B45,0)</f>
        <v>0</v>
      </c>
      <c r="N45">
        <f>IF(A45=$H$10,SUM('Water levels-Emergency'!$D$152:$M$153)*'Summary of area'!$E$35*B45,0)</f>
        <v>0</v>
      </c>
      <c r="O45">
        <f>IF(A45&gt;=$H$10,SUM('Water levels-Emergency'!$D$154:$M$161)*'Summary of area'!$E$35*B45,0)</f>
        <v>0</v>
      </c>
      <c r="P45">
        <f>IF(A45=$H$10,SUM('Water levels-Utilities'!$D$189:$M$190)*'Summary of area'!$E$36*B45,0)</f>
        <v>0</v>
      </c>
      <c r="Q45">
        <f>IF(A45&gt;=$H$10,SUM('Water levels-Utilities'!$D$191:$M$198)*'Summary of area'!$E$36*B45,0)</f>
        <v>0</v>
      </c>
      <c r="R45">
        <f>IF(A45=$H$10,SUM('Water levels-Transport (road)'!$D$160:$M$161)*'Summary of area'!$E$37*B45,0)</f>
        <v>0</v>
      </c>
      <c r="S45">
        <f>IF(A45&gt;=$H$10,SUM('Water levels-Transport (road)'!$D$162:$M$169)*'Summary of area'!$E$37*B45+SUM('Water levels-Transport (road)'!$D$215:$M$222)*'Summary of area'!$E$37*B45,0)</f>
        <v>0</v>
      </c>
      <c r="T45">
        <f>IF(A45=$H$10,SUM('Water levels-Transport (rail)'!$D$137:$M$138)*'Summary of area'!$E$38*Sheet1!B45,0)</f>
        <v>0</v>
      </c>
      <c r="U45">
        <f>IF(A45&gt;=$H$10,SUM('Water levels-Transport (rail)'!$D$139:$M$146)*'Summary of area'!$E$38*B45+SUM('Water levels-Transport (rail)'!$D$165:$M$172)*'Summary of area'!$E$38*B45,0)</f>
        <v>0</v>
      </c>
      <c r="V45">
        <f>IF(A45=$H$10,SUM('Food production'!$D$256:$M$257)*'Summary of area'!$E$39*Sheet1!B45,0)</f>
        <v>0</v>
      </c>
      <c r="W45">
        <f>IF(A45&gt;=$H$10,SUM('Food production'!$D$258:$M$265)*'Summary of area'!$E$39*Sheet1!B45,0)</f>
        <v>0</v>
      </c>
      <c r="X45">
        <f>IF(A45=$H$10,SUM('Energy (direct)'!$D$85:$M$86)*'Summary of area'!$E$40*B45,0)</f>
        <v>0</v>
      </c>
      <c r="Y45">
        <f>IF(A45&gt;=$H$10,SUM('Energy (direct)'!$D$87:$M$94)*'Summary of area'!$E$40*Sheet1!B45,0)</f>
        <v>0</v>
      </c>
      <c r="Z45">
        <f>IF(A45=$H$10,SUM('Energy (indirect)'!$D$158:$M$159)*'Summary of area'!$E$41*Sheet1!B45,0)</f>
        <v>0</v>
      </c>
      <c r="AA45">
        <f>IF(A45&gt;=$H$10,SUM('Energy (indirect)'!$D$160:$M$167)*'Summary of area'!$E$41*B45,0)</f>
        <v>0</v>
      </c>
      <c r="AB45">
        <f>IF(A45=$H$10,SUM('Designated biodiversity sites'!$D$123:$M$124)*'Summary of area'!$E$42*Sheet1!B45+'Biodiversity - non-designated'!O109*'Summary of area'!$E$43*Sheet1!B45,0)</f>
        <v>0</v>
      </c>
      <c r="AC45">
        <f>IF(A45&gt;=$H$10,SUM('Designated biodiversity sites'!$D$125:$M$132)*'Summary of area'!$E$42*Sheet1!B45+'Biodiversity - non-designated'!O109*'Summary of area'!$E$43*Sheet1!B45,0)</f>
        <v>0</v>
      </c>
      <c r="AD45">
        <f>IF(A45=$H$10,SUM('Water supply'!$D$144:$M$145)*'Summary of area'!$E$44*Sheet1!B45,0)</f>
        <v>0</v>
      </c>
      <c r="AE45">
        <f>IF(A45&gt;=$H$10,SUM('Water supply'!$D$146:$M$153)*'Summary of area'!$E$44*B45,0)</f>
        <v>0</v>
      </c>
      <c r="AF45">
        <f>IF(A45=$H$10,SUM(Heritage!$D$221:$M$222)*'Summary of area'!$E$46*B45,0)</f>
        <v>0</v>
      </c>
      <c r="AG45">
        <f>IF(A45&gt;=$H$10,SUM(Heritage!$D$223:$M$230)*'Summary of area'!$E$46*Sheet1!B45,0)</f>
        <v>0</v>
      </c>
      <c r="AH45">
        <f>IF(A45=$H$10,SUM('Recreation and tourism'!$D$109:$M$110)*'Summary of area'!$E$45*Sheet1!B45,0)</f>
        <v>0</v>
      </c>
      <c r="AI45">
        <f>IF(A45&gt;=$H$10,SUM('Recreation and tourism'!$D$111:$M$118)*'Summary of area'!$E$45*Sheet1!B45,0)</f>
        <v>0</v>
      </c>
    </row>
    <row r="46" spans="1:35" ht="15.75" thickBot="1">
      <c r="A46" s="134">
        <f t="shared" si="1"/>
        <v>31</v>
      </c>
      <c r="B46" s="108">
        <f>B45/(1+$D$9-0.5%)</f>
        <v>0.34590136951679845</v>
      </c>
      <c r="C46" s="137">
        <f>SUM($B$15:B46)</f>
        <v>19.73794678087963</v>
      </c>
      <c r="D46" s="136"/>
      <c r="G46">
        <f>IF(A46&gt;=$H$10,Carbon!$F$33*'Summary of area'!$E$31*B46,0)</f>
        <v>0</v>
      </c>
      <c r="H46">
        <f>IF(A46=$H$10,SUM('Water levels-Residential'!$D$53:$M$54)*'Summary of area'!$E$32*B46,0)</f>
        <v>0</v>
      </c>
      <c r="I46">
        <f>IF(A46&gt;=$H$10,SUM('Water levels-Residential'!$D$55:$M$62)*'Summary of area'!$E$32*B46,0)</f>
        <v>0</v>
      </c>
      <c r="J46">
        <f>IF(A46=$H$10,SUM('Water levels-Business'!$D$87:$M$88)*'Summary of area'!$E$33*B46,0)</f>
        <v>0</v>
      </c>
      <c r="K46">
        <f>IF(A46&gt;=$H$10,SUM('Water levels-Business'!$D$89:$M$96)*'Summary of area'!$E$33*B46,0)</f>
        <v>0</v>
      </c>
      <c r="L46">
        <f>IF(A46=$H$10,SUM('Water levels-Social Infra'!$D$169:$M$170)*'Summary of area'!$E$34*B46,0)</f>
        <v>0</v>
      </c>
      <c r="M46">
        <f>IF(A46&gt;=$H$10,SUM('Water levels-Social Infra'!$D$171:$M$178)*'Summary of area'!$E$34*B46,0)</f>
        <v>0</v>
      </c>
      <c r="N46">
        <f>IF(A46=$H$10,SUM('Water levels-Emergency'!$D$152:$M$153)*'Summary of area'!$E$35*B46,0)</f>
        <v>0</v>
      </c>
      <c r="O46">
        <f>IF(A46&gt;=$H$10,SUM('Water levels-Emergency'!$D$154:$M$161)*'Summary of area'!$E$35*B46,0)</f>
        <v>0</v>
      </c>
      <c r="P46">
        <f>IF(A46=$H$10,SUM('Water levels-Utilities'!$D$189:$M$190)*'Summary of area'!$E$36*B46,0)</f>
        <v>0</v>
      </c>
      <c r="Q46">
        <f>IF(A46&gt;=$H$10,SUM('Water levels-Utilities'!$D$191:$M$198)*'Summary of area'!$E$36*B46,0)</f>
        <v>0</v>
      </c>
      <c r="R46">
        <f>IF(A46=$H$10,SUM('Water levels-Transport (road)'!$D$160:$M$161)*'Summary of area'!$E$37*B46,0)</f>
        <v>0</v>
      </c>
      <c r="S46">
        <f>IF(A46&gt;=$H$10,SUM('Water levels-Transport (road)'!$D$162:$M$169)*'Summary of area'!$E$37*B46+SUM('Water levels-Transport (road)'!$D$215:$M$222)*'Summary of area'!$E$37*B46,0)</f>
        <v>0</v>
      </c>
      <c r="T46">
        <f>IF(A46=$H$10,SUM('Water levels-Transport (rail)'!$D$137:$M$138)*'Summary of area'!$E$38*Sheet1!B46,0)</f>
        <v>0</v>
      </c>
      <c r="U46">
        <f>IF(A46&gt;=$H$10,SUM('Water levels-Transport (rail)'!$D$139:$M$146)*'Summary of area'!$E$38*B46+SUM('Water levels-Transport (rail)'!$D$165:$M$172)*'Summary of area'!$E$38*B46,0)</f>
        <v>0</v>
      </c>
      <c r="V46">
        <f>IF(A46=$H$10,SUM('Food production'!$D$256:$M$257)*'Summary of area'!$E$39*Sheet1!B46,0)</f>
        <v>0</v>
      </c>
      <c r="W46">
        <f>IF(A46&gt;=$H$10,SUM('Food production'!$D$258:$M$265)*'Summary of area'!$E$39*Sheet1!B46,0)</f>
        <v>0</v>
      </c>
      <c r="X46">
        <f>IF(A46=$H$10,SUM('Energy (direct)'!$D$85:$M$86)*'Summary of area'!$E$40*B46,0)</f>
        <v>0</v>
      </c>
      <c r="Y46">
        <f>IF(A46&gt;=$H$10,SUM('Energy (direct)'!$D$87:$M$94)*'Summary of area'!$E$40*Sheet1!B46,0)</f>
        <v>0</v>
      </c>
      <c r="Z46">
        <f>IF(A46=$H$10,SUM('Energy (indirect)'!$D$158:$M$159)*'Summary of area'!$E$41*Sheet1!B46,0)</f>
        <v>0</v>
      </c>
      <c r="AA46">
        <f>IF(A46&gt;=$H$10,SUM('Energy (indirect)'!$D$160:$M$167)*'Summary of area'!$E$41*B46,0)</f>
        <v>0</v>
      </c>
      <c r="AB46">
        <f>IF(A46=$H$10,SUM('Designated biodiversity sites'!$D$123:$M$124)*'Summary of area'!$E$42*Sheet1!B46+'Biodiversity - non-designated'!O110*'Summary of area'!$E$43*Sheet1!B46,0)</f>
        <v>0</v>
      </c>
      <c r="AC46">
        <f>IF(A46&gt;=$H$10,SUM('Designated biodiversity sites'!$D$125:$M$132)*'Summary of area'!$E$42*Sheet1!B46+'Biodiversity - non-designated'!O110*'Summary of area'!$E$43*Sheet1!B46,0)</f>
        <v>0</v>
      </c>
      <c r="AD46">
        <f>IF(A46=$H$10,SUM('Water supply'!$D$144:$M$145)*'Summary of area'!$E$44*Sheet1!B46,0)</f>
        <v>0</v>
      </c>
      <c r="AE46">
        <f>IF(A46&gt;=$H$10,SUM('Water supply'!$D$146:$M$153)*'Summary of area'!$E$44*B46,0)</f>
        <v>0</v>
      </c>
      <c r="AF46">
        <f>IF(A46=$H$10,SUM(Heritage!$D$221:$M$222)*'Summary of area'!$E$46*B46,0)</f>
        <v>0</v>
      </c>
      <c r="AG46">
        <f>IF(A46&gt;=$H$10,SUM(Heritage!$D$223:$M$230)*'Summary of area'!$E$46*Sheet1!B46,0)</f>
        <v>0</v>
      </c>
      <c r="AH46">
        <f>IF(A46=$H$10,SUM('Recreation and tourism'!$D$109:$M$110)*'Summary of area'!$E$45*Sheet1!B46,0)</f>
        <v>0</v>
      </c>
      <c r="AI46">
        <f>IF(A46&gt;=$H$10,SUM('Recreation and tourism'!$D$111:$M$118)*'Summary of area'!$E$45*Sheet1!B46,0)</f>
        <v>0</v>
      </c>
    </row>
    <row r="47" spans="1:35" ht="15.75" thickBot="1">
      <c r="A47" s="134">
        <f t="shared" si="1"/>
        <v>32</v>
      </c>
      <c r="B47" s="108">
        <f>B46/(1+$D$9-0.5%)</f>
        <v>0.3358265723464063</v>
      </c>
      <c r="C47" s="137">
        <f>SUM($B$15:B47)</f>
        <v>20.073773353226034</v>
      </c>
      <c r="D47" s="136"/>
      <c r="G47">
        <f>IF(A47&gt;=$H$10,Carbon!$F$33*'Summary of area'!$E$31*B47,0)</f>
        <v>0</v>
      </c>
      <c r="H47">
        <f>IF(A47=$H$10,SUM('Water levels-Residential'!$D$53:$M$54)*'Summary of area'!$E$32*B47,0)</f>
        <v>0</v>
      </c>
      <c r="I47">
        <f>IF(A47&gt;=$H$10,SUM('Water levels-Residential'!$D$55:$M$62)*'Summary of area'!$E$32*B47,0)</f>
        <v>0</v>
      </c>
      <c r="J47">
        <f>IF(A47=$H$10,SUM('Water levels-Business'!$D$87:$M$88)*'Summary of area'!$E$33*B47,0)</f>
        <v>0</v>
      </c>
      <c r="K47">
        <f>IF(A47&gt;=$H$10,SUM('Water levels-Business'!$D$89:$M$96)*'Summary of area'!$E$33*B47,0)</f>
        <v>0</v>
      </c>
      <c r="L47">
        <f>IF(A47=$H$10,SUM('Water levels-Social Infra'!$D$169:$M$170)*'Summary of area'!$E$34*B47,0)</f>
        <v>0</v>
      </c>
      <c r="M47">
        <f>IF(A47&gt;=$H$10,SUM('Water levels-Social Infra'!$D$171:$M$178)*'Summary of area'!$E$34*B47,0)</f>
        <v>0</v>
      </c>
      <c r="N47">
        <f>IF(A47=$H$10,SUM('Water levels-Emergency'!$D$152:$M$153)*'Summary of area'!$E$35*B47,0)</f>
        <v>0</v>
      </c>
      <c r="O47">
        <f>IF(A47&gt;=$H$10,SUM('Water levels-Emergency'!$D$154:$M$161)*'Summary of area'!$E$35*B47,0)</f>
        <v>0</v>
      </c>
      <c r="P47">
        <f>IF(A47=$H$10,SUM('Water levels-Utilities'!$D$189:$M$190)*'Summary of area'!$E$36*B47,0)</f>
        <v>0</v>
      </c>
      <c r="Q47">
        <f>IF(A47&gt;=$H$10,SUM('Water levels-Utilities'!$D$191:$M$198)*'Summary of area'!$E$36*B47,0)</f>
        <v>0</v>
      </c>
      <c r="R47">
        <f>IF(A47=$H$10,SUM('Water levels-Transport (road)'!$D$160:$M$161)*'Summary of area'!$E$37*B47,0)</f>
        <v>0</v>
      </c>
      <c r="S47">
        <f>IF(A47&gt;=$H$10,SUM('Water levels-Transport (road)'!$D$162:$M$169)*'Summary of area'!$E$37*B47+SUM('Water levels-Transport (road)'!$D$215:$M$222)*'Summary of area'!$E$37*B47,0)</f>
        <v>0</v>
      </c>
      <c r="T47">
        <f>IF(A47=$H$10,SUM('Water levels-Transport (rail)'!$D$137:$M$138)*'Summary of area'!$E$38*Sheet1!B47,0)</f>
        <v>0</v>
      </c>
      <c r="U47">
        <f>IF(A47&gt;=$H$10,SUM('Water levels-Transport (rail)'!$D$139:$M$146)*'Summary of area'!$E$38*B47+SUM('Water levels-Transport (rail)'!$D$165:$M$172)*'Summary of area'!$E$38*B47,0)</f>
        <v>0</v>
      </c>
      <c r="V47">
        <f>IF(A47=$H$10,SUM('Food production'!$D$256:$M$257)*'Summary of area'!$E$39*Sheet1!B47,0)</f>
        <v>0</v>
      </c>
      <c r="W47">
        <f>IF(A47&gt;=$H$10,SUM('Food production'!$D$258:$M$265)*'Summary of area'!$E$39*Sheet1!B47,0)</f>
        <v>0</v>
      </c>
      <c r="X47">
        <f>IF(A47=$H$10,SUM('Energy (direct)'!$D$85:$M$86)*'Summary of area'!$E$40*B47,0)</f>
        <v>0</v>
      </c>
      <c r="Y47">
        <f>IF(A47&gt;=$H$10,SUM('Energy (direct)'!$D$87:$M$94)*'Summary of area'!$E$40*Sheet1!B47,0)</f>
        <v>0</v>
      </c>
      <c r="Z47">
        <f>IF(A47=$H$10,SUM('Energy (indirect)'!$D$158:$M$159)*'Summary of area'!$E$41*Sheet1!B47,0)</f>
        <v>0</v>
      </c>
      <c r="AA47">
        <f>IF(A47&gt;=$H$10,SUM('Energy (indirect)'!$D$160:$M$167)*'Summary of area'!$E$41*B47,0)</f>
        <v>0</v>
      </c>
      <c r="AB47">
        <f>IF(A47=$H$10,SUM('Designated biodiversity sites'!$D$123:$M$124)*'Summary of area'!$E$42*Sheet1!B47+'Biodiversity - non-designated'!O111*'Summary of area'!$E$43*Sheet1!B47,0)</f>
        <v>0</v>
      </c>
      <c r="AC47">
        <f>IF(A47&gt;=$H$10,SUM('Designated biodiversity sites'!$D$125:$M$132)*'Summary of area'!$E$42*Sheet1!B47+'Biodiversity - non-designated'!O111*'Summary of area'!$E$43*Sheet1!B47,0)</f>
        <v>0</v>
      </c>
      <c r="AD47">
        <f>IF(A47=$H$10,SUM('Water supply'!$D$144:$M$145)*'Summary of area'!$E$44*Sheet1!B47,0)</f>
        <v>0</v>
      </c>
      <c r="AE47">
        <f>IF(A47&gt;=$H$10,SUM('Water supply'!$D$146:$M$153)*'Summary of area'!$E$44*B47,0)</f>
        <v>0</v>
      </c>
      <c r="AF47">
        <f>IF(A47=$H$10,SUM(Heritage!$D$221:$M$222)*'Summary of area'!$E$46*B47,0)</f>
        <v>0</v>
      </c>
      <c r="AG47">
        <f>IF(A47&gt;=$H$10,SUM(Heritage!$D$223:$M$230)*'Summary of area'!$E$46*Sheet1!B47,0)</f>
        <v>0</v>
      </c>
      <c r="AH47">
        <f>IF(A47=$H$10,SUM('Recreation and tourism'!$D$109:$M$110)*'Summary of area'!$E$45*Sheet1!B47,0)</f>
        <v>0</v>
      </c>
      <c r="AI47">
        <f>IF(A47&gt;=$H$10,SUM('Recreation and tourism'!$D$111:$M$118)*'Summary of area'!$E$45*Sheet1!B47,0)</f>
        <v>0</v>
      </c>
    </row>
    <row r="48" spans="1:35" ht="15.75" thickBot="1">
      <c r="A48" s="134">
        <f t="shared" si="1"/>
        <v>33</v>
      </c>
      <c r="B48" s="108">
        <f aca="true" t="shared" si="3" ref="B48:B90">B47/(1+$D$9-0.5%)</f>
        <v>0.32604521587029733</v>
      </c>
      <c r="C48" s="137">
        <f>SUM($B$15:B48)</f>
        <v>20.399818569096333</v>
      </c>
      <c r="D48" s="136"/>
      <c r="G48">
        <f>IF(A48&gt;=$H$10,Carbon!$F$33*'Summary of area'!$E$31*B48,0)</f>
        <v>0</v>
      </c>
      <c r="H48">
        <f>IF(A48=$H$10,SUM('Water levels-Residential'!$D$53:$M$54)*'Summary of area'!$E$32*B48,0)</f>
        <v>0</v>
      </c>
      <c r="I48">
        <f>IF(A48&gt;=$H$10,SUM('Water levels-Residential'!$D$55:$M$62)*'Summary of area'!$E$32*B48,0)</f>
        <v>0</v>
      </c>
      <c r="J48">
        <f>IF(A48=$H$10,SUM('Water levels-Business'!$D$87:$M$88)*'Summary of area'!$E$33*B48,0)</f>
        <v>0</v>
      </c>
      <c r="K48">
        <f>IF(A48&gt;=$H$10,SUM('Water levels-Business'!$D$89:$M$96)*'Summary of area'!$E$33*B48,0)</f>
        <v>0</v>
      </c>
      <c r="L48">
        <f>IF(A48=$H$10,SUM('Water levels-Social Infra'!$D$169:$M$170)*'Summary of area'!$E$34*B48,0)</f>
        <v>0</v>
      </c>
      <c r="M48">
        <f>IF(A48&gt;=$H$10,SUM('Water levels-Social Infra'!$D$171:$M$178)*'Summary of area'!$E$34*B48,0)</f>
        <v>0</v>
      </c>
      <c r="N48">
        <f>IF(A48=$H$10,SUM('Water levels-Emergency'!$D$152:$M$153)*'Summary of area'!$E$35*B48,0)</f>
        <v>0</v>
      </c>
      <c r="O48">
        <f>IF(A48&gt;=$H$10,SUM('Water levels-Emergency'!$D$154:$M$161)*'Summary of area'!$E$35*B48,0)</f>
        <v>0</v>
      </c>
      <c r="P48">
        <f>IF(A48=$H$10,SUM('Water levels-Utilities'!$D$189:$M$190)*'Summary of area'!$E$36*B48,0)</f>
        <v>0</v>
      </c>
      <c r="Q48">
        <f>IF(A48&gt;=$H$10,SUM('Water levels-Utilities'!$D$191:$M$198)*'Summary of area'!$E$36*B48,0)</f>
        <v>0</v>
      </c>
      <c r="R48">
        <f>IF(A48=$H$10,SUM('Water levels-Transport (road)'!$D$160:$M$161)*'Summary of area'!$E$37*B48,0)</f>
        <v>0</v>
      </c>
      <c r="S48">
        <f>IF(A48&gt;=$H$10,SUM('Water levels-Transport (road)'!$D$162:$M$169)*'Summary of area'!$E$37*B48+SUM('Water levels-Transport (road)'!$D$215:$M$222)*'Summary of area'!$E$37*B48,0)</f>
        <v>0</v>
      </c>
      <c r="T48">
        <f>IF(A48=$H$10,SUM('Water levels-Transport (rail)'!$D$137:$M$138)*'Summary of area'!$E$38*Sheet1!B48,0)</f>
        <v>0</v>
      </c>
      <c r="U48">
        <f>IF(A48&gt;=$H$10,SUM('Water levels-Transport (rail)'!$D$139:$M$146)*'Summary of area'!$E$38*B48+SUM('Water levels-Transport (rail)'!$D$165:$M$172)*'Summary of area'!$E$38*B48,0)</f>
        <v>0</v>
      </c>
      <c r="V48">
        <f>IF(A48=$H$10,SUM('Food production'!$D$256:$M$257)*'Summary of area'!$E$39*Sheet1!B48,0)</f>
        <v>0</v>
      </c>
      <c r="W48">
        <f>IF(A48&gt;=$H$10,SUM('Food production'!$D$258:$M$265)*'Summary of area'!$E$39*Sheet1!B48,0)</f>
        <v>0</v>
      </c>
      <c r="X48">
        <f>IF(A48=$H$10,SUM('Energy (direct)'!$D$85:$M$86)*'Summary of area'!$E$40*B48,0)</f>
        <v>0</v>
      </c>
      <c r="Y48">
        <f>IF(A48&gt;=$H$10,SUM('Energy (direct)'!$D$87:$M$94)*'Summary of area'!$E$40*Sheet1!B48,0)</f>
        <v>0</v>
      </c>
      <c r="Z48">
        <f>IF(A48=$H$10,SUM('Energy (indirect)'!$D$158:$M$159)*'Summary of area'!$E$41*Sheet1!B48,0)</f>
        <v>0</v>
      </c>
      <c r="AA48">
        <f>IF(A48&gt;=$H$10,SUM('Energy (indirect)'!$D$160:$M$167)*'Summary of area'!$E$41*B48,0)</f>
        <v>0</v>
      </c>
      <c r="AB48">
        <f>IF(A48=$H$10,SUM('Designated biodiversity sites'!$D$123:$M$124)*'Summary of area'!$E$42*Sheet1!B48+'Biodiversity - non-designated'!O112*'Summary of area'!$E$43*Sheet1!B48,0)</f>
        <v>0</v>
      </c>
      <c r="AC48">
        <f>IF(A48&gt;=$H$10,SUM('Designated biodiversity sites'!$D$125:$M$132)*'Summary of area'!$E$42*Sheet1!B48+'Biodiversity - non-designated'!O112*'Summary of area'!$E$43*Sheet1!B48,0)</f>
        <v>0</v>
      </c>
      <c r="AD48">
        <f>IF(A48=$H$10,SUM('Water supply'!$D$144:$M$145)*'Summary of area'!$E$44*Sheet1!B48,0)</f>
        <v>0</v>
      </c>
      <c r="AE48">
        <f>IF(A48&gt;=$H$10,SUM('Water supply'!$D$146:$M$153)*'Summary of area'!$E$44*B48,0)</f>
        <v>0</v>
      </c>
      <c r="AF48">
        <f>IF(A48=$H$10,SUM(Heritage!$D$221:$M$222)*'Summary of area'!$E$46*B48,0)</f>
        <v>0</v>
      </c>
      <c r="AG48">
        <f>IF(A48&gt;=$H$10,SUM(Heritage!$D$223:$M$230)*'Summary of area'!$E$46*Sheet1!B48,0)</f>
        <v>0</v>
      </c>
      <c r="AH48">
        <f>IF(A48=$H$10,SUM('Recreation and tourism'!$D$109:$M$110)*'Summary of area'!$E$45*Sheet1!B48,0)</f>
        <v>0</v>
      </c>
      <c r="AI48">
        <f>IF(A48&gt;=$H$10,SUM('Recreation and tourism'!$D$111:$M$118)*'Summary of area'!$E$45*Sheet1!B48,0)</f>
        <v>0</v>
      </c>
    </row>
    <row r="49" spans="1:35" ht="15.75" thickBot="1">
      <c r="A49" s="134">
        <f t="shared" si="1"/>
        <v>34</v>
      </c>
      <c r="B49" s="108">
        <f t="shared" si="3"/>
        <v>0.31654875327213333</v>
      </c>
      <c r="C49" s="137">
        <f>SUM($B$15:B49)</f>
        <v>20.716367322368466</v>
      </c>
      <c r="D49" s="136"/>
      <c r="G49">
        <f>IF(A49&gt;=$H$10,Carbon!$F$33*'Summary of area'!$E$31*B49,0)</f>
        <v>0</v>
      </c>
      <c r="H49">
        <f>IF(A49=$H$10,SUM('Water levels-Residential'!$D$53:$M$54)*'Summary of area'!$E$32*B49,0)</f>
        <v>0</v>
      </c>
      <c r="I49">
        <f>IF(A49&gt;=$H$10,SUM('Water levels-Residential'!$D$55:$M$62)*'Summary of area'!$E$32*B49,0)</f>
        <v>0</v>
      </c>
      <c r="J49">
        <f>IF(A49=$H$10,SUM('Water levels-Business'!$D$87:$M$88)*'Summary of area'!$E$33*B49,0)</f>
        <v>0</v>
      </c>
      <c r="K49">
        <f>IF(A49&gt;=$H$10,SUM('Water levels-Business'!$D$89:$M$96)*'Summary of area'!$E$33*B49,0)</f>
        <v>0</v>
      </c>
      <c r="L49">
        <f>IF(A49=$H$10,SUM('Water levels-Social Infra'!$D$169:$M$170)*'Summary of area'!$E$34*B49,0)</f>
        <v>0</v>
      </c>
      <c r="M49">
        <f>IF(A49&gt;=$H$10,SUM('Water levels-Social Infra'!$D$171:$M$178)*'Summary of area'!$E$34*B49,0)</f>
        <v>0</v>
      </c>
      <c r="N49">
        <f>IF(A49=$H$10,SUM('Water levels-Emergency'!$D$152:$M$153)*'Summary of area'!$E$35*B49,0)</f>
        <v>0</v>
      </c>
      <c r="O49">
        <f>IF(A49&gt;=$H$10,SUM('Water levels-Emergency'!$D$154:$M$161)*'Summary of area'!$E$35*B49,0)</f>
        <v>0</v>
      </c>
      <c r="P49">
        <f>IF(A49=$H$10,SUM('Water levels-Utilities'!$D$189:$M$190)*'Summary of area'!$E$36*B49,0)</f>
        <v>0</v>
      </c>
      <c r="Q49">
        <f>IF(A49&gt;=$H$10,SUM('Water levels-Utilities'!$D$191:$M$198)*'Summary of area'!$E$36*B49,0)</f>
        <v>0</v>
      </c>
      <c r="R49">
        <f>IF(A49=$H$10,SUM('Water levels-Transport (road)'!$D$160:$M$161)*'Summary of area'!$E$37*B49,0)</f>
        <v>0</v>
      </c>
      <c r="S49">
        <f>IF(A49&gt;=$H$10,SUM('Water levels-Transport (road)'!$D$162:$M$169)*'Summary of area'!$E$37*B49+SUM('Water levels-Transport (road)'!$D$215:$M$222)*'Summary of area'!$E$37*B49,0)</f>
        <v>0</v>
      </c>
      <c r="T49">
        <f>IF(A49=$H$10,SUM('Water levels-Transport (rail)'!$D$137:$M$138)*'Summary of area'!$E$38*Sheet1!B49,0)</f>
        <v>0</v>
      </c>
      <c r="U49">
        <f>IF(A49&gt;=$H$10,SUM('Water levels-Transport (rail)'!$D$139:$M$146)*'Summary of area'!$E$38*B49+SUM('Water levels-Transport (rail)'!$D$165:$M$172)*'Summary of area'!$E$38*B49,0)</f>
        <v>0</v>
      </c>
      <c r="V49">
        <f>IF(A49=$H$10,SUM('Food production'!$D$256:$M$257)*'Summary of area'!$E$39*Sheet1!B49,0)</f>
        <v>0</v>
      </c>
      <c r="W49">
        <f>IF(A49&gt;=$H$10,SUM('Food production'!$D$258:$M$265)*'Summary of area'!$E$39*Sheet1!B49,0)</f>
        <v>0</v>
      </c>
      <c r="X49">
        <f>IF(A49=$H$10,SUM('Energy (direct)'!$D$85:$M$86)*'Summary of area'!$E$40*B49,0)</f>
        <v>0</v>
      </c>
      <c r="Y49">
        <f>IF(A49&gt;=$H$10,SUM('Energy (direct)'!$D$87:$M$94)*'Summary of area'!$E$40*Sheet1!B49,0)</f>
        <v>0</v>
      </c>
      <c r="Z49">
        <f>IF(A49=$H$10,SUM('Energy (indirect)'!$D$158:$M$159)*'Summary of area'!$E$41*Sheet1!B49,0)</f>
        <v>0</v>
      </c>
      <c r="AA49">
        <f>IF(A49&gt;=$H$10,SUM('Energy (indirect)'!$D$160:$M$167)*'Summary of area'!$E$41*B49,0)</f>
        <v>0</v>
      </c>
      <c r="AB49">
        <f>IF(A49=$H$10,SUM('Designated biodiversity sites'!$D$123:$M$124)*'Summary of area'!$E$42*Sheet1!B49+'Biodiversity - non-designated'!O113*'Summary of area'!$E$43*Sheet1!B49,0)</f>
        <v>0</v>
      </c>
      <c r="AC49">
        <f>IF(A49&gt;=$H$10,SUM('Designated biodiversity sites'!$D$125:$M$132)*'Summary of area'!$E$42*Sheet1!B49+'Biodiversity - non-designated'!O113*'Summary of area'!$E$43*Sheet1!B49,0)</f>
        <v>0</v>
      </c>
      <c r="AD49">
        <f>IF(A49=$H$10,SUM('Water supply'!$D$144:$M$145)*'Summary of area'!$E$44*Sheet1!B49,0)</f>
        <v>0</v>
      </c>
      <c r="AE49">
        <f>IF(A49&gt;=$H$10,SUM('Water supply'!$D$146:$M$153)*'Summary of area'!$E$44*B49,0)</f>
        <v>0</v>
      </c>
      <c r="AF49">
        <f>IF(A49=$H$10,SUM(Heritage!$D$221:$M$222)*'Summary of area'!$E$46*B49,0)</f>
        <v>0</v>
      </c>
      <c r="AG49">
        <f>IF(A49&gt;=$H$10,SUM(Heritage!$D$223:$M$230)*'Summary of area'!$E$46*Sheet1!B49,0)</f>
        <v>0</v>
      </c>
      <c r="AH49">
        <f>IF(A49=$H$10,SUM('Recreation and tourism'!$D$109:$M$110)*'Summary of area'!$E$45*Sheet1!B49,0)</f>
        <v>0</v>
      </c>
      <c r="AI49">
        <f>IF(A49&gt;=$H$10,SUM('Recreation and tourism'!$D$111:$M$118)*'Summary of area'!$E$45*Sheet1!B49,0)</f>
        <v>0</v>
      </c>
    </row>
    <row r="50" spans="1:35" ht="15.75" thickBot="1">
      <c r="A50" s="134">
        <f t="shared" si="1"/>
        <v>35</v>
      </c>
      <c r="B50" s="108">
        <f t="shared" si="3"/>
        <v>0.3073288866719741</v>
      </c>
      <c r="C50" s="137">
        <f>SUM($B$15:B50)</f>
        <v>21.02369620904044</v>
      </c>
      <c r="D50" s="136"/>
      <c r="G50">
        <f>IF(A50&gt;=$H$10,Carbon!$F$33*'Summary of area'!$E$31*B50,0)</f>
        <v>0</v>
      </c>
      <c r="H50">
        <f>IF(A50=$H$10,SUM('Water levels-Residential'!$D$53:$M$54)*'Summary of area'!$E$32*B50,0)</f>
        <v>0</v>
      </c>
      <c r="I50">
        <f>IF(A50&gt;=$H$10,SUM('Water levels-Residential'!$D$55:$M$62)*'Summary of area'!$E$32*B50,0)</f>
        <v>0</v>
      </c>
      <c r="J50">
        <f>IF(A50=$H$10,SUM('Water levels-Business'!$D$87:$M$88)*'Summary of area'!$E$33*B50,0)</f>
        <v>0</v>
      </c>
      <c r="K50">
        <f>IF(A50&gt;=$H$10,SUM('Water levels-Business'!$D$89:$M$96)*'Summary of area'!$E$33*B50,0)</f>
        <v>0</v>
      </c>
      <c r="L50">
        <f>IF(A50=$H$10,SUM('Water levels-Social Infra'!$D$169:$M$170)*'Summary of area'!$E$34*B50,0)</f>
        <v>0</v>
      </c>
      <c r="M50">
        <f>IF(A50&gt;=$H$10,SUM('Water levels-Social Infra'!$D$171:$M$178)*'Summary of area'!$E$34*B50,0)</f>
        <v>0</v>
      </c>
      <c r="N50">
        <f>IF(A50=$H$10,SUM('Water levels-Emergency'!$D$152:$M$153)*'Summary of area'!$E$35*B50,0)</f>
        <v>0</v>
      </c>
      <c r="O50">
        <f>IF(A50&gt;=$H$10,SUM('Water levels-Emergency'!$D$154:$M$161)*'Summary of area'!$E$35*B50,0)</f>
        <v>0</v>
      </c>
      <c r="P50">
        <f>IF(A50=$H$10,SUM('Water levels-Utilities'!$D$189:$M$190)*'Summary of area'!$E$36*B50,0)</f>
        <v>0</v>
      </c>
      <c r="Q50">
        <f>IF(A50&gt;=$H$10,SUM('Water levels-Utilities'!$D$191:$M$198)*'Summary of area'!$E$36*B50,0)</f>
        <v>0</v>
      </c>
      <c r="R50">
        <f>IF(A50=$H$10,SUM('Water levels-Transport (road)'!$D$160:$M$161)*'Summary of area'!$E$37*B50,0)</f>
        <v>0</v>
      </c>
      <c r="S50">
        <f>IF(A50&gt;=$H$10,SUM('Water levels-Transport (road)'!$D$162:$M$169)*'Summary of area'!$E$37*B50+SUM('Water levels-Transport (road)'!$D$215:$M$222)*'Summary of area'!$E$37*B50,0)</f>
        <v>0</v>
      </c>
      <c r="T50">
        <f>IF(A50=$H$10,SUM('Water levels-Transport (rail)'!$D$137:$M$138)*'Summary of area'!$E$38*Sheet1!B50,0)</f>
        <v>0</v>
      </c>
      <c r="U50">
        <f>IF(A50&gt;=$H$10,SUM('Water levels-Transport (rail)'!$D$139:$M$146)*'Summary of area'!$E$38*B50+SUM('Water levels-Transport (rail)'!$D$165:$M$172)*'Summary of area'!$E$38*B50,0)</f>
        <v>0</v>
      </c>
      <c r="V50">
        <f>IF(A50=$H$10,SUM('Food production'!$D$256:$M$257)*'Summary of area'!$E$39*Sheet1!B50,0)</f>
        <v>0</v>
      </c>
      <c r="W50">
        <f>IF(A50&gt;=$H$10,SUM('Food production'!$D$258:$M$265)*'Summary of area'!$E$39*Sheet1!B50,0)</f>
        <v>0</v>
      </c>
      <c r="X50">
        <f>IF(A50=$H$10,SUM('Energy (direct)'!$D$85:$M$86)*'Summary of area'!$E$40*B50,0)</f>
        <v>0</v>
      </c>
      <c r="Y50">
        <f>IF(A50&gt;=$H$10,SUM('Energy (direct)'!$D$87:$M$94)*'Summary of area'!$E$40*Sheet1!B50,0)</f>
        <v>0</v>
      </c>
      <c r="Z50">
        <f>IF(A50=$H$10,SUM('Energy (indirect)'!$D$158:$M$159)*'Summary of area'!$E$41*Sheet1!B50,0)</f>
        <v>0</v>
      </c>
      <c r="AA50">
        <f>IF(A50&gt;=$H$10,SUM('Energy (indirect)'!$D$160:$M$167)*'Summary of area'!$E$41*B50,0)</f>
        <v>0</v>
      </c>
      <c r="AB50">
        <f>IF(A50=$H$10,SUM('Designated biodiversity sites'!$D$123:$M$124)*'Summary of area'!$E$42*Sheet1!B50+'Biodiversity - non-designated'!O114*'Summary of area'!$E$43*Sheet1!B50,0)</f>
        <v>0</v>
      </c>
      <c r="AC50">
        <f>IF(A50&gt;=$H$10,SUM('Designated biodiversity sites'!$D$125:$M$132)*'Summary of area'!$E$42*Sheet1!B50+'Biodiversity - non-designated'!O114*'Summary of area'!$E$43*Sheet1!B50,0)</f>
        <v>0</v>
      </c>
      <c r="AD50">
        <f>IF(A50=$H$10,SUM('Water supply'!$D$144:$M$145)*'Summary of area'!$E$44*Sheet1!B50,0)</f>
        <v>0</v>
      </c>
      <c r="AE50">
        <f>IF(A50&gt;=$H$10,SUM('Water supply'!$D$146:$M$153)*'Summary of area'!$E$44*B50,0)</f>
        <v>0</v>
      </c>
      <c r="AF50">
        <f>IF(A50=$H$10,SUM(Heritage!$D$221:$M$222)*'Summary of area'!$E$46*B50,0)</f>
        <v>0</v>
      </c>
      <c r="AG50">
        <f>IF(A50&gt;=$H$10,SUM(Heritage!$D$223:$M$230)*'Summary of area'!$E$46*Sheet1!B50,0)</f>
        <v>0</v>
      </c>
      <c r="AH50">
        <f>IF(A50=$H$10,SUM('Recreation and tourism'!$D$109:$M$110)*'Summary of area'!$E$45*Sheet1!B50,0)</f>
        <v>0</v>
      </c>
      <c r="AI50">
        <f>IF(A50&gt;=$H$10,SUM('Recreation and tourism'!$D$111:$M$118)*'Summary of area'!$E$45*Sheet1!B50,0)</f>
        <v>0</v>
      </c>
    </row>
    <row r="51" spans="1:35" ht="15.75" thickBot="1">
      <c r="A51" s="134">
        <f t="shared" si="1"/>
        <v>36</v>
      </c>
      <c r="B51" s="108">
        <f t="shared" si="3"/>
        <v>0.298377559875703</v>
      </c>
      <c r="C51" s="137">
        <f>SUM($B$15:B51)</f>
        <v>21.322073768916145</v>
      </c>
      <c r="D51" s="136"/>
      <c r="G51">
        <f>IF(A51&gt;=$H$10,Carbon!$F$33*'Summary of area'!$E$31*B51,0)</f>
        <v>0</v>
      </c>
      <c r="H51">
        <f>IF(A51=$H$10,SUM('Water levels-Residential'!$D$53:$M$54)*'Summary of area'!$E$32*B51,0)</f>
        <v>0</v>
      </c>
      <c r="I51">
        <f>IF(A51&gt;=$H$10,SUM('Water levels-Residential'!$D$55:$M$62)*'Summary of area'!$E$32*B51,0)</f>
        <v>0</v>
      </c>
      <c r="J51">
        <f>IF(A51=$H$10,SUM('Water levels-Business'!$D$87:$M$88)*'Summary of area'!$E$33*B51,0)</f>
        <v>0</v>
      </c>
      <c r="K51">
        <f>IF(A51&gt;=$H$10,SUM('Water levels-Business'!$D$89:$M$96)*'Summary of area'!$E$33*B51,0)</f>
        <v>0</v>
      </c>
      <c r="L51">
        <f>IF(A51=$H$10,SUM('Water levels-Social Infra'!$D$169:$M$170)*'Summary of area'!$E$34*B51,0)</f>
        <v>0</v>
      </c>
      <c r="M51">
        <f>IF(A51&gt;=$H$10,SUM('Water levels-Social Infra'!$D$171:$M$178)*'Summary of area'!$E$34*B51,0)</f>
        <v>0</v>
      </c>
      <c r="N51">
        <f>IF(A51=$H$10,SUM('Water levels-Emergency'!$D$152:$M$153)*'Summary of area'!$E$35*B51,0)</f>
        <v>0</v>
      </c>
      <c r="O51">
        <f>IF(A51&gt;=$H$10,SUM('Water levels-Emergency'!$D$154:$M$161)*'Summary of area'!$E$35*B51,0)</f>
        <v>0</v>
      </c>
      <c r="P51">
        <f>IF(A51=$H$10,SUM('Water levels-Utilities'!$D$189:$M$190)*'Summary of area'!$E$36*B51,0)</f>
        <v>0</v>
      </c>
      <c r="Q51">
        <f>IF(A51&gt;=$H$10,SUM('Water levels-Utilities'!$D$191:$M$198)*'Summary of area'!$E$36*B51,0)</f>
        <v>0</v>
      </c>
      <c r="R51">
        <f>IF(A51=$H$10,SUM('Water levels-Transport (road)'!$D$160:$M$161)*'Summary of area'!$E$37*B51,0)</f>
        <v>0</v>
      </c>
      <c r="S51">
        <f>IF(A51&gt;=$H$10,SUM('Water levels-Transport (road)'!$D$162:$M$169)*'Summary of area'!$E$37*B51+SUM('Water levels-Transport (road)'!$D$215:$M$222)*'Summary of area'!$E$37*B51,0)</f>
        <v>0</v>
      </c>
      <c r="T51">
        <f>IF(A51=$H$10,SUM('Water levels-Transport (rail)'!$D$137:$M$138)*'Summary of area'!$E$38*Sheet1!B51,0)</f>
        <v>0</v>
      </c>
      <c r="U51">
        <f>IF(A51&gt;=$H$10,SUM('Water levels-Transport (rail)'!$D$139:$M$146)*'Summary of area'!$E$38*B51+SUM('Water levels-Transport (rail)'!$D$165:$M$172)*'Summary of area'!$E$38*B51,0)</f>
        <v>0</v>
      </c>
      <c r="V51">
        <f>IF(A51=$H$10,SUM('Food production'!$D$256:$M$257)*'Summary of area'!$E$39*Sheet1!B51,0)</f>
        <v>0</v>
      </c>
      <c r="W51">
        <f>IF(A51&gt;=$H$10,SUM('Food production'!$D$258:$M$265)*'Summary of area'!$E$39*Sheet1!B51,0)</f>
        <v>0</v>
      </c>
      <c r="X51">
        <f>IF(A51=$H$10,SUM('Energy (direct)'!$D$85:$M$86)*'Summary of area'!$E$40*B51,0)</f>
        <v>0</v>
      </c>
      <c r="Y51">
        <f>IF(A51&gt;=$H$10,SUM('Energy (direct)'!$D$87:$M$94)*'Summary of area'!$E$40*Sheet1!B51,0)</f>
        <v>0</v>
      </c>
      <c r="Z51">
        <f>IF(A51=$H$10,SUM('Energy (indirect)'!$D$158:$M$159)*'Summary of area'!$E$41*Sheet1!B51,0)</f>
        <v>0</v>
      </c>
      <c r="AA51">
        <f>IF(A51&gt;=$H$10,SUM('Energy (indirect)'!$D$160:$M$167)*'Summary of area'!$E$41*B51,0)</f>
        <v>0</v>
      </c>
      <c r="AB51">
        <f>IF(A51=$H$10,SUM('Designated biodiversity sites'!$D$123:$M$124)*'Summary of area'!$E$42*Sheet1!B51+'Biodiversity - non-designated'!O115*'Summary of area'!$E$43*Sheet1!B51,0)</f>
        <v>0</v>
      </c>
      <c r="AC51">
        <f>IF(A51&gt;=$H$10,SUM('Designated biodiversity sites'!$D$125:$M$132)*'Summary of area'!$E$42*Sheet1!B51+'Biodiversity - non-designated'!O115*'Summary of area'!$E$43*Sheet1!B51,0)</f>
        <v>0</v>
      </c>
      <c r="AD51">
        <f>IF(A51=$H$10,SUM('Water supply'!$D$144:$M$145)*'Summary of area'!$E$44*Sheet1!B51,0)</f>
        <v>0</v>
      </c>
      <c r="AE51">
        <f>IF(A51&gt;=$H$10,SUM('Water supply'!$D$146:$M$153)*'Summary of area'!$E$44*B51,0)</f>
        <v>0</v>
      </c>
      <c r="AF51">
        <f>IF(A51=$H$10,SUM(Heritage!$D$221:$M$222)*'Summary of area'!$E$46*B51,0)</f>
        <v>0</v>
      </c>
      <c r="AG51">
        <f>IF(A51&gt;=$H$10,SUM(Heritage!$D$223:$M$230)*'Summary of area'!$E$46*Sheet1!B51,0)</f>
        <v>0</v>
      </c>
      <c r="AH51">
        <f>IF(A51=$H$10,SUM('Recreation and tourism'!$D$109:$M$110)*'Summary of area'!$E$45*Sheet1!B51,0)</f>
        <v>0</v>
      </c>
      <c r="AI51">
        <f>IF(A51&gt;=$H$10,SUM('Recreation and tourism'!$D$111:$M$118)*'Summary of area'!$E$45*Sheet1!B51,0)</f>
        <v>0</v>
      </c>
    </row>
    <row r="52" spans="1:35" ht="15.75" thickBot="1">
      <c r="A52" s="134">
        <f t="shared" si="1"/>
        <v>37</v>
      </c>
      <c r="B52" s="108">
        <f t="shared" si="3"/>
        <v>0.289686951335634</v>
      </c>
      <c r="C52" s="137">
        <f>SUM($B$15:B52)</f>
        <v>21.61176072025178</v>
      </c>
      <c r="D52" s="136"/>
      <c r="G52">
        <f>IF(A52&gt;=$H$10,Carbon!$F$33*'Summary of area'!$E$31*B52,0)</f>
        <v>0</v>
      </c>
      <c r="H52">
        <f>IF(A52=$H$10,SUM('Water levels-Residential'!$D$53:$M$54)*'Summary of area'!$E$32*B52,0)</f>
        <v>0</v>
      </c>
      <c r="I52">
        <f>IF(A52&gt;=$H$10,SUM('Water levels-Residential'!$D$55:$M$62)*'Summary of area'!$E$32*B52,0)</f>
        <v>0</v>
      </c>
      <c r="J52">
        <f>IF(A52=$H$10,SUM('Water levels-Business'!$D$87:$M$88)*'Summary of area'!$E$33*B52,0)</f>
        <v>0</v>
      </c>
      <c r="K52">
        <f>IF(A52&gt;=$H$10,SUM('Water levels-Business'!$D$89:$M$96)*'Summary of area'!$E$33*B52,0)</f>
        <v>0</v>
      </c>
      <c r="L52">
        <f>IF(A52=$H$10,SUM('Water levels-Social Infra'!$D$169:$M$170)*'Summary of area'!$E$34*B52,0)</f>
        <v>0</v>
      </c>
      <c r="M52">
        <f>IF(A52&gt;=$H$10,SUM('Water levels-Social Infra'!$D$171:$M$178)*'Summary of area'!$E$34*B52,0)</f>
        <v>0</v>
      </c>
      <c r="N52">
        <f>IF(A52=$H$10,SUM('Water levels-Emergency'!$D$152:$M$153)*'Summary of area'!$E$35*B52,0)</f>
        <v>0</v>
      </c>
      <c r="O52">
        <f>IF(A52&gt;=$H$10,SUM('Water levels-Emergency'!$D$154:$M$161)*'Summary of area'!$E$35*B52,0)</f>
        <v>0</v>
      </c>
      <c r="P52">
        <f>IF(A52=$H$10,SUM('Water levels-Utilities'!$D$189:$M$190)*'Summary of area'!$E$36*B52,0)</f>
        <v>0</v>
      </c>
      <c r="Q52">
        <f>IF(A52&gt;=$H$10,SUM('Water levels-Utilities'!$D$191:$M$198)*'Summary of area'!$E$36*B52,0)</f>
        <v>0</v>
      </c>
      <c r="R52">
        <f>IF(A52=$H$10,SUM('Water levels-Transport (road)'!$D$160:$M$161)*'Summary of area'!$E$37*B52,0)</f>
        <v>0</v>
      </c>
      <c r="S52">
        <f>IF(A52&gt;=$H$10,SUM('Water levels-Transport (road)'!$D$162:$M$169)*'Summary of area'!$E$37*B52+SUM('Water levels-Transport (road)'!$D$215:$M$222)*'Summary of area'!$E$37*B52,0)</f>
        <v>0</v>
      </c>
      <c r="T52">
        <f>IF(A52=$H$10,SUM('Water levels-Transport (rail)'!$D$137:$M$138)*'Summary of area'!$E$38*Sheet1!B52,0)</f>
        <v>0</v>
      </c>
      <c r="U52">
        <f>IF(A52&gt;=$H$10,SUM('Water levels-Transport (rail)'!$D$139:$M$146)*'Summary of area'!$E$38*B52+SUM('Water levels-Transport (rail)'!$D$165:$M$172)*'Summary of area'!$E$38*B52,0)</f>
        <v>0</v>
      </c>
      <c r="V52">
        <f>IF(A52=$H$10,SUM('Food production'!$D$256:$M$257)*'Summary of area'!$E$39*Sheet1!B52,0)</f>
        <v>0</v>
      </c>
      <c r="W52">
        <f>IF(A52&gt;=$H$10,SUM('Food production'!$D$258:$M$265)*'Summary of area'!$E$39*Sheet1!B52,0)</f>
        <v>0</v>
      </c>
      <c r="X52">
        <f>IF(A52=$H$10,SUM('Energy (direct)'!$D$85:$M$86)*'Summary of area'!$E$40*B52,0)</f>
        <v>0</v>
      </c>
      <c r="Y52">
        <f>IF(A52&gt;=$H$10,SUM('Energy (direct)'!$D$87:$M$94)*'Summary of area'!$E$40*Sheet1!B52,0)</f>
        <v>0</v>
      </c>
      <c r="Z52">
        <f>IF(A52=$H$10,SUM('Energy (indirect)'!$D$158:$M$159)*'Summary of area'!$E$41*Sheet1!B52,0)</f>
        <v>0</v>
      </c>
      <c r="AA52">
        <f>IF(A52&gt;=$H$10,SUM('Energy (indirect)'!$D$160:$M$167)*'Summary of area'!$E$41*B52,0)</f>
        <v>0</v>
      </c>
      <c r="AB52">
        <f>IF(A52=$H$10,SUM('Designated biodiversity sites'!$D$123:$M$124)*'Summary of area'!$E$42*Sheet1!B52+'Biodiversity - non-designated'!O116*'Summary of area'!$E$43*Sheet1!B52,0)</f>
        <v>0</v>
      </c>
      <c r="AC52">
        <f>IF(A52&gt;=$H$10,SUM('Designated biodiversity sites'!$D$125:$M$132)*'Summary of area'!$E$42*Sheet1!B52+'Biodiversity - non-designated'!O116*'Summary of area'!$E$43*Sheet1!B52,0)</f>
        <v>0</v>
      </c>
      <c r="AD52">
        <f>IF(A52=$H$10,SUM('Water supply'!$D$144:$M$145)*'Summary of area'!$E$44*Sheet1!B52,0)</f>
        <v>0</v>
      </c>
      <c r="AE52">
        <f>IF(A52&gt;=$H$10,SUM('Water supply'!$D$146:$M$153)*'Summary of area'!$E$44*B52,0)</f>
        <v>0</v>
      </c>
      <c r="AF52">
        <f>IF(A52=$H$10,SUM(Heritage!$D$221:$M$222)*'Summary of area'!$E$46*B52,0)</f>
        <v>0</v>
      </c>
      <c r="AG52">
        <f>IF(A52&gt;=$H$10,SUM(Heritage!$D$223:$M$230)*'Summary of area'!$E$46*Sheet1!B52,0)</f>
        <v>0</v>
      </c>
      <c r="AH52">
        <f>IF(A52=$H$10,SUM('Recreation and tourism'!$D$109:$M$110)*'Summary of area'!$E$45*Sheet1!B52,0)</f>
        <v>0</v>
      </c>
      <c r="AI52">
        <f>IF(A52&gt;=$H$10,SUM('Recreation and tourism'!$D$111:$M$118)*'Summary of area'!$E$45*Sheet1!B52,0)</f>
        <v>0</v>
      </c>
    </row>
    <row r="53" spans="1:35" ht="15.75" thickBot="1">
      <c r="A53" s="134">
        <f t="shared" si="1"/>
        <v>38</v>
      </c>
      <c r="B53" s="108">
        <f t="shared" si="3"/>
        <v>0.2812494673161495</v>
      </c>
      <c r="C53" s="137">
        <f>SUM($B$15:B53)</f>
        <v>21.89301018756793</v>
      </c>
      <c r="D53" s="136"/>
      <c r="G53">
        <f>IF(A53&gt;=$H$10,Carbon!$F$33*'Summary of area'!$E$31*B53,0)</f>
        <v>0</v>
      </c>
      <c r="H53">
        <f>IF(A53=$H$10,SUM('Water levels-Residential'!$D$53:$M$54)*'Summary of area'!$E$32*B53,0)</f>
        <v>0</v>
      </c>
      <c r="I53">
        <f>IF(A53&gt;=$H$10,SUM('Water levels-Residential'!$D$55:$M$62)*'Summary of area'!$E$32*B53,0)</f>
        <v>0</v>
      </c>
      <c r="J53">
        <f>IF(A53=$H$10,SUM('Water levels-Business'!$D$87:$M$88)*'Summary of area'!$E$33*B53,0)</f>
        <v>0</v>
      </c>
      <c r="K53">
        <f>IF(A53&gt;=$H$10,SUM('Water levels-Business'!$D$89:$M$96)*'Summary of area'!$E$33*B53,0)</f>
        <v>0</v>
      </c>
      <c r="L53">
        <f>IF(A53=$H$10,SUM('Water levels-Social Infra'!$D$169:$M$170)*'Summary of area'!$E$34*B53,0)</f>
        <v>0</v>
      </c>
      <c r="M53">
        <f>IF(A53&gt;=$H$10,SUM('Water levels-Social Infra'!$D$171:$M$178)*'Summary of area'!$E$34*B53,0)</f>
        <v>0</v>
      </c>
      <c r="N53">
        <f>IF(A53=$H$10,SUM('Water levels-Emergency'!$D$152:$M$153)*'Summary of area'!$E$35*B53,0)</f>
        <v>0</v>
      </c>
      <c r="O53">
        <f>IF(A53&gt;=$H$10,SUM('Water levels-Emergency'!$D$154:$M$161)*'Summary of area'!$E$35*B53,0)</f>
        <v>0</v>
      </c>
      <c r="P53">
        <f>IF(A53=$H$10,SUM('Water levels-Utilities'!$D$189:$M$190)*'Summary of area'!$E$36*B53,0)</f>
        <v>0</v>
      </c>
      <c r="Q53">
        <f>IF(A53&gt;=$H$10,SUM('Water levels-Utilities'!$D$191:$M$198)*'Summary of area'!$E$36*B53,0)</f>
        <v>0</v>
      </c>
      <c r="R53">
        <f>IF(A53=$H$10,SUM('Water levels-Transport (road)'!$D$160:$M$161)*'Summary of area'!$E$37*B53,0)</f>
        <v>0</v>
      </c>
      <c r="S53">
        <f>IF(A53&gt;=$H$10,SUM('Water levels-Transport (road)'!$D$162:$M$169)*'Summary of area'!$E$37*B53+SUM('Water levels-Transport (road)'!$D$215:$M$222)*'Summary of area'!$E$37*B53,0)</f>
        <v>0</v>
      </c>
      <c r="T53">
        <f>IF(A53=$H$10,SUM('Water levels-Transport (rail)'!$D$137:$M$138)*'Summary of area'!$E$38*Sheet1!B53,0)</f>
        <v>0</v>
      </c>
      <c r="U53">
        <f>IF(A53&gt;=$H$10,SUM('Water levels-Transport (rail)'!$D$139:$M$146)*'Summary of area'!$E$38*B53+SUM('Water levels-Transport (rail)'!$D$165:$M$172)*'Summary of area'!$E$38*B53,0)</f>
        <v>0</v>
      </c>
      <c r="V53">
        <f>IF(A53=$H$10,SUM('Food production'!$D$256:$M$257)*'Summary of area'!$E$39*Sheet1!B53,0)</f>
        <v>0</v>
      </c>
      <c r="W53">
        <f>IF(A53&gt;=$H$10,SUM('Food production'!$D$258:$M$265)*'Summary of area'!$E$39*Sheet1!B53,0)</f>
        <v>0</v>
      </c>
      <c r="X53">
        <f>IF(A53=$H$10,SUM('Energy (direct)'!$D$85:$M$86)*'Summary of area'!$E$40*B53,0)</f>
        <v>0</v>
      </c>
      <c r="Y53">
        <f>IF(A53&gt;=$H$10,SUM('Energy (direct)'!$D$87:$M$94)*'Summary of area'!$E$40*Sheet1!B53,0)</f>
        <v>0</v>
      </c>
      <c r="Z53">
        <f>IF(A53=$H$10,SUM('Energy (indirect)'!$D$158:$M$159)*'Summary of area'!$E$41*Sheet1!B53,0)</f>
        <v>0</v>
      </c>
      <c r="AA53">
        <f>IF(A53&gt;=$H$10,SUM('Energy (indirect)'!$D$160:$M$167)*'Summary of area'!$E$41*B53,0)</f>
        <v>0</v>
      </c>
      <c r="AB53">
        <f>IF(A53=$H$10,SUM('Designated biodiversity sites'!$D$123:$M$124)*'Summary of area'!$E$42*Sheet1!B53+'Biodiversity - non-designated'!O117*'Summary of area'!$E$43*Sheet1!B53,0)</f>
        <v>0</v>
      </c>
      <c r="AC53">
        <f>IF(A53&gt;=$H$10,SUM('Designated biodiversity sites'!$D$125:$M$132)*'Summary of area'!$E$42*Sheet1!B53+'Biodiversity - non-designated'!O117*'Summary of area'!$E$43*Sheet1!B53,0)</f>
        <v>0</v>
      </c>
      <c r="AD53">
        <f>IF(A53=$H$10,SUM('Water supply'!$D$144:$M$145)*'Summary of area'!$E$44*Sheet1!B53,0)</f>
        <v>0</v>
      </c>
      <c r="AE53">
        <f>IF(A53&gt;=$H$10,SUM('Water supply'!$D$146:$M$153)*'Summary of area'!$E$44*B53,0)</f>
        <v>0</v>
      </c>
      <c r="AF53">
        <f>IF(A53=$H$10,SUM(Heritage!$D$221:$M$222)*'Summary of area'!$E$46*B53,0)</f>
        <v>0</v>
      </c>
      <c r="AG53">
        <f>IF(A53&gt;=$H$10,SUM(Heritage!$D$223:$M$230)*'Summary of area'!$E$46*Sheet1!B53,0)</f>
        <v>0</v>
      </c>
      <c r="AH53">
        <f>IF(A53=$H$10,SUM('Recreation and tourism'!$D$109:$M$110)*'Summary of area'!$E$45*Sheet1!B53,0)</f>
        <v>0</v>
      </c>
      <c r="AI53">
        <f>IF(A53&gt;=$H$10,SUM('Recreation and tourism'!$D$111:$M$118)*'Summary of area'!$E$45*Sheet1!B53,0)</f>
        <v>0</v>
      </c>
    </row>
    <row r="54" spans="1:35" ht="15.75" thickBot="1">
      <c r="A54" s="134">
        <f t="shared" si="1"/>
        <v>39</v>
      </c>
      <c r="B54" s="108">
        <f t="shared" si="3"/>
        <v>0.2730577352583976</v>
      </c>
      <c r="C54" s="137">
        <f>SUM($B$15:B54)</f>
        <v>22.16606792282633</v>
      </c>
      <c r="D54" s="136"/>
      <c r="G54">
        <f>IF(A54&gt;=$H$10,Carbon!$F$33*'Summary of area'!$E$31*B54,0)</f>
        <v>0</v>
      </c>
      <c r="H54">
        <f>IF(A54=$H$10,SUM('Water levels-Residential'!$D$53:$M$54)*'Summary of area'!$E$32*B54,0)</f>
        <v>0</v>
      </c>
      <c r="I54">
        <f>IF(A54&gt;=$H$10,SUM('Water levels-Residential'!$D$55:$M$62)*'Summary of area'!$E$32*B54,0)</f>
        <v>0</v>
      </c>
      <c r="J54">
        <f>IF(A54=$H$10,SUM('Water levels-Business'!$D$87:$M$88)*'Summary of area'!$E$33*B54,0)</f>
        <v>0</v>
      </c>
      <c r="K54">
        <f>IF(A54&gt;=$H$10,SUM('Water levels-Business'!$D$89:$M$96)*'Summary of area'!$E$33*B54,0)</f>
        <v>0</v>
      </c>
      <c r="L54">
        <f>IF(A54=$H$10,SUM('Water levels-Social Infra'!$D$169:$M$170)*'Summary of area'!$E$34*B54,0)</f>
        <v>0</v>
      </c>
      <c r="M54">
        <f>IF(A54&gt;=$H$10,SUM('Water levels-Social Infra'!$D$171:$M$178)*'Summary of area'!$E$34*B54,0)</f>
        <v>0</v>
      </c>
      <c r="N54">
        <f>IF(A54=$H$10,SUM('Water levels-Emergency'!$D$152:$M$153)*'Summary of area'!$E$35*B54,0)</f>
        <v>0</v>
      </c>
      <c r="O54">
        <f>IF(A54&gt;=$H$10,SUM('Water levels-Emergency'!$D$154:$M$161)*'Summary of area'!$E$35*B54,0)</f>
        <v>0</v>
      </c>
      <c r="P54">
        <f>IF(A54=$H$10,SUM('Water levels-Utilities'!$D$189:$M$190)*'Summary of area'!$E$36*B54,0)</f>
        <v>0</v>
      </c>
      <c r="Q54">
        <f>IF(A54&gt;=$H$10,SUM('Water levels-Utilities'!$D$191:$M$198)*'Summary of area'!$E$36*B54,0)</f>
        <v>0</v>
      </c>
      <c r="R54">
        <f>IF(A54=$H$10,SUM('Water levels-Transport (road)'!$D$160:$M$161)*'Summary of area'!$E$37*B54,0)</f>
        <v>0</v>
      </c>
      <c r="S54">
        <f>IF(A54&gt;=$H$10,SUM('Water levels-Transport (road)'!$D$162:$M$169)*'Summary of area'!$E$37*B54+SUM('Water levels-Transport (road)'!$D$215:$M$222)*'Summary of area'!$E$37*B54,0)</f>
        <v>0</v>
      </c>
      <c r="T54">
        <f>IF(A54=$H$10,SUM('Water levels-Transport (rail)'!$D$137:$M$138)*'Summary of area'!$E$38*Sheet1!B54,0)</f>
        <v>0</v>
      </c>
      <c r="U54">
        <f>IF(A54&gt;=$H$10,SUM('Water levels-Transport (rail)'!$D$139:$M$146)*'Summary of area'!$E$38*B54+SUM('Water levels-Transport (rail)'!$D$165:$M$172)*'Summary of area'!$E$38*B54,0)</f>
        <v>0</v>
      </c>
      <c r="V54">
        <f>IF(A54=$H$10,SUM('Food production'!$D$256:$M$257)*'Summary of area'!$E$39*Sheet1!B54,0)</f>
        <v>0</v>
      </c>
      <c r="W54">
        <f>IF(A54&gt;=$H$10,SUM('Food production'!$D$258:$M$265)*'Summary of area'!$E$39*Sheet1!B54,0)</f>
        <v>0</v>
      </c>
      <c r="X54">
        <f>IF(A54=$H$10,SUM('Energy (direct)'!$D$85:$M$86)*'Summary of area'!$E$40*B54,0)</f>
        <v>0</v>
      </c>
      <c r="Y54">
        <f>IF(A54&gt;=$H$10,SUM('Energy (direct)'!$D$87:$M$94)*'Summary of area'!$E$40*Sheet1!B54,0)</f>
        <v>0</v>
      </c>
      <c r="Z54">
        <f>IF(A54=$H$10,SUM('Energy (indirect)'!$D$158:$M$159)*'Summary of area'!$E$41*Sheet1!B54,0)</f>
        <v>0</v>
      </c>
      <c r="AA54">
        <f>IF(A54&gt;=$H$10,SUM('Energy (indirect)'!$D$160:$M$167)*'Summary of area'!$E$41*B54,0)</f>
        <v>0</v>
      </c>
      <c r="AB54">
        <f>IF(A54=$H$10,SUM('Designated biodiversity sites'!$D$123:$M$124)*'Summary of area'!$E$42*Sheet1!B54+'Biodiversity - non-designated'!O118*'Summary of area'!$E$43*Sheet1!B54,0)</f>
        <v>0</v>
      </c>
      <c r="AC54">
        <f>IF(A54&gt;=$H$10,SUM('Designated biodiversity sites'!$D$125:$M$132)*'Summary of area'!$E$42*Sheet1!B54+'Biodiversity - non-designated'!O118*'Summary of area'!$E$43*Sheet1!B54,0)</f>
        <v>0</v>
      </c>
      <c r="AD54">
        <f>IF(A54=$H$10,SUM('Water supply'!$D$144:$M$145)*'Summary of area'!$E$44*Sheet1!B54,0)</f>
        <v>0</v>
      </c>
      <c r="AE54">
        <f>IF(A54&gt;=$H$10,SUM('Water supply'!$D$146:$M$153)*'Summary of area'!$E$44*B54,0)</f>
        <v>0</v>
      </c>
      <c r="AF54">
        <f>IF(A54=$H$10,SUM(Heritage!$D$221:$M$222)*'Summary of area'!$E$46*B54,0)</f>
        <v>0</v>
      </c>
      <c r="AG54">
        <f>IF(A54&gt;=$H$10,SUM(Heritage!$D$223:$M$230)*'Summary of area'!$E$46*Sheet1!B54,0)</f>
        <v>0</v>
      </c>
      <c r="AH54">
        <f>IF(A54=$H$10,SUM('Recreation and tourism'!$D$109:$M$110)*'Summary of area'!$E$45*Sheet1!B54,0)</f>
        <v>0</v>
      </c>
      <c r="AI54">
        <f>IF(A54&gt;=$H$10,SUM('Recreation and tourism'!$D$111:$M$118)*'Summary of area'!$E$45*Sheet1!B54,0)</f>
        <v>0</v>
      </c>
    </row>
    <row r="55" spans="1:35" ht="15.75" thickBot="1">
      <c r="A55" s="134">
        <f t="shared" si="1"/>
        <v>40</v>
      </c>
      <c r="B55" s="108">
        <f t="shared" si="3"/>
        <v>0.2651045973382501</v>
      </c>
      <c r="C55" s="137">
        <f>SUM($B$15:B55)</f>
        <v>22.43117252016458</v>
      </c>
      <c r="D55" s="136"/>
      <c r="G55">
        <f>IF(A55&gt;=$H$10,Carbon!$F$33*'Summary of area'!$E$31*B55,0)</f>
        <v>0</v>
      </c>
      <c r="H55">
        <f>IF(A55=$H$10,SUM('Water levels-Residential'!$D$53:$M$54)*'Summary of area'!$E$32*B55,0)</f>
        <v>0</v>
      </c>
      <c r="I55">
        <f>IF(A55&gt;=$H$10,SUM('Water levels-Residential'!$D$55:$M$62)*'Summary of area'!$E$32*B55,0)</f>
        <v>0</v>
      </c>
      <c r="J55">
        <f>IF(A55=$H$10,SUM('Water levels-Business'!$D$87:$M$88)*'Summary of area'!$E$33*B55,0)</f>
        <v>0</v>
      </c>
      <c r="K55">
        <f>IF(A55&gt;=$H$10,SUM('Water levels-Business'!$D$89:$M$96)*'Summary of area'!$E$33*B55,0)</f>
        <v>0</v>
      </c>
      <c r="L55">
        <f>IF(A55=$H$10,SUM('Water levels-Social Infra'!$D$169:$M$170)*'Summary of area'!$E$34*B55,0)</f>
        <v>0</v>
      </c>
      <c r="M55">
        <f>IF(A55&gt;=$H$10,SUM('Water levels-Social Infra'!$D$171:$M$178)*'Summary of area'!$E$34*B55,0)</f>
        <v>0</v>
      </c>
      <c r="N55">
        <f>IF(A55=$H$10,SUM('Water levels-Emergency'!$D$152:$M$153)*'Summary of area'!$E$35*B55,0)</f>
        <v>0</v>
      </c>
      <c r="O55">
        <f>IF(A55&gt;=$H$10,SUM('Water levels-Emergency'!$D$154:$M$161)*'Summary of area'!$E$35*B55,0)</f>
        <v>0</v>
      </c>
      <c r="P55">
        <f>IF(A55=$H$10,SUM('Water levels-Utilities'!$D$189:$M$190)*'Summary of area'!$E$36*B55,0)</f>
        <v>0</v>
      </c>
      <c r="Q55">
        <f>IF(A55&gt;=$H$10,SUM('Water levels-Utilities'!$D$191:$M$198)*'Summary of area'!$E$36*B55,0)</f>
        <v>0</v>
      </c>
      <c r="R55">
        <f>IF(A55=$H$10,SUM('Water levels-Transport (road)'!$D$160:$M$161)*'Summary of area'!$E$37*B55,0)</f>
        <v>0</v>
      </c>
      <c r="S55">
        <f>IF(A55&gt;=$H$10,SUM('Water levels-Transport (road)'!$D$162:$M$169)*'Summary of area'!$E$37*B55+SUM('Water levels-Transport (road)'!$D$215:$M$222)*'Summary of area'!$E$37*B55,0)</f>
        <v>0</v>
      </c>
      <c r="T55">
        <f>IF(A55=$H$10,SUM('Water levels-Transport (rail)'!$D$137:$M$138)*'Summary of area'!$E$38*Sheet1!B55,0)</f>
        <v>0</v>
      </c>
      <c r="U55">
        <f>IF(A55&gt;=$H$10,SUM('Water levels-Transport (rail)'!$D$139:$M$146)*'Summary of area'!$E$38*B55+SUM('Water levels-Transport (rail)'!$D$165:$M$172)*'Summary of area'!$E$38*B55,0)</f>
        <v>0</v>
      </c>
      <c r="V55">
        <f>IF(A55=$H$10,SUM('Food production'!$D$256:$M$257)*'Summary of area'!$E$39*Sheet1!B55,0)</f>
        <v>0</v>
      </c>
      <c r="W55">
        <f>IF(A55&gt;=$H$10,SUM('Food production'!$D$258:$M$265)*'Summary of area'!$E$39*Sheet1!B55,0)</f>
        <v>0</v>
      </c>
      <c r="X55">
        <f>IF(A55=$H$10,SUM('Energy (direct)'!$D$85:$M$86)*'Summary of area'!$E$40*B55,0)</f>
        <v>0</v>
      </c>
      <c r="Y55">
        <f>IF(A55&gt;=$H$10,SUM('Energy (direct)'!$D$87:$M$94)*'Summary of area'!$E$40*Sheet1!B55,0)</f>
        <v>0</v>
      </c>
      <c r="Z55">
        <f>IF(A55=$H$10,SUM('Energy (indirect)'!$D$158:$M$159)*'Summary of area'!$E$41*Sheet1!B55,0)</f>
        <v>0</v>
      </c>
      <c r="AA55">
        <f>IF(A55&gt;=$H$10,SUM('Energy (indirect)'!$D$160:$M$167)*'Summary of area'!$E$41*B55,0)</f>
        <v>0</v>
      </c>
      <c r="AB55">
        <f>IF(A55=$H$10,SUM('Designated biodiversity sites'!$D$123:$M$124)*'Summary of area'!$E$42*Sheet1!B55+'Biodiversity - non-designated'!O119*'Summary of area'!$E$43*Sheet1!B55,0)</f>
        <v>0</v>
      </c>
      <c r="AC55">
        <f>IF(A55&gt;=$H$10,SUM('Designated biodiversity sites'!$D$125:$M$132)*'Summary of area'!$E$42*Sheet1!B55+'Biodiversity - non-designated'!O119*'Summary of area'!$E$43*Sheet1!B55,0)</f>
        <v>0</v>
      </c>
      <c r="AD55">
        <f>IF(A55=$H$10,SUM('Water supply'!$D$144:$M$145)*'Summary of area'!$E$44*Sheet1!B55,0)</f>
        <v>0</v>
      </c>
      <c r="AE55">
        <f>IF(A55&gt;=$H$10,SUM('Water supply'!$D$146:$M$153)*'Summary of area'!$E$44*B55,0)</f>
        <v>0</v>
      </c>
      <c r="AF55">
        <f>IF(A55=$H$10,SUM(Heritage!$D$221:$M$222)*'Summary of area'!$E$46*B55,0)</f>
        <v>0</v>
      </c>
      <c r="AG55">
        <f>IF(A55&gt;=$H$10,SUM(Heritage!$D$223:$M$230)*'Summary of area'!$E$46*Sheet1!B55,0)</f>
        <v>0</v>
      </c>
      <c r="AH55">
        <f>IF(A55=$H$10,SUM('Recreation and tourism'!$D$109:$M$110)*'Summary of area'!$E$45*Sheet1!B55,0)</f>
        <v>0</v>
      </c>
      <c r="AI55">
        <f>IF(A55&gt;=$H$10,SUM('Recreation and tourism'!$D$111:$M$118)*'Summary of area'!$E$45*Sheet1!B55,0)</f>
        <v>0</v>
      </c>
    </row>
    <row r="56" spans="1:35" ht="15.75" thickBot="1">
      <c r="A56" s="134">
        <f t="shared" si="1"/>
        <v>41</v>
      </c>
      <c r="B56" s="108">
        <f t="shared" si="3"/>
        <v>0.2573831042118933</v>
      </c>
      <c r="C56" s="137">
        <f>SUM($B$15:B56)</f>
        <v>22.688555624376473</v>
      </c>
      <c r="D56" s="136"/>
      <c r="G56">
        <f>IF(A56&gt;=$H$10,Carbon!$F$33*'Summary of area'!$E$31*B56,0)</f>
        <v>0</v>
      </c>
      <c r="H56">
        <f>IF(A56=$H$10,SUM('Water levels-Residential'!$D$53:$M$54)*'Summary of area'!$E$32*B56,0)</f>
        <v>0</v>
      </c>
      <c r="I56">
        <f>IF(A56&gt;=$H$10,SUM('Water levels-Residential'!$D$55:$M$62)*'Summary of area'!$E$32*B56,0)</f>
        <v>0</v>
      </c>
      <c r="J56">
        <f>IF(A56=$H$10,SUM('Water levels-Business'!$D$87:$M$88)*'Summary of area'!$E$33*B56,0)</f>
        <v>0</v>
      </c>
      <c r="K56">
        <f>IF(A56&gt;=$H$10,SUM('Water levels-Business'!$D$89:$M$96)*'Summary of area'!$E$33*B56,0)</f>
        <v>0</v>
      </c>
      <c r="L56">
        <f>IF(A56=$H$10,SUM('Water levels-Social Infra'!$D$169:$M$170)*'Summary of area'!$E$34*B56,0)</f>
        <v>0</v>
      </c>
      <c r="M56">
        <f>IF(A56&gt;=$H$10,SUM('Water levels-Social Infra'!$D$171:$M$178)*'Summary of area'!$E$34*B56,0)</f>
        <v>0</v>
      </c>
      <c r="N56">
        <f>IF(A56=$H$10,SUM('Water levels-Emergency'!$D$152:$M$153)*'Summary of area'!$E$35*B56,0)</f>
        <v>0</v>
      </c>
      <c r="O56">
        <f>IF(A56&gt;=$H$10,SUM('Water levels-Emergency'!$D$154:$M$161)*'Summary of area'!$E$35*B56,0)</f>
        <v>0</v>
      </c>
      <c r="P56">
        <f>IF(A56=$H$10,SUM('Water levels-Utilities'!$D$189:$M$190)*'Summary of area'!$E$36*B56,0)</f>
        <v>0</v>
      </c>
      <c r="Q56">
        <f>IF(A56&gt;=$H$10,SUM('Water levels-Utilities'!$D$191:$M$198)*'Summary of area'!$E$36*B56,0)</f>
        <v>0</v>
      </c>
      <c r="R56">
        <f>IF(A56=$H$10,SUM('Water levels-Transport (road)'!$D$160:$M$161)*'Summary of area'!$E$37*B56,0)</f>
        <v>0</v>
      </c>
      <c r="S56">
        <f>IF(A56&gt;=$H$10,SUM('Water levels-Transport (road)'!$D$162:$M$169)*'Summary of area'!$E$37*B56+SUM('Water levels-Transport (road)'!$D$215:$M$222)*'Summary of area'!$E$37*B56,0)</f>
        <v>0</v>
      </c>
      <c r="T56">
        <f>IF(A56=$H$10,SUM('Water levels-Transport (rail)'!$D$137:$M$138)*'Summary of area'!$E$38*Sheet1!B56,0)</f>
        <v>0</v>
      </c>
      <c r="U56">
        <f>IF(A56&gt;=$H$10,SUM('Water levels-Transport (rail)'!$D$139:$M$146)*'Summary of area'!$E$38*B56+SUM('Water levels-Transport (rail)'!$D$165:$M$172)*'Summary of area'!$E$38*B56,0)</f>
        <v>0</v>
      </c>
      <c r="V56">
        <f>IF(A56=$H$10,SUM('Food production'!$D$256:$M$257)*'Summary of area'!$E$39*Sheet1!B56,0)</f>
        <v>0</v>
      </c>
      <c r="W56">
        <f>IF(A56&gt;=$H$10,SUM('Food production'!$D$258:$M$265)*'Summary of area'!$E$39*Sheet1!B56,0)</f>
        <v>0</v>
      </c>
      <c r="X56">
        <f>IF(A56=$H$10,SUM('Energy (direct)'!$D$85:$M$86)*'Summary of area'!$E$40*B56,0)</f>
        <v>0</v>
      </c>
      <c r="Y56">
        <f>IF(A56&gt;=$H$10,SUM('Energy (direct)'!$D$87:$M$94)*'Summary of area'!$E$40*Sheet1!B56,0)</f>
        <v>0</v>
      </c>
      <c r="Z56">
        <f>IF(A56=$H$10,SUM('Energy (indirect)'!$D$158:$M$159)*'Summary of area'!$E$41*Sheet1!B56,0)</f>
        <v>0</v>
      </c>
      <c r="AA56">
        <f>IF(A56&gt;=$H$10,SUM('Energy (indirect)'!$D$160:$M$167)*'Summary of area'!$E$41*B56,0)</f>
        <v>0</v>
      </c>
      <c r="AB56">
        <f>IF(A56=$H$10,SUM('Designated biodiversity sites'!$D$123:$M$124)*'Summary of area'!$E$42*Sheet1!B56+'Biodiversity - non-designated'!O120*'Summary of area'!$E$43*Sheet1!B56,0)</f>
        <v>0</v>
      </c>
      <c r="AC56">
        <f>IF(A56&gt;=$H$10,SUM('Designated biodiversity sites'!$D$125:$M$132)*'Summary of area'!$E$42*Sheet1!B56+'Biodiversity - non-designated'!O120*'Summary of area'!$E$43*Sheet1!B56,0)</f>
        <v>0</v>
      </c>
      <c r="AD56">
        <f>IF(A56=$H$10,SUM('Water supply'!$D$144:$M$145)*'Summary of area'!$E$44*Sheet1!B56,0)</f>
        <v>0</v>
      </c>
      <c r="AE56">
        <f>IF(A56&gt;=$H$10,SUM('Water supply'!$D$146:$M$153)*'Summary of area'!$E$44*B56,0)</f>
        <v>0</v>
      </c>
      <c r="AF56">
        <f>IF(A56=$H$10,SUM(Heritage!$D$221:$M$222)*'Summary of area'!$E$46*B56,0)</f>
        <v>0</v>
      </c>
      <c r="AG56">
        <f>IF(A56&gt;=$H$10,SUM(Heritage!$D$223:$M$230)*'Summary of area'!$E$46*Sheet1!B56,0)</f>
        <v>0</v>
      </c>
      <c r="AH56">
        <f>IF(A56=$H$10,SUM('Recreation and tourism'!$D$109:$M$110)*'Summary of area'!$E$45*Sheet1!B56,0)</f>
        <v>0</v>
      </c>
      <c r="AI56">
        <f>IF(A56&gt;=$H$10,SUM('Recreation and tourism'!$D$111:$M$118)*'Summary of area'!$E$45*Sheet1!B56,0)</f>
        <v>0</v>
      </c>
    </row>
    <row r="57" spans="1:35" ht="15.75" thickBot="1">
      <c r="A57" s="134">
        <f t="shared" si="1"/>
        <v>42</v>
      </c>
      <c r="B57" s="108">
        <f t="shared" si="3"/>
        <v>0.24988650894358574</v>
      </c>
      <c r="C57" s="137">
        <f>SUM($B$15:B57)</f>
        <v>22.93844213332006</v>
      </c>
      <c r="D57" s="136"/>
      <c r="G57">
        <f>IF(A57&gt;=$H$10,Carbon!$F$33*'Summary of area'!$E$31*B57,0)</f>
        <v>0</v>
      </c>
      <c r="H57">
        <f>IF(A57=$H$10,SUM('Water levels-Residential'!$D$53:$M$54)*'Summary of area'!$E$32*B57,0)</f>
        <v>0</v>
      </c>
      <c r="I57">
        <f>IF(A57&gt;=$H$10,SUM('Water levels-Residential'!$D$55:$M$62)*'Summary of area'!$E$32*B57,0)</f>
        <v>0</v>
      </c>
      <c r="J57">
        <f>IF(A57=$H$10,SUM('Water levels-Business'!$D$87:$M$88)*'Summary of area'!$E$33*B57,0)</f>
        <v>0</v>
      </c>
      <c r="K57">
        <f>IF(A57&gt;=$H$10,SUM('Water levels-Business'!$D$89:$M$96)*'Summary of area'!$E$33*B57,0)</f>
        <v>0</v>
      </c>
      <c r="L57">
        <f>IF(A57=$H$10,SUM('Water levels-Social Infra'!$D$169:$M$170)*'Summary of area'!$E$34*B57,0)</f>
        <v>0</v>
      </c>
      <c r="M57">
        <f>IF(A57&gt;=$H$10,SUM('Water levels-Social Infra'!$D$171:$M$178)*'Summary of area'!$E$34*B57,0)</f>
        <v>0</v>
      </c>
      <c r="N57">
        <f>IF(A57=$H$10,SUM('Water levels-Emergency'!$D$152:$M$153)*'Summary of area'!$E$35*B57,0)</f>
        <v>0</v>
      </c>
      <c r="O57">
        <f>IF(A57&gt;=$H$10,SUM('Water levels-Emergency'!$D$154:$M$161)*'Summary of area'!$E$35*B57,0)</f>
        <v>0</v>
      </c>
      <c r="P57">
        <f>IF(A57=$H$10,SUM('Water levels-Utilities'!$D$189:$M$190)*'Summary of area'!$E$36*B57,0)</f>
        <v>0</v>
      </c>
      <c r="Q57">
        <f>IF(A57&gt;=$H$10,SUM('Water levels-Utilities'!$D$191:$M$198)*'Summary of area'!$E$36*B57,0)</f>
        <v>0</v>
      </c>
      <c r="R57">
        <f>IF(A57=$H$10,SUM('Water levels-Transport (road)'!$D$160:$M$161)*'Summary of area'!$E$37*B57,0)</f>
        <v>0</v>
      </c>
      <c r="S57">
        <f>IF(A57&gt;=$H$10,SUM('Water levels-Transport (road)'!$D$162:$M$169)*'Summary of area'!$E$37*B57+SUM('Water levels-Transport (road)'!$D$215:$M$222)*'Summary of area'!$E$37*B57,0)</f>
        <v>0</v>
      </c>
      <c r="T57">
        <f>IF(A57=$H$10,SUM('Water levels-Transport (rail)'!$D$137:$M$138)*'Summary of area'!$E$38*Sheet1!B57,0)</f>
        <v>0</v>
      </c>
      <c r="U57">
        <f>IF(A57&gt;=$H$10,SUM('Water levels-Transport (rail)'!$D$139:$M$146)*'Summary of area'!$E$38*B57+SUM('Water levels-Transport (rail)'!$D$165:$M$172)*'Summary of area'!$E$38*B57,0)</f>
        <v>0</v>
      </c>
      <c r="V57">
        <f>IF(A57=$H$10,SUM('Food production'!$D$256:$M$257)*'Summary of area'!$E$39*Sheet1!B57,0)</f>
        <v>0</v>
      </c>
      <c r="W57">
        <f>IF(A57&gt;=$H$10,SUM('Food production'!$D$258:$M$265)*'Summary of area'!$E$39*Sheet1!B57,0)</f>
        <v>0</v>
      </c>
      <c r="X57">
        <f>IF(A57=$H$10,SUM('Energy (direct)'!$D$85:$M$86)*'Summary of area'!$E$40*B57,0)</f>
        <v>0</v>
      </c>
      <c r="Y57">
        <f>IF(A57&gt;=$H$10,SUM('Energy (direct)'!$D$87:$M$94)*'Summary of area'!$E$40*Sheet1!B57,0)</f>
        <v>0</v>
      </c>
      <c r="Z57">
        <f>IF(A57=$H$10,SUM('Energy (indirect)'!$D$158:$M$159)*'Summary of area'!$E$41*Sheet1!B57,0)</f>
        <v>0</v>
      </c>
      <c r="AA57">
        <f>IF(A57&gt;=$H$10,SUM('Energy (indirect)'!$D$160:$M$167)*'Summary of area'!$E$41*B57,0)</f>
        <v>0</v>
      </c>
      <c r="AB57">
        <f>IF(A57=$H$10,SUM('Designated biodiversity sites'!$D$123:$M$124)*'Summary of area'!$E$42*Sheet1!B57+'Biodiversity - non-designated'!O121*'Summary of area'!$E$43*Sheet1!B57,0)</f>
        <v>0</v>
      </c>
      <c r="AC57">
        <f>IF(A57&gt;=$H$10,SUM('Designated biodiversity sites'!$D$125:$M$132)*'Summary of area'!$E$42*Sheet1!B57+'Biodiversity - non-designated'!O121*'Summary of area'!$E$43*Sheet1!B57,0)</f>
        <v>0</v>
      </c>
      <c r="AD57">
        <f>IF(A57=$H$10,SUM('Water supply'!$D$144:$M$145)*'Summary of area'!$E$44*Sheet1!B57,0)</f>
        <v>0</v>
      </c>
      <c r="AE57">
        <f>IF(A57&gt;=$H$10,SUM('Water supply'!$D$146:$M$153)*'Summary of area'!$E$44*B57,0)</f>
        <v>0</v>
      </c>
      <c r="AF57">
        <f>IF(A57=$H$10,SUM(Heritage!$D$221:$M$222)*'Summary of area'!$E$46*B57,0)</f>
        <v>0</v>
      </c>
      <c r="AG57">
        <f>IF(A57&gt;=$H$10,SUM(Heritage!$D$223:$M$230)*'Summary of area'!$E$46*Sheet1!B57,0)</f>
        <v>0</v>
      </c>
      <c r="AH57">
        <f>IF(A57=$H$10,SUM('Recreation and tourism'!$D$109:$M$110)*'Summary of area'!$E$45*Sheet1!B57,0)</f>
        <v>0</v>
      </c>
      <c r="AI57">
        <f>IF(A57&gt;=$H$10,SUM('Recreation and tourism'!$D$111:$M$118)*'Summary of area'!$E$45*Sheet1!B57,0)</f>
        <v>0</v>
      </c>
    </row>
    <row r="58" spans="1:35" ht="15.75" thickBot="1">
      <c r="A58" s="134">
        <f t="shared" si="1"/>
        <v>43</v>
      </c>
      <c r="B58" s="108">
        <f t="shared" si="3"/>
        <v>0.24260826111027742</v>
      </c>
      <c r="C58" s="137">
        <f>SUM($B$15:B58)</f>
        <v>23.181050394430336</v>
      </c>
      <c r="D58" s="136"/>
      <c r="G58">
        <f>IF(A58&gt;=$H$10,Carbon!$F$33*'Summary of area'!$E$31*B58,0)</f>
        <v>0</v>
      </c>
      <c r="H58">
        <f>IF(A58=$H$10,SUM('Water levels-Residential'!$D$53:$M$54)*'Summary of area'!$E$32*B58,0)</f>
        <v>0</v>
      </c>
      <c r="I58">
        <f>IF(A58&gt;=$H$10,SUM('Water levels-Residential'!$D$55:$M$62)*'Summary of area'!$E$32*B58,0)</f>
        <v>0</v>
      </c>
      <c r="J58">
        <f>IF(A58=$H$10,SUM('Water levels-Business'!$D$87:$M$88)*'Summary of area'!$E$33*B58,0)</f>
        <v>0</v>
      </c>
      <c r="K58">
        <f>IF(A58&gt;=$H$10,SUM('Water levels-Business'!$D$89:$M$96)*'Summary of area'!$E$33*B58,0)</f>
        <v>0</v>
      </c>
      <c r="L58">
        <f>IF(A58=$H$10,SUM('Water levels-Social Infra'!$D$169:$M$170)*'Summary of area'!$E$34*B58,0)</f>
        <v>0</v>
      </c>
      <c r="M58">
        <f>IF(A58&gt;=$H$10,SUM('Water levels-Social Infra'!$D$171:$M$178)*'Summary of area'!$E$34*B58,0)</f>
        <v>0</v>
      </c>
      <c r="N58">
        <f>IF(A58=$H$10,SUM('Water levels-Emergency'!$D$152:$M$153)*'Summary of area'!$E$35*B58,0)</f>
        <v>0</v>
      </c>
      <c r="O58">
        <f>IF(A58&gt;=$H$10,SUM('Water levels-Emergency'!$D$154:$M$161)*'Summary of area'!$E$35*B58,0)</f>
        <v>0</v>
      </c>
      <c r="P58">
        <f>IF(A58=$H$10,SUM('Water levels-Utilities'!$D$189:$M$190)*'Summary of area'!$E$36*B58,0)</f>
        <v>0</v>
      </c>
      <c r="Q58">
        <f>IF(A58&gt;=$H$10,SUM('Water levels-Utilities'!$D$191:$M$198)*'Summary of area'!$E$36*B58,0)</f>
        <v>0</v>
      </c>
      <c r="R58">
        <f>IF(A58=$H$10,SUM('Water levels-Transport (road)'!$D$160:$M$161)*'Summary of area'!$E$37*B58,0)</f>
        <v>0</v>
      </c>
      <c r="S58">
        <f>IF(A58&gt;=$H$10,SUM('Water levels-Transport (road)'!$D$162:$M$169)*'Summary of area'!$E$37*B58+SUM('Water levels-Transport (road)'!$D$215:$M$222)*'Summary of area'!$E$37*B58,0)</f>
        <v>0</v>
      </c>
      <c r="T58">
        <f>IF(A58=$H$10,SUM('Water levels-Transport (rail)'!$D$137:$M$138)*'Summary of area'!$E$38*Sheet1!B58,0)</f>
        <v>0</v>
      </c>
      <c r="U58">
        <f>IF(A58&gt;=$H$10,SUM('Water levels-Transport (rail)'!$D$139:$M$146)*'Summary of area'!$E$38*B58+SUM('Water levels-Transport (rail)'!$D$165:$M$172)*'Summary of area'!$E$38*B58,0)</f>
        <v>0</v>
      </c>
      <c r="V58">
        <f>IF(A58=$H$10,SUM('Food production'!$D$256:$M$257)*'Summary of area'!$E$39*Sheet1!B58,0)</f>
        <v>0</v>
      </c>
      <c r="W58">
        <f>IF(A58&gt;=$H$10,SUM('Food production'!$D$258:$M$265)*'Summary of area'!$E$39*Sheet1!B58,0)</f>
        <v>0</v>
      </c>
      <c r="X58">
        <f>IF(A58=$H$10,SUM('Energy (direct)'!$D$85:$M$86)*'Summary of area'!$E$40*B58,0)</f>
        <v>0</v>
      </c>
      <c r="Y58">
        <f>IF(A58&gt;=$H$10,SUM('Energy (direct)'!$D$87:$M$94)*'Summary of area'!$E$40*Sheet1!B58,0)</f>
        <v>0</v>
      </c>
      <c r="Z58">
        <f>IF(A58=$H$10,SUM('Energy (indirect)'!$D$158:$M$159)*'Summary of area'!$E$41*Sheet1!B58,0)</f>
        <v>0</v>
      </c>
      <c r="AA58">
        <f>IF(A58&gt;=$H$10,SUM('Energy (indirect)'!$D$160:$M$167)*'Summary of area'!$E$41*B58,0)</f>
        <v>0</v>
      </c>
      <c r="AB58">
        <f>IF(A58=$H$10,SUM('Designated biodiversity sites'!$D$123:$M$124)*'Summary of area'!$E$42*Sheet1!B58+'Biodiversity - non-designated'!O122*'Summary of area'!$E$43*Sheet1!B58,0)</f>
        <v>0</v>
      </c>
      <c r="AC58">
        <f>IF(A58&gt;=$H$10,SUM('Designated biodiversity sites'!$D$125:$M$132)*'Summary of area'!$E$42*Sheet1!B58+'Biodiversity - non-designated'!O122*'Summary of area'!$E$43*Sheet1!B58,0)</f>
        <v>0</v>
      </c>
      <c r="AD58">
        <f>IF(A58=$H$10,SUM('Water supply'!$D$144:$M$145)*'Summary of area'!$E$44*Sheet1!B58,0)</f>
        <v>0</v>
      </c>
      <c r="AE58">
        <f>IF(A58&gt;=$H$10,SUM('Water supply'!$D$146:$M$153)*'Summary of area'!$E$44*B58,0)</f>
        <v>0</v>
      </c>
      <c r="AF58">
        <f>IF(A58=$H$10,SUM(Heritage!$D$221:$M$222)*'Summary of area'!$E$46*B58,0)</f>
        <v>0</v>
      </c>
      <c r="AG58">
        <f>IF(A58&gt;=$H$10,SUM(Heritage!$D$223:$M$230)*'Summary of area'!$E$46*Sheet1!B58,0)</f>
        <v>0</v>
      </c>
      <c r="AH58">
        <f>IF(A58=$H$10,SUM('Recreation and tourism'!$D$109:$M$110)*'Summary of area'!$E$45*Sheet1!B58,0)</f>
        <v>0</v>
      </c>
      <c r="AI58">
        <f>IF(A58&gt;=$H$10,SUM('Recreation and tourism'!$D$111:$M$118)*'Summary of area'!$E$45*Sheet1!B58,0)</f>
        <v>0</v>
      </c>
    </row>
    <row r="59" spans="1:35" ht="15.75" thickBot="1">
      <c r="A59" s="134">
        <f t="shared" si="1"/>
        <v>44</v>
      </c>
      <c r="B59" s="108">
        <f t="shared" si="3"/>
        <v>0.23554200107793924</v>
      </c>
      <c r="C59" s="137">
        <f>SUM($B$15:B59)</f>
        <v>23.416592395508275</v>
      </c>
      <c r="D59" s="136"/>
      <c r="G59">
        <f>IF(A59&gt;=$H$10,Carbon!$F$33*'Summary of area'!$E$31*B59,0)</f>
        <v>0</v>
      </c>
      <c r="H59">
        <f>IF(A59=$H$10,SUM('Water levels-Residential'!$D$53:$M$54)*'Summary of area'!$E$32*B59,0)</f>
        <v>0</v>
      </c>
      <c r="I59">
        <f>IF(A59&gt;=$H$10,SUM('Water levels-Residential'!$D$55:$M$62)*'Summary of area'!$E$32*B59,0)</f>
        <v>0</v>
      </c>
      <c r="J59">
        <f>IF(A59=$H$10,SUM('Water levels-Business'!$D$87:$M$88)*'Summary of area'!$E$33*B59,0)</f>
        <v>0</v>
      </c>
      <c r="K59">
        <f>IF(A59&gt;=$H$10,SUM('Water levels-Business'!$D$89:$M$96)*'Summary of area'!$E$33*B59,0)</f>
        <v>0</v>
      </c>
      <c r="L59">
        <f>IF(A59=$H$10,SUM('Water levels-Social Infra'!$D$169:$M$170)*'Summary of area'!$E$34*B59,0)</f>
        <v>0</v>
      </c>
      <c r="M59">
        <f>IF(A59&gt;=$H$10,SUM('Water levels-Social Infra'!$D$171:$M$178)*'Summary of area'!$E$34*B59,0)</f>
        <v>0</v>
      </c>
      <c r="N59">
        <f>IF(A59=$H$10,SUM('Water levels-Emergency'!$D$152:$M$153)*'Summary of area'!$E$35*B59,0)</f>
        <v>0</v>
      </c>
      <c r="O59">
        <f>IF(A59&gt;=$H$10,SUM('Water levels-Emergency'!$D$154:$M$161)*'Summary of area'!$E$35*B59,0)</f>
        <v>0</v>
      </c>
      <c r="P59">
        <f>IF(A59=$H$10,SUM('Water levels-Utilities'!$D$189:$M$190)*'Summary of area'!$E$36*B59,0)</f>
        <v>0</v>
      </c>
      <c r="Q59">
        <f>IF(A59&gt;=$H$10,SUM('Water levels-Utilities'!$D$191:$M$198)*'Summary of area'!$E$36*B59,0)</f>
        <v>0</v>
      </c>
      <c r="R59">
        <f>IF(A59=$H$10,SUM('Water levels-Transport (road)'!$D$160:$M$161)*'Summary of area'!$E$37*B59,0)</f>
        <v>0</v>
      </c>
      <c r="S59">
        <f>IF(A59&gt;=$H$10,SUM('Water levels-Transport (road)'!$D$162:$M$169)*'Summary of area'!$E$37*B59+SUM('Water levels-Transport (road)'!$D$215:$M$222)*'Summary of area'!$E$37*B59,0)</f>
        <v>0</v>
      </c>
      <c r="T59">
        <f>IF(A59=$H$10,SUM('Water levels-Transport (rail)'!$D$137:$M$138)*'Summary of area'!$E$38*Sheet1!B59,0)</f>
        <v>0</v>
      </c>
      <c r="U59">
        <f>IF(A59&gt;=$H$10,SUM('Water levels-Transport (rail)'!$D$139:$M$146)*'Summary of area'!$E$38*B59+SUM('Water levels-Transport (rail)'!$D$165:$M$172)*'Summary of area'!$E$38*B59,0)</f>
        <v>0</v>
      </c>
      <c r="V59">
        <f>IF(A59=$H$10,SUM('Food production'!$D$256:$M$257)*'Summary of area'!$E$39*Sheet1!B59,0)</f>
        <v>0</v>
      </c>
      <c r="W59">
        <f>IF(A59&gt;=$H$10,SUM('Food production'!$D$258:$M$265)*'Summary of area'!$E$39*Sheet1!B59,0)</f>
        <v>0</v>
      </c>
      <c r="X59">
        <f>IF(A59=$H$10,SUM('Energy (direct)'!$D$85:$M$86)*'Summary of area'!$E$40*B59,0)</f>
        <v>0</v>
      </c>
      <c r="Y59">
        <f>IF(A59&gt;=$H$10,SUM('Energy (direct)'!$D$87:$M$94)*'Summary of area'!$E$40*Sheet1!B59,0)</f>
        <v>0</v>
      </c>
      <c r="Z59">
        <f>IF(A59=$H$10,SUM('Energy (indirect)'!$D$158:$M$159)*'Summary of area'!$E$41*Sheet1!B59,0)</f>
        <v>0</v>
      </c>
      <c r="AA59">
        <f>IF(A59&gt;=$H$10,SUM('Energy (indirect)'!$D$160:$M$167)*'Summary of area'!$E$41*B59,0)</f>
        <v>0</v>
      </c>
      <c r="AB59">
        <f>IF(A59=$H$10,SUM('Designated biodiversity sites'!$D$123:$M$124)*'Summary of area'!$E$42*Sheet1!B59+'Biodiversity - non-designated'!O123*'Summary of area'!$E$43*Sheet1!B59,0)</f>
        <v>0</v>
      </c>
      <c r="AC59">
        <f>IF(A59&gt;=$H$10,SUM('Designated biodiversity sites'!$D$125:$M$132)*'Summary of area'!$E$42*Sheet1!B59+'Biodiversity - non-designated'!O123*'Summary of area'!$E$43*Sheet1!B59,0)</f>
        <v>0</v>
      </c>
      <c r="AD59">
        <f>IF(A59=$H$10,SUM('Water supply'!$D$144:$M$145)*'Summary of area'!$E$44*Sheet1!B59,0)</f>
        <v>0</v>
      </c>
      <c r="AE59">
        <f>IF(A59&gt;=$H$10,SUM('Water supply'!$D$146:$M$153)*'Summary of area'!$E$44*B59,0)</f>
        <v>0</v>
      </c>
      <c r="AF59">
        <f>IF(A59=$H$10,SUM(Heritage!$D$221:$M$222)*'Summary of area'!$E$46*B59,0)</f>
        <v>0</v>
      </c>
      <c r="AG59">
        <f>IF(A59&gt;=$H$10,SUM(Heritage!$D$223:$M$230)*'Summary of area'!$E$46*Sheet1!B59,0)</f>
        <v>0</v>
      </c>
      <c r="AH59">
        <f>IF(A59=$H$10,SUM('Recreation and tourism'!$D$109:$M$110)*'Summary of area'!$E$45*Sheet1!B59,0)</f>
        <v>0</v>
      </c>
      <c r="AI59">
        <f>IF(A59&gt;=$H$10,SUM('Recreation and tourism'!$D$111:$M$118)*'Summary of area'!$E$45*Sheet1!B59,0)</f>
        <v>0</v>
      </c>
    </row>
    <row r="60" spans="1:35" ht="15.75" thickBot="1">
      <c r="A60" s="134">
        <f t="shared" si="1"/>
        <v>45</v>
      </c>
      <c r="B60" s="108">
        <f t="shared" si="3"/>
        <v>0.2286815544446012</v>
      </c>
      <c r="C60" s="137">
        <f>SUM($B$15:B60)</f>
        <v>23.645273949952877</v>
      </c>
      <c r="D60" s="136"/>
      <c r="G60">
        <f>IF(A60&gt;=$H$10,Carbon!$F$33*'Summary of area'!$E$31*B60,0)</f>
        <v>0</v>
      </c>
      <c r="H60">
        <f>IF(A60=$H$10,SUM('Water levels-Residential'!$D$53:$M$54)*'Summary of area'!$E$32*B60,0)</f>
        <v>0</v>
      </c>
      <c r="I60">
        <f>IF(A60&gt;=$H$10,SUM('Water levels-Residential'!$D$55:$M$62)*'Summary of area'!$E$32*B60,0)</f>
        <v>0</v>
      </c>
      <c r="J60">
        <f>IF(A60=$H$10,SUM('Water levels-Business'!$D$87:$M$88)*'Summary of area'!$E$33*B60,0)</f>
        <v>0</v>
      </c>
      <c r="K60">
        <f>IF(A60&gt;=$H$10,SUM('Water levels-Business'!$D$89:$M$96)*'Summary of area'!$E$33*B60,0)</f>
        <v>0</v>
      </c>
      <c r="L60">
        <f>IF(A60=$H$10,SUM('Water levels-Social Infra'!$D$169:$M$170)*'Summary of area'!$E$34*B60,0)</f>
        <v>0</v>
      </c>
      <c r="M60">
        <f>IF(A60&gt;=$H$10,SUM('Water levels-Social Infra'!$D$171:$M$178)*'Summary of area'!$E$34*B60,0)</f>
        <v>0</v>
      </c>
      <c r="N60">
        <f>IF(A60=$H$10,SUM('Water levels-Emergency'!$D$152:$M$153)*'Summary of area'!$E$35*B60,0)</f>
        <v>0</v>
      </c>
      <c r="O60">
        <f>IF(A60&gt;=$H$10,SUM('Water levels-Emergency'!$D$154:$M$161)*'Summary of area'!$E$35*B60,0)</f>
        <v>0</v>
      </c>
      <c r="P60">
        <f>IF(A60=$H$10,SUM('Water levels-Utilities'!$D$189:$M$190)*'Summary of area'!$E$36*B60,0)</f>
        <v>0</v>
      </c>
      <c r="Q60">
        <f>IF(A60&gt;=$H$10,SUM('Water levels-Utilities'!$D$191:$M$198)*'Summary of area'!$E$36*B60,0)</f>
        <v>0</v>
      </c>
      <c r="R60">
        <f>IF(A60=$H$10,SUM('Water levels-Transport (road)'!$D$160:$M$161)*'Summary of area'!$E$37*B60,0)</f>
        <v>0</v>
      </c>
      <c r="S60">
        <f>IF(A60&gt;=$H$10,SUM('Water levels-Transport (road)'!$D$162:$M$169)*'Summary of area'!$E$37*B60+SUM('Water levels-Transport (road)'!$D$215:$M$222)*'Summary of area'!$E$37*B60,0)</f>
        <v>0</v>
      </c>
      <c r="T60">
        <f>IF(A60=$H$10,SUM('Water levels-Transport (rail)'!$D$137:$M$138)*'Summary of area'!$E$38*Sheet1!B60,0)</f>
        <v>0</v>
      </c>
      <c r="U60">
        <f>IF(A60&gt;=$H$10,SUM('Water levels-Transport (rail)'!$D$139:$M$146)*'Summary of area'!$E$38*B60+SUM('Water levels-Transport (rail)'!$D$165:$M$172)*'Summary of area'!$E$38*B60,0)</f>
        <v>0</v>
      </c>
      <c r="V60">
        <f>IF(A60=$H$10,SUM('Food production'!$D$256:$M$257)*'Summary of area'!$E$39*Sheet1!B60,0)</f>
        <v>0</v>
      </c>
      <c r="W60">
        <f>IF(A60&gt;=$H$10,SUM('Food production'!$D$258:$M$265)*'Summary of area'!$E$39*Sheet1!B60,0)</f>
        <v>0</v>
      </c>
      <c r="X60">
        <f>IF(A60=$H$10,SUM('Energy (direct)'!$D$85:$M$86)*'Summary of area'!$E$40*B60,0)</f>
        <v>0</v>
      </c>
      <c r="Y60">
        <f>IF(A60&gt;=$H$10,SUM('Energy (direct)'!$D$87:$M$94)*'Summary of area'!$E$40*Sheet1!B60,0)</f>
        <v>0</v>
      </c>
      <c r="Z60">
        <f>IF(A60=$H$10,SUM('Energy (indirect)'!$D$158:$M$159)*'Summary of area'!$E$41*Sheet1!B60,0)</f>
        <v>0</v>
      </c>
      <c r="AA60">
        <f>IF(A60&gt;=$H$10,SUM('Energy (indirect)'!$D$160:$M$167)*'Summary of area'!$E$41*B60,0)</f>
        <v>0</v>
      </c>
      <c r="AB60">
        <f>IF(A60=$H$10,SUM('Designated biodiversity sites'!$D$123:$M$124)*'Summary of area'!$E$42*Sheet1!B60+'Biodiversity - non-designated'!O124*'Summary of area'!$E$43*Sheet1!B60,0)</f>
        <v>0</v>
      </c>
      <c r="AC60">
        <f>IF(A60&gt;=$H$10,SUM('Designated biodiversity sites'!$D$125:$M$132)*'Summary of area'!$E$42*Sheet1!B60+'Biodiversity - non-designated'!O124*'Summary of area'!$E$43*Sheet1!B60,0)</f>
        <v>0</v>
      </c>
      <c r="AD60">
        <f>IF(A60=$H$10,SUM('Water supply'!$D$144:$M$145)*'Summary of area'!$E$44*Sheet1!B60,0)</f>
        <v>0</v>
      </c>
      <c r="AE60">
        <f>IF(A60&gt;=$H$10,SUM('Water supply'!$D$146:$M$153)*'Summary of area'!$E$44*B60,0)</f>
        <v>0</v>
      </c>
      <c r="AF60">
        <f>IF(A60=$H$10,SUM(Heritage!$D$221:$M$222)*'Summary of area'!$E$46*B60,0)</f>
        <v>0</v>
      </c>
      <c r="AG60">
        <f>IF(A60&gt;=$H$10,SUM(Heritage!$D$223:$M$230)*'Summary of area'!$E$46*Sheet1!B60,0)</f>
        <v>0</v>
      </c>
      <c r="AH60">
        <f>IF(A60=$H$10,SUM('Recreation and tourism'!$D$109:$M$110)*'Summary of area'!$E$45*Sheet1!B60,0)</f>
        <v>0</v>
      </c>
      <c r="AI60">
        <f>IF(A60&gt;=$H$10,SUM('Recreation and tourism'!$D$111:$M$118)*'Summary of area'!$E$45*Sheet1!B60,0)</f>
        <v>0</v>
      </c>
    </row>
    <row r="61" spans="1:35" ht="15.75" thickBot="1">
      <c r="A61" s="134">
        <f t="shared" si="1"/>
        <v>46</v>
      </c>
      <c r="B61" s="108">
        <f t="shared" si="3"/>
        <v>0.22202092664524387</v>
      </c>
      <c r="C61" s="137">
        <f>SUM($B$15:B61)</f>
        <v>23.86729487659812</v>
      </c>
      <c r="D61" s="136"/>
      <c r="G61">
        <f>IF(A61&gt;=$H$10,Carbon!$F$33*'Summary of area'!$E$31*B61,0)</f>
        <v>0</v>
      </c>
      <c r="H61">
        <f>IF(A61=$H$10,SUM('Water levels-Residential'!$D$53:$M$54)*'Summary of area'!$E$32*B61,0)</f>
        <v>0</v>
      </c>
      <c r="I61">
        <f>IF(A61&gt;=$H$10,SUM('Water levels-Residential'!$D$55:$M$62)*'Summary of area'!$E$32*B61,0)</f>
        <v>0</v>
      </c>
      <c r="J61">
        <f>IF(A61=$H$10,SUM('Water levels-Business'!$D$87:$M$88)*'Summary of area'!$E$33*B61,0)</f>
        <v>0</v>
      </c>
      <c r="K61">
        <f>IF(A61&gt;=$H$10,SUM('Water levels-Business'!$D$89:$M$96)*'Summary of area'!$E$33*B61,0)</f>
        <v>0</v>
      </c>
      <c r="L61">
        <f>IF(A61=$H$10,SUM('Water levels-Social Infra'!$D$169:$M$170)*'Summary of area'!$E$34*B61,0)</f>
        <v>0</v>
      </c>
      <c r="M61">
        <f>IF(A61&gt;=$H$10,SUM('Water levels-Social Infra'!$D$171:$M$178)*'Summary of area'!$E$34*B61,0)</f>
        <v>0</v>
      </c>
      <c r="N61">
        <f>IF(A61=$H$10,SUM('Water levels-Emergency'!$D$152:$M$153)*'Summary of area'!$E$35*B61,0)</f>
        <v>0</v>
      </c>
      <c r="O61">
        <f>IF(A61&gt;=$H$10,SUM('Water levels-Emergency'!$D$154:$M$161)*'Summary of area'!$E$35*B61,0)</f>
        <v>0</v>
      </c>
      <c r="P61">
        <f>IF(A61=$H$10,SUM('Water levels-Utilities'!$D$189:$M$190)*'Summary of area'!$E$36*B61,0)</f>
        <v>0</v>
      </c>
      <c r="Q61">
        <f>IF(A61&gt;=$H$10,SUM('Water levels-Utilities'!$D$191:$M$198)*'Summary of area'!$E$36*B61,0)</f>
        <v>0</v>
      </c>
      <c r="R61">
        <f>IF(A61=$H$10,SUM('Water levels-Transport (road)'!$D$160:$M$161)*'Summary of area'!$E$37*B61,0)</f>
        <v>0</v>
      </c>
      <c r="S61">
        <f>IF(A61&gt;=$H$10,SUM('Water levels-Transport (road)'!$D$162:$M$169)*'Summary of area'!$E$37*B61+SUM('Water levels-Transport (road)'!$D$215:$M$222)*'Summary of area'!$E$37*B61,0)</f>
        <v>0</v>
      </c>
      <c r="T61">
        <f>IF(A61=$H$10,SUM('Water levels-Transport (rail)'!$D$137:$M$138)*'Summary of area'!$E$38*Sheet1!B61,0)</f>
        <v>0</v>
      </c>
      <c r="U61">
        <f>IF(A61&gt;=$H$10,SUM('Water levels-Transport (rail)'!$D$139:$M$146)*'Summary of area'!$E$38*B61+SUM('Water levels-Transport (rail)'!$D$165:$M$172)*'Summary of area'!$E$38*B61,0)</f>
        <v>0</v>
      </c>
      <c r="V61">
        <f>IF(A61=$H$10,SUM('Food production'!$D$256:$M$257)*'Summary of area'!$E$39*Sheet1!B61,0)</f>
        <v>0</v>
      </c>
      <c r="W61">
        <f>IF(A61&gt;=$H$10,SUM('Food production'!$D$258:$M$265)*'Summary of area'!$E$39*Sheet1!B61,0)</f>
        <v>0</v>
      </c>
      <c r="X61">
        <f>IF(A61=$H$10,SUM('Energy (direct)'!$D$85:$M$86)*'Summary of area'!$E$40*B61,0)</f>
        <v>0</v>
      </c>
      <c r="Y61">
        <f>IF(A61&gt;=$H$10,SUM('Energy (direct)'!$D$87:$M$94)*'Summary of area'!$E$40*Sheet1!B61,0)</f>
        <v>0</v>
      </c>
      <c r="Z61">
        <f>IF(A61=$H$10,SUM('Energy (indirect)'!$D$158:$M$159)*'Summary of area'!$E$41*Sheet1!B61,0)</f>
        <v>0</v>
      </c>
      <c r="AA61">
        <f>IF(A61&gt;=$H$10,SUM('Energy (indirect)'!$D$160:$M$167)*'Summary of area'!$E$41*B61,0)</f>
        <v>0</v>
      </c>
      <c r="AB61">
        <f>IF(A61=$H$10,SUM('Designated biodiversity sites'!$D$123:$M$124)*'Summary of area'!$E$42*Sheet1!B61+'Biodiversity - non-designated'!O125*'Summary of area'!$E$43*Sheet1!B61,0)</f>
        <v>0</v>
      </c>
      <c r="AC61">
        <f>IF(A61&gt;=$H$10,SUM('Designated biodiversity sites'!$D$125:$M$132)*'Summary of area'!$E$42*Sheet1!B61+'Biodiversity - non-designated'!O125*'Summary of area'!$E$43*Sheet1!B61,0)</f>
        <v>0</v>
      </c>
      <c r="AD61">
        <f>IF(A61=$H$10,SUM('Water supply'!$D$144:$M$145)*'Summary of area'!$E$44*Sheet1!B61,0)</f>
        <v>0</v>
      </c>
      <c r="AE61">
        <f>IF(A61&gt;=$H$10,SUM('Water supply'!$D$146:$M$153)*'Summary of area'!$E$44*B61,0)</f>
        <v>0</v>
      </c>
      <c r="AF61">
        <f>IF(A61=$H$10,SUM(Heritage!$D$221:$M$222)*'Summary of area'!$E$46*B61,0)</f>
        <v>0</v>
      </c>
      <c r="AG61">
        <f>IF(A61&gt;=$H$10,SUM(Heritage!$D$223:$M$230)*'Summary of area'!$E$46*Sheet1!B61,0)</f>
        <v>0</v>
      </c>
      <c r="AH61">
        <f>IF(A61=$H$10,SUM('Recreation and tourism'!$D$109:$M$110)*'Summary of area'!$E$45*Sheet1!B61,0)</f>
        <v>0</v>
      </c>
      <c r="AI61">
        <f>IF(A61&gt;=$H$10,SUM('Recreation and tourism'!$D$111:$M$118)*'Summary of area'!$E$45*Sheet1!B61,0)</f>
        <v>0</v>
      </c>
    </row>
    <row r="62" spans="1:35" ht="15.75" thickBot="1">
      <c r="A62" s="134">
        <f t="shared" si="1"/>
        <v>47</v>
      </c>
      <c r="B62" s="108">
        <f t="shared" si="3"/>
        <v>0.215554297713829</v>
      </c>
      <c r="C62" s="137">
        <f>SUM($B$15:B62)</f>
        <v>24.08284917431195</v>
      </c>
      <c r="D62" s="136"/>
      <c r="G62">
        <f>IF(A62&gt;=$H$10,Carbon!$F$33*'Summary of area'!$E$31*B62,0)</f>
        <v>0</v>
      </c>
      <c r="H62">
        <f>IF(A62=$H$10,SUM('Water levels-Residential'!$D$53:$M$54)*'Summary of area'!$E$32*B62,0)</f>
        <v>0</v>
      </c>
      <c r="I62">
        <f>IF(A62&gt;=$H$10,SUM('Water levels-Residential'!$D$55:$M$62)*'Summary of area'!$E$32*B62,0)</f>
        <v>0</v>
      </c>
      <c r="J62">
        <f>IF(A62=$H$10,SUM('Water levels-Business'!$D$87:$M$88)*'Summary of area'!$E$33*B62,0)</f>
        <v>0</v>
      </c>
      <c r="K62">
        <f>IF(A62&gt;=$H$10,SUM('Water levels-Business'!$D$89:$M$96)*'Summary of area'!$E$33*B62,0)</f>
        <v>0</v>
      </c>
      <c r="L62">
        <f>IF(A62=$H$10,SUM('Water levels-Social Infra'!$D$169:$M$170)*'Summary of area'!$E$34*B62,0)</f>
        <v>0</v>
      </c>
      <c r="M62">
        <f>IF(A62&gt;=$H$10,SUM('Water levels-Social Infra'!$D$171:$M$178)*'Summary of area'!$E$34*B62,0)</f>
        <v>0</v>
      </c>
      <c r="N62">
        <f>IF(A62=$H$10,SUM('Water levels-Emergency'!$D$152:$M$153)*'Summary of area'!$E$35*B62,0)</f>
        <v>0</v>
      </c>
      <c r="O62">
        <f>IF(A62&gt;=$H$10,SUM('Water levels-Emergency'!$D$154:$M$161)*'Summary of area'!$E$35*B62,0)</f>
        <v>0</v>
      </c>
      <c r="P62">
        <f>IF(A62=$H$10,SUM('Water levels-Utilities'!$D$189:$M$190)*'Summary of area'!$E$36*B62,0)</f>
        <v>0</v>
      </c>
      <c r="Q62">
        <f>IF(A62&gt;=$H$10,SUM('Water levels-Utilities'!$D$191:$M$198)*'Summary of area'!$E$36*B62,0)</f>
        <v>0</v>
      </c>
      <c r="R62">
        <f>IF(A62=$H$10,SUM('Water levels-Transport (road)'!$D$160:$M$161)*'Summary of area'!$E$37*B62,0)</f>
        <v>0</v>
      </c>
      <c r="S62">
        <f>IF(A62&gt;=$H$10,SUM('Water levels-Transport (road)'!$D$162:$M$169)*'Summary of area'!$E$37*B62+SUM('Water levels-Transport (road)'!$D$215:$M$222)*'Summary of area'!$E$37*B62,0)</f>
        <v>0</v>
      </c>
      <c r="T62">
        <f>IF(A62=$H$10,SUM('Water levels-Transport (rail)'!$D$137:$M$138)*'Summary of area'!$E$38*Sheet1!B62,0)</f>
        <v>0</v>
      </c>
      <c r="U62">
        <f>IF(A62&gt;=$H$10,SUM('Water levels-Transport (rail)'!$D$139:$M$146)*'Summary of area'!$E$38*B62+SUM('Water levels-Transport (rail)'!$D$165:$M$172)*'Summary of area'!$E$38*B62,0)</f>
        <v>0</v>
      </c>
      <c r="V62">
        <f>IF(A62=$H$10,SUM('Food production'!$D$256:$M$257)*'Summary of area'!$E$39*Sheet1!B62,0)</f>
        <v>0</v>
      </c>
      <c r="W62">
        <f>IF(A62&gt;=$H$10,SUM('Food production'!$D$258:$M$265)*'Summary of area'!$E$39*Sheet1!B62,0)</f>
        <v>0</v>
      </c>
      <c r="X62">
        <f>IF(A62=$H$10,SUM('Energy (direct)'!$D$85:$M$86)*'Summary of area'!$E$40*B62,0)</f>
        <v>0</v>
      </c>
      <c r="Y62">
        <f>IF(A62&gt;=$H$10,SUM('Energy (direct)'!$D$87:$M$94)*'Summary of area'!$E$40*Sheet1!B62,0)</f>
        <v>0</v>
      </c>
      <c r="Z62">
        <f>IF(A62=$H$10,SUM('Energy (indirect)'!$D$158:$M$159)*'Summary of area'!$E$41*Sheet1!B62,0)</f>
        <v>0</v>
      </c>
      <c r="AA62">
        <f>IF(A62&gt;=$H$10,SUM('Energy (indirect)'!$D$160:$M$167)*'Summary of area'!$E$41*B62,0)</f>
        <v>0</v>
      </c>
      <c r="AB62">
        <f>IF(A62=$H$10,SUM('Designated biodiversity sites'!$D$123:$M$124)*'Summary of area'!$E$42*Sheet1!B62+'Biodiversity - non-designated'!O126*'Summary of area'!$E$43*Sheet1!B62,0)</f>
        <v>0</v>
      </c>
      <c r="AC62">
        <f>IF(A62&gt;=$H$10,SUM('Designated biodiversity sites'!$D$125:$M$132)*'Summary of area'!$E$42*Sheet1!B62+'Biodiversity - non-designated'!O126*'Summary of area'!$E$43*Sheet1!B62,0)</f>
        <v>0</v>
      </c>
      <c r="AD62">
        <f>IF(A62=$H$10,SUM('Water supply'!$D$144:$M$145)*'Summary of area'!$E$44*Sheet1!B62,0)</f>
        <v>0</v>
      </c>
      <c r="AE62">
        <f>IF(A62&gt;=$H$10,SUM('Water supply'!$D$146:$M$153)*'Summary of area'!$E$44*B62,0)</f>
        <v>0</v>
      </c>
      <c r="AF62">
        <f>IF(A62=$H$10,SUM(Heritage!$D$221:$M$222)*'Summary of area'!$E$46*B62,0)</f>
        <v>0</v>
      </c>
      <c r="AG62">
        <f>IF(A62&gt;=$H$10,SUM(Heritage!$D$223:$M$230)*'Summary of area'!$E$46*Sheet1!B62,0)</f>
        <v>0</v>
      </c>
      <c r="AH62">
        <f>IF(A62=$H$10,SUM('Recreation and tourism'!$D$109:$M$110)*'Summary of area'!$E$45*Sheet1!B62,0)</f>
        <v>0</v>
      </c>
      <c r="AI62">
        <f>IF(A62&gt;=$H$10,SUM('Recreation and tourism'!$D$111:$M$118)*'Summary of area'!$E$45*Sheet1!B62,0)</f>
        <v>0</v>
      </c>
    </row>
    <row r="63" spans="1:35" ht="15.75" thickBot="1">
      <c r="A63" s="134">
        <f t="shared" si="1"/>
        <v>48</v>
      </c>
      <c r="B63" s="108">
        <f t="shared" si="3"/>
        <v>0.20927601719789224</v>
      </c>
      <c r="C63" s="137">
        <f>SUM($B$15:B63)</f>
        <v>24.292125191509843</v>
      </c>
      <c r="D63" s="136"/>
      <c r="G63">
        <f>IF(A63&gt;=$H$10,Carbon!$F$33*'Summary of area'!$E$31*B63,0)</f>
        <v>0</v>
      </c>
      <c r="H63">
        <f>IF(A63=$H$10,SUM('Water levels-Residential'!$D$53:$M$54)*'Summary of area'!$E$32*B63,0)</f>
        <v>0</v>
      </c>
      <c r="I63">
        <f>IF(A63&gt;=$H$10,SUM('Water levels-Residential'!$D$55:$M$62)*'Summary of area'!$E$32*B63,0)</f>
        <v>0</v>
      </c>
      <c r="J63">
        <f>IF(A63=$H$10,SUM('Water levels-Business'!$D$87:$M$88)*'Summary of area'!$E$33*B63,0)</f>
        <v>0</v>
      </c>
      <c r="K63">
        <f>IF(A63&gt;=$H$10,SUM('Water levels-Business'!$D$89:$M$96)*'Summary of area'!$E$33*B63,0)</f>
        <v>0</v>
      </c>
      <c r="L63">
        <f>IF(A63=$H$10,SUM('Water levels-Social Infra'!$D$169:$M$170)*'Summary of area'!$E$34*B63,0)</f>
        <v>0</v>
      </c>
      <c r="M63">
        <f>IF(A63&gt;=$H$10,SUM('Water levels-Social Infra'!$D$171:$M$178)*'Summary of area'!$E$34*B63,0)</f>
        <v>0</v>
      </c>
      <c r="N63">
        <f>IF(A63=$H$10,SUM('Water levels-Emergency'!$D$152:$M$153)*'Summary of area'!$E$35*B63,0)</f>
        <v>0</v>
      </c>
      <c r="O63">
        <f>IF(A63&gt;=$H$10,SUM('Water levels-Emergency'!$D$154:$M$161)*'Summary of area'!$E$35*B63,0)</f>
        <v>0</v>
      </c>
      <c r="P63">
        <f>IF(A63=$H$10,SUM('Water levels-Utilities'!$D$189:$M$190)*'Summary of area'!$E$36*B63,0)</f>
        <v>0</v>
      </c>
      <c r="Q63">
        <f>IF(A63&gt;=$H$10,SUM('Water levels-Utilities'!$D$191:$M$198)*'Summary of area'!$E$36*B63,0)</f>
        <v>0</v>
      </c>
      <c r="R63">
        <f>IF(A63=$H$10,SUM('Water levels-Transport (road)'!$D$160:$M$161)*'Summary of area'!$E$37*B63,0)</f>
        <v>0</v>
      </c>
      <c r="S63">
        <f>IF(A63&gt;=$H$10,SUM('Water levels-Transport (road)'!$D$162:$M$169)*'Summary of area'!$E$37*B63+SUM('Water levels-Transport (road)'!$D$215:$M$222)*'Summary of area'!$E$37*B63,0)</f>
        <v>0</v>
      </c>
      <c r="T63">
        <f>IF(A63=$H$10,SUM('Water levels-Transport (rail)'!$D$137:$M$138)*'Summary of area'!$E$38*Sheet1!B63,0)</f>
        <v>0</v>
      </c>
      <c r="U63">
        <f>IF(A63&gt;=$H$10,SUM('Water levels-Transport (rail)'!$D$139:$M$146)*'Summary of area'!$E$38*B63+SUM('Water levels-Transport (rail)'!$D$165:$M$172)*'Summary of area'!$E$38*B63,0)</f>
        <v>0</v>
      </c>
      <c r="V63">
        <f>IF(A63=$H$10,SUM('Food production'!$D$256:$M$257)*'Summary of area'!$E$39*Sheet1!B63,0)</f>
        <v>0</v>
      </c>
      <c r="W63">
        <f>IF(A63&gt;=$H$10,SUM('Food production'!$D$258:$M$265)*'Summary of area'!$E$39*Sheet1!B63,0)</f>
        <v>0</v>
      </c>
      <c r="X63">
        <f>IF(A63=$H$10,SUM('Energy (direct)'!$D$85:$M$86)*'Summary of area'!$E$40*B63,0)</f>
        <v>0</v>
      </c>
      <c r="Y63">
        <f>IF(A63&gt;=$H$10,SUM('Energy (direct)'!$D$87:$M$94)*'Summary of area'!$E$40*Sheet1!B63,0)</f>
        <v>0</v>
      </c>
      <c r="Z63">
        <f>IF(A63=$H$10,SUM('Energy (indirect)'!$D$158:$M$159)*'Summary of area'!$E$41*Sheet1!B63,0)</f>
        <v>0</v>
      </c>
      <c r="AA63">
        <f>IF(A63&gt;=$H$10,SUM('Energy (indirect)'!$D$160:$M$167)*'Summary of area'!$E$41*B63,0)</f>
        <v>0</v>
      </c>
      <c r="AB63">
        <f>IF(A63=$H$10,SUM('Designated biodiversity sites'!$D$123:$M$124)*'Summary of area'!$E$42*Sheet1!B63+'Biodiversity - non-designated'!O127*'Summary of area'!$E$43*Sheet1!B63,0)</f>
        <v>0</v>
      </c>
      <c r="AC63">
        <f>IF(A63&gt;=$H$10,SUM('Designated biodiversity sites'!$D$125:$M$132)*'Summary of area'!$E$42*Sheet1!B63+'Biodiversity - non-designated'!O127*'Summary of area'!$E$43*Sheet1!B63,0)</f>
        <v>0</v>
      </c>
      <c r="AD63">
        <f>IF(A63=$H$10,SUM('Water supply'!$D$144:$M$145)*'Summary of area'!$E$44*Sheet1!B63,0)</f>
        <v>0</v>
      </c>
      <c r="AE63">
        <f>IF(A63&gt;=$H$10,SUM('Water supply'!$D$146:$M$153)*'Summary of area'!$E$44*B63,0)</f>
        <v>0</v>
      </c>
      <c r="AF63">
        <f>IF(A63=$H$10,SUM(Heritage!$D$221:$M$222)*'Summary of area'!$E$46*B63,0)</f>
        <v>0</v>
      </c>
      <c r="AG63">
        <f>IF(A63&gt;=$H$10,SUM(Heritage!$D$223:$M$230)*'Summary of area'!$E$46*Sheet1!B63,0)</f>
        <v>0</v>
      </c>
      <c r="AH63">
        <f>IF(A63=$H$10,SUM('Recreation and tourism'!$D$109:$M$110)*'Summary of area'!$E$45*Sheet1!B63,0)</f>
        <v>0</v>
      </c>
      <c r="AI63">
        <f>IF(A63&gt;=$H$10,SUM('Recreation and tourism'!$D$111:$M$118)*'Summary of area'!$E$45*Sheet1!B63,0)</f>
        <v>0</v>
      </c>
    </row>
    <row r="64" spans="1:35" ht="15.75" thickBot="1">
      <c r="A64" s="134">
        <f t="shared" si="1"/>
        <v>49</v>
      </c>
      <c r="B64" s="108">
        <f t="shared" si="3"/>
        <v>0.2031805992212546</v>
      </c>
      <c r="C64" s="137">
        <f>SUM($B$15:B64)</f>
        <v>24.4953057907311</v>
      </c>
      <c r="D64" s="136"/>
      <c r="G64">
        <f>IF(A64&gt;=$H$10,Carbon!$F$33*'Summary of area'!$E$31*B64,0)</f>
        <v>0</v>
      </c>
      <c r="H64">
        <f>IF(A64=$H$10,SUM('Water levels-Residential'!$D$53:$M$54)*'Summary of area'!$E$32*B64,0)</f>
        <v>0</v>
      </c>
      <c r="I64">
        <f>IF(A64&gt;=$H$10,SUM('Water levels-Residential'!$D$55:$M$62)*'Summary of area'!$E$32*B64,0)</f>
        <v>0</v>
      </c>
      <c r="J64">
        <f>IF(A64=$H$10,SUM('Water levels-Business'!$D$87:$M$88)*'Summary of area'!$E$33*B64,0)</f>
        <v>0</v>
      </c>
      <c r="K64">
        <f>IF(A64&gt;=$H$10,SUM('Water levels-Business'!$D$89:$M$96)*'Summary of area'!$E$33*B64,0)</f>
        <v>0</v>
      </c>
      <c r="L64">
        <f>IF(A64=$H$10,SUM('Water levels-Social Infra'!$D$169:$M$170)*'Summary of area'!$E$34*B64,0)</f>
        <v>0</v>
      </c>
      <c r="M64">
        <f>IF(A64&gt;=$H$10,SUM('Water levels-Social Infra'!$D$171:$M$178)*'Summary of area'!$E$34*B64,0)</f>
        <v>0</v>
      </c>
      <c r="N64">
        <f>IF(A64=$H$10,SUM('Water levels-Emergency'!$D$152:$M$153)*'Summary of area'!$E$35*B64,0)</f>
        <v>0</v>
      </c>
      <c r="O64">
        <f>IF(A64&gt;=$H$10,SUM('Water levels-Emergency'!$D$154:$M$161)*'Summary of area'!$E$35*B64,0)</f>
        <v>0</v>
      </c>
      <c r="P64">
        <f>IF(A64=$H$10,SUM('Water levels-Utilities'!$D$189:$M$190)*'Summary of area'!$E$36*B64,0)</f>
        <v>0</v>
      </c>
      <c r="Q64">
        <f>IF(A64&gt;=$H$10,SUM('Water levels-Utilities'!$D$191:$M$198)*'Summary of area'!$E$36*B64,0)</f>
        <v>0</v>
      </c>
      <c r="R64">
        <f>IF(A64=$H$10,SUM('Water levels-Transport (road)'!$D$160:$M$161)*'Summary of area'!$E$37*B64,0)</f>
        <v>0</v>
      </c>
      <c r="S64">
        <f>IF(A64&gt;=$H$10,SUM('Water levels-Transport (road)'!$D$162:$M$169)*'Summary of area'!$E$37*B64+SUM('Water levels-Transport (road)'!$D$215:$M$222)*'Summary of area'!$E$37*B64,0)</f>
        <v>0</v>
      </c>
      <c r="T64">
        <f>IF(A64=$H$10,SUM('Water levels-Transport (rail)'!$D$137:$M$138)*'Summary of area'!$E$38*Sheet1!B64,0)</f>
        <v>0</v>
      </c>
      <c r="U64">
        <f>IF(A64&gt;=$H$10,SUM('Water levels-Transport (rail)'!$D$139:$M$146)*'Summary of area'!$E$38*B64+SUM('Water levels-Transport (rail)'!$D$165:$M$172)*'Summary of area'!$E$38*B64,0)</f>
        <v>0</v>
      </c>
      <c r="V64">
        <f>IF(A64=$H$10,SUM('Food production'!$D$256:$M$257)*'Summary of area'!$E$39*Sheet1!B64,0)</f>
        <v>0</v>
      </c>
      <c r="W64">
        <f>IF(A64&gt;=$H$10,SUM('Food production'!$D$258:$M$265)*'Summary of area'!$E$39*Sheet1!B64,0)</f>
        <v>0</v>
      </c>
      <c r="X64">
        <f>IF(A64=$H$10,SUM('Energy (direct)'!$D$85:$M$86)*'Summary of area'!$E$40*B64,0)</f>
        <v>0</v>
      </c>
      <c r="Y64">
        <f>IF(A64&gt;=$H$10,SUM('Energy (direct)'!$D$87:$M$94)*'Summary of area'!$E$40*Sheet1!B64,0)</f>
        <v>0</v>
      </c>
      <c r="Z64">
        <f>IF(A64=$H$10,SUM('Energy (indirect)'!$D$158:$M$159)*'Summary of area'!$E$41*Sheet1!B64,0)</f>
        <v>0</v>
      </c>
      <c r="AA64">
        <f>IF(A64&gt;=$H$10,SUM('Energy (indirect)'!$D$160:$M$167)*'Summary of area'!$E$41*B64,0)</f>
        <v>0</v>
      </c>
      <c r="AB64">
        <f>IF(A64=$H$10,SUM('Designated biodiversity sites'!$D$123:$M$124)*'Summary of area'!$E$42*Sheet1!B64+'Biodiversity - non-designated'!O128*'Summary of area'!$E$43*Sheet1!B64,0)</f>
        <v>0</v>
      </c>
      <c r="AC64">
        <f>IF(A64&gt;=$H$10,SUM('Designated biodiversity sites'!$D$125:$M$132)*'Summary of area'!$E$42*Sheet1!B64+'Biodiversity - non-designated'!O128*'Summary of area'!$E$43*Sheet1!B64,0)</f>
        <v>0</v>
      </c>
      <c r="AD64">
        <f>IF(A64=$H$10,SUM('Water supply'!$D$144:$M$145)*'Summary of area'!$E$44*Sheet1!B64,0)</f>
        <v>0</v>
      </c>
      <c r="AE64">
        <f>IF(A64&gt;=$H$10,SUM('Water supply'!$D$146:$M$153)*'Summary of area'!$E$44*B64,0)</f>
        <v>0</v>
      </c>
      <c r="AF64">
        <f>IF(A64=$H$10,SUM(Heritage!$D$221:$M$222)*'Summary of area'!$E$46*B64,0)</f>
        <v>0</v>
      </c>
      <c r="AG64">
        <f>IF(A64&gt;=$H$10,SUM(Heritage!$D$223:$M$230)*'Summary of area'!$E$46*Sheet1!B64,0)</f>
        <v>0</v>
      </c>
      <c r="AH64">
        <f>IF(A64=$H$10,SUM('Recreation and tourism'!$D$109:$M$110)*'Summary of area'!$E$45*Sheet1!B64,0)</f>
        <v>0</v>
      </c>
      <c r="AI64">
        <f>IF(A64&gt;=$H$10,SUM('Recreation and tourism'!$D$111:$M$118)*'Summary of area'!$E$45*Sheet1!B64,0)</f>
        <v>0</v>
      </c>
    </row>
    <row r="65" spans="1:35" ht="15.75" thickBot="1">
      <c r="A65" s="134">
        <f t="shared" si="1"/>
        <v>50</v>
      </c>
      <c r="B65" s="108">
        <f t="shared" si="3"/>
        <v>0.19726271769053844</v>
      </c>
      <c r="C65" s="137">
        <f>SUM($B$15:B65)</f>
        <v>24.692568508421637</v>
      </c>
      <c r="D65" s="136"/>
      <c r="G65">
        <f>IF(A65&gt;=$H$10,Carbon!$F$33*'Summary of area'!$E$31*B65,0)</f>
        <v>0</v>
      </c>
      <c r="H65">
        <f>IF(A65=$H$10,SUM('Water levels-Residential'!$D$53:$M$54)*'Summary of area'!$E$32*B65,0)</f>
        <v>0</v>
      </c>
      <c r="I65">
        <f>IF(A65&gt;=$H$10,SUM('Water levels-Residential'!$D$55:$M$62)*'Summary of area'!$E$32*B65,0)</f>
        <v>0</v>
      </c>
      <c r="J65">
        <f>IF(A65=$H$10,SUM('Water levels-Business'!$D$87:$M$88)*'Summary of area'!$E$33*B65,0)</f>
        <v>0</v>
      </c>
      <c r="K65">
        <f>IF(A65&gt;=$H$10,SUM('Water levels-Business'!$D$89:$M$96)*'Summary of area'!$E$33*B65,0)</f>
        <v>0</v>
      </c>
      <c r="L65">
        <f>IF(A65=$H$10,SUM('Water levels-Social Infra'!$D$169:$M$170)*'Summary of area'!$E$34*B65,0)</f>
        <v>0</v>
      </c>
      <c r="M65">
        <f>IF(A65&gt;=$H$10,SUM('Water levels-Social Infra'!$D$171:$M$178)*'Summary of area'!$E$34*B65,0)</f>
        <v>0</v>
      </c>
      <c r="N65">
        <f>IF(A65=$H$10,SUM('Water levels-Emergency'!$D$152:$M$153)*'Summary of area'!$E$35*B65,0)</f>
        <v>0</v>
      </c>
      <c r="O65">
        <f>IF(A65&gt;=$H$10,SUM('Water levels-Emergency'!$D$154:$M$161)*'Summary of area'!$E$35*B65,0)</f>
        <v>0</v>
      </c>
      <c r="P65">
        <f>IF(A65=$H$10,SUM('Water levels-Utilities'!$D$189:$M$190)*'Summary of area'!$E$36*B65,0)</f>
        <v>0</v>
      </c>
      <c r="Q65">
        <f>IF(A65&gt;=$H$10,SUM('Water levels-Utilities'!$D$191:$M$198)*'Summary of area'!$E$36*B65,0)</f>
        <v>0</v>
      </c>
      <c r="R65">
        <f>IF(A65=$H$10,SUM('Water levels-Transport (road)'!$D$160:$M$161)*'Summary of area'!$E$37*B65,0)</f>
        <v>0</v>
      </c>
      <c r="S65">
        <f>IF(A65&gt;=$H$10,SUM('Water levels-Transport (road)'!$D$162:$M$169)*'Summary of area'!$E$37*B65+SUM('Water levels-Transport (road)'!$D$215:$M$222)*'Summary of area'!$E$37*B65,0)</f>
        <v>0</v>
      </c>
      <c r="T65">
        <f>IF(A65=$H$10,SUM('Water levels-Transport (rail)'!$D$137:$M$138)*'Summary of area'!$E$38*Sheet1!B65,0)</f>
        <v>0</v>
      </c>
      <c r="U65">
        <f>IF(A65&gt;=$H$10,SUM('Water levels-Transport (rail)'!$D$139:$M$146)*'Summary of area'!$E$38*B65+SUM('Water levels-Transport (rail)'!$D$165:$M$172)*'Summary of area'!$E$38*B65,0)</f>
        <v>0</v>
      </c>
      <c r="V65">
        <f>IF(A65=$H$10,SUM('Food production'!$D$256:$M$257)*'Summary of area'!$E$39*Sheet1!B65,0)</f>
        <v>0</v>
      </c>
      <c r="W65">
        <f>IF(A65&gt;=$H$10,SUM('Food production'!$D$258:$M$265)*'Summary of area'!$E$39*Sheet1!B65,0)</f>
        <v>0</v>
      </c>
      <c r="X65">
        <f>IF(A65=$H$10,SUM('Energy (direct)'!$D$85:$M$86)*'Summary of area'!$E$40*B65,0)</f>
        <v>0</v>
      </c>
      <c r="Y65">
        <f>IF(A65&gt;=$H$10,SUM('Energy (direct)'!$D$87:$M$94)*'Summary of area'!$E$40*Sheet1!B65,0)</f>
        <v>0</v>
      </c>
      <c r="Z65">
        <f>IF(A65=$H$10,SUM('Energy (indirect)'!$D$158:$M$159)*'Summary of area'!$E$41*Sheet1!B65,0)</f>
        <v>0</v>
      </c>
      <c r="AA65">
        <f>IF(A65&gt;=$H$10,SUM('Energy (indirect)'!$D$160:$M$167)*'Summary of area'!$E$41*B65,0)</f>
        <v>0</v>
      </c>
      <c r="AB65">
        <f>IF(A65=$H$10,SUM('Designated biodiversity sites'!$D$123:$M$124)*'Summary of area'!$E$42*Sheet1!B65+'Biodiversity - non-designated'!O129*'Summary of area'!$E$43*Sheet1!B65,0)</f>
        <v>0</v>
      </c>
      <c r="AC65">
        <f>IF(A65&gt;=$H$10,SUM('Designated biodiversity sites'!$D$125:$M$132)*'Summary of area'!$E$42*Sheet1!B65+'Biodiversity - non-designated'!O129*'Summary of area'!$E$43*Sheet1!B65,0)</f>
        <v>0</v>
      </c>
      <c r="AD65">
        <f>IF(A65=$H$10,SUM('Water supply'!$D$144:$M$145)*'Summary of area'!$E$44*Sheet1!B65,0)</f>
        <v>0</v>
      </c>
      <c r="AE65">
        <f>IF(A65&gt;=$H$10,SUM('Water supply'!$D$146:$M$153)*'Summary of area'!$E$44*B65,0)</f>
        <v>0</v>
      </c>
      <c r="AF65">
        <f>IF(A65=$H$10,SUM(Heritage!$D$221:$M$222)*'Summary of area'!$E$46*B65,0)</f>
        <v>0</v>
      </c>
      <c r="AG65">
        <f>IF(A65&gt;=$H$10,SUM(Heritage!$D$223:$M$230)*'Summary of area'!$E$46*Sheet1!B65,0)</f>
        <v>0</v>
      </c>
      <c r="AH65">
        <f>IF(A65=$H$10,SUM('Recreation and tourism'!$D$109:$M$110)*'Summary of area'!$E$45*Sheet1!B65,0)</f>
        <v>0</v>
      </c>
      <c r="AI65">
        <f>IF(A65&gt;=$H$10,SUM('Recreation and tourism'!$D$111:$M$118)*'Summary of area'!$E$45*Sheet1!B65,0)</f>
        <v>0</v>
      </c>
    </row>
    <row r="66" spans="1:35" ht="15.75" thickBot="1">
      <c r="A66" s="134">
        <f t="shared" si="1"/>
        <v>51</v>
      </c>
      <c r="B66" s="108">
        <f t="shared" si="3"/>
        <v>0.19151720164129946</v>
      </c>
      <c r="C66" s="137">
        <f>SUM($B$15:B66)</f>
        <v>24.884085710062937</v>
      </c>
      <c r="D66" s="136"/>
      <c r="G66">
        <f>IF(A66&gt;=$H$10,Carbon!$F$33*'Summary of area'!$E$31*B66,0)</f>
        <v>0</v>
      </c>
      <c r="H66">
        <f>IF(A66=$H$10,SUM('Water levels-Residential'!$D$53:$M$54)*'Summary of area'!$E$32*B66,0)</f>
        <v>0</v>
      </c>
      <c r="I66">
        <f>IF(A66&gt;=$H$10,SUM('Water levels-Residential'!$D$55:$M$62)*'Summary of area'!$E$32*B66,0)</f>
        <v>0</v>
      </c>
      <c r="J66">
        <f>IF(A66=$H$10,SUM('Water levels-Business'!$D$87:$M$88)*'Summary of area'!$E$33*B66,0)</f>
        <v>0</v>
      </c>
      <c r="K66">
        <f>IF(A66&gt;=$H$10,SUM('Water levels-Business'!$D$89:$M$96)*'Summary of area'!$E$33*B66,0)</f>
        <v>0</v>
      </c>
      <c r="L66">
        <f>IF(A66=$H$10,SUM('Water levels-Social Infra'!$D$169:$M$170)*'Summary of area'!$E$34*B66,0)</f>
        <v>0</v>
      </c>
      <c r="M66">
        <f>IF(A66&gt;=$H$10,SUM('Water levels-Social Infra'!$D$171:$M$178)*'Summary of area'!$E$34*B66,0)</f>
        <v>0</v>
      </c>
      <c r="N66">
        <f>IF(A66=$H$10,SUM('Water levels-Emergency'!$D$152:$M$153)*'Summary of area'!$E$35*B66,0)</f>
        <v>0</v>
      </c>
      <c r="O66">
        <f>IF(A66&gt;=$H$10,SUM('Water levels-Emergency'!$D$154:$M$161)*'Summary of area'!$E$35*B66,0)</f>
        <v>0</v>
      </c>
      <c r="P66">
        <f>IF(A66=$H$10,SUM('Water levels-Utilities'!$D$189:$M$190)*'Summary of area'!$E$36*B66,0)</f>
        <v>0</v>
      </c>
      <c r="Q66">
        <f>IF(A66&gt;=$H$10,SUM('Water levels-Utilities'!$D$191:$M$198)*'Summary of area'!$E$36*B66,0)</f>
        <v>0</v>
      </c>
      <c r="R66">
        <f>IF(A66=$H$10,SUM('Water levels-Transport (road)'!$D$160:$M$161)*'Summary of area'!$E$37*B66,0)</f>
        <v>0</v>
      </c>
      <c r="S66">
        <f>IF(A66&gt;=$H$10,SUM('Water levels-Transport (road)'!$D$162:$M$169)*'Summary of area'!$E$37*B66+SUM('Water levels-Transport (road)'!$D$215:$M$222)*'Summary of area'!$E$37*B66,0)</f>
        <v>0</v>
      </c>
      <c r="T66">
        <f>IF(A66=$H$10,SUM('Water levels-Transport (rail)'!$D$137:$M$138)*'Summary of area'!$E$38*Sheet1!B66,0)</f>
        <v>0</v>
      </c>
      <c r="U66">
        <f>IF(A66&gt;=$H$10,SUM('Water levels-Transport (rail)'!$D$139:$M$146)*'Summary of area'!$E$38*B66+SUM('Water levels-Transport (rail)'!$D$165:$M$172)*'Summary of area'!$E$38*B66,0)</f>
        <v>0</v>
      </c>
      <c r="V66">
        <f>IF(A66=$H$10,SUM('Food production'!$D$256:$M$257)*'Summary of area'!$E$39*Sheet1!B66,0)</f>
        <v>0</v>
      </c>
      <c r="W66">
        <f>IF(A66&gt;=$H$10,SUM('Food production'!$D$258:$M$265)*'Summary of area'!$E$39*Sheet1!B66,0)</f>
        <v>0</v>
      </c>
      <c r="X66">
        <f>IF(A66=$H$10,SUM('Energy (direct)'!$D$85:$M$86)*'Summary of area'!$E$40*B66,0)</f>
        <v>0</v>
      </c>
      <c r="Y66">
        <f>IF(A66&gt;=$H$10,SUM('Energy (direct)'!$D$87:$M$94)*'Summary of area'!$E$40*Sheet1!B66,0)</f>
        <v>0</v>
      </c>
      <c r="Z66">
        <f>IF(A66=$H$10,SUM('Energy (indirect)'!$D$158:$M$159)*'Summary of area'!$E$41*Sheet1!B66,0)</f>
        <v>0</v>
      </c>
      <c r="AA66">
        <f>IF(A66&gt;=$H$10,SUM('Energy (indirect)'!$D$160:$M$167)*'Summary of area'!$E$41*B66,0)</f>
        <v>0</v>
      </c>
      <c r="AB66">
        <f>IF(A66=$H$10,SUM('Designated biodiversity sites'!$D$123:$M$124)*'Summary of area'!$E$42*Sheet1!B66+'Biodiversity - non-designated'!O130*'Summary of area'!$E$43*Sheet1!B66,0)</f>
        <v>0</v>
      </c>
      <c r="AC66">
        <f>IF(A66&gt;=$H$10,SUM('Designated biodiversity sites'!$D$125:$M$132)*'Summary of area'!$E$42*Sheet1!B66+'Biodiversity - non-designated'!O130*'Summary of area'!$E$43*Sheet1!B66,0)</f>
        <v>0</v>
      </c>
      <c r="AD66">
        <f>IF(A66=$H$10,SUM('Water supply'!$D$144:$M$145)*'Summary of area'!$E$44*Sheet1!B66,0)</f>
        <v>0</v>
      </c>
      <c r="AE66">
        <f>IF(A66&gt;=$H$10,SUM('Water supply'!$D$146:$M$153)*'Summary of area'!$E$44*B66,0)</f>
        <v>0</v>
      </c>
      <c r="AF66">
        <f>IF(A66=$H$10,SUM(Heritage!$D$221:$M$222)*'Summary of area'!$E$46*B66,0)</f>
        <v>0</v>
      </c>
      <c r="AG66">
        <f>IF(A66&gt;=$H$10,SUM(Heritage!$D$223:$M$230)*'Summary of area'!$E$46*Sheet1!B66,0)</f>
        <v>0</v>
      </c>
      <c r="AH66">
        <f>IF(A66=$H$10,SUM('Recreation and tourism'!$D$109:$M$110)*'Summary of area'!$E$45*Sheet1!B66,0)</f>
        <v>0</v>
      </c>
      <c r="AI66">
        <f>IF(A66&gt;=$H$10,SUM('Recreation and tourism'!$D$111:$M$118)*'Summary of area'!$E$45*Sheet1!B66,0)</f>
        <v>0</v>
      </c>
    </row>
    <row r="67" spans="1:35" ht="15.75" thickBot="1">
      <c r="A67" s="134">
        <f t="shared" si="1"/>
        <v>52</v>
      </c>
      <c r="B67" s="108">
        <f t="shared" si="3"/>
        <v>0.18593903071970821</v>
      </c>
      <c r="C67" s="137">
        <f>SUM($B$15:B67)</f>
        <v>25.070024740782646</v>
      </c>
      <c r="D67" s="136"/>
      <c r="G67">
        <f>IF(A67&gt;=$H$10,Carbon!$F$33*'Summary of area'!$E$31*B67,0)</f>
        <v>0</v>
      </c>
      <c r="H67">
        <f>IF(A67=$H$10,SUM('Water levels-Residential'!$D$53:$M$54)*'Summary of area'!$E$32*B67,0)</f>
        <v>0</v>
      </c>
      <c r="I67">
        <f>IF(A67&gt;=$H$10,SUM('Water levels-Residential'!$D$55:$M$62)*'Summary of area'!$E$32*B67,0)</f>
        <v>0</v>
      </c>
      <c r="J67">
        <f>IF(A67=$H$10,SUM('Water levels-Business'!$D$87:$M$88)*'Summary of area'!$E$33*B67,0)</f>
        <v>0</v>
      </c>
      <c r="K67">
        <f>IF(A67&gt;=$H$10,SUM('Water levels-Business'!$D$89:$M$96)*'Summary of area'!$E$33*B67,0)</f>
        <v>0</v>
      </c>
      <c r="L67">
        <f>IF(A67=$H$10,SUM('Water levels-Social Infra'!$D$169:$M$170)*'Summary of area'!$E$34*B67,0)</f>
        <v>0</v>
      </c>
      <c r="M67">
        <f>IF(A67&gt;=$H$10,SUM('Water levels-Social Infra'!$D$171:$M$178)*'Summary of area'!$E$34*B67,0)</f>
        <v>0</v>
      </c>
      <c r="N67">
        <f>IF(A67=$H$10,SUM('Water levels-Emergency'!$D$152:$M$153)*'Summary of area'!$E$35*B67,0)</f>
        <v>0</v>
      </c>
      <c r="O67">
        <f>IF(A67&gt;=$H$10,SUM('Water levels-Emergency'!$D$154:$M$161)*'Summary of area'!$E$35*B67,0)</f>
        <v>0</v>
      </c>
      <c r="P67">
        <f>IF(A67=$H$10,SUM('Water levels-Utilities'!$D$189:$M$190)*'Summary of area'!$E$36*B67,0)</f>
        <v>0</v>
      </c>
      <c r="Q67">
        <f>IF(A67&gt;=$H$10,SUM('Water levels-Utilities'!$D$191:$M$198)*'Summary of area'!$E$36*B67,0)</f>
        <v>0</v>
      </c>
      <c r="R67">
        <f>IF(A67=$H$10,SUM('Water levels-Transport (road)'!$D$160:$M$161)*'Summary of area'!$E$37*B67,0)</f>
        <v>0</v>
      </c>
      <c r="S67">
        <f>IF(A67&gt;=$H$10,SUM('Water levels-Transport (road)'!$D$162:$M$169)*'Summary of area'!$E$37*B67+SUM('Water levels-Transport (road)'!$D$215:$M$222)*'Summary of area'!$E$37*B67,0)</f>
        <v>0</v>
      </c>
      <c r="T67">
        <f>IF(A67=$H$10,SUM('Water levels-Transport (rail)'!$D$137:$M$138)*'Summary of area'!$E$38*Sheet1!B67,0)</f>
        <v>0</v>
      </c>
      <c r="U67">
        <f>IF(A67&gt;=$H$10,SUM('Water levels-Transport (rail)'!$D$139:$M$146)*'Summary of area'!$E$38*B67+SUM('Water levels-Transport (rail)'!$D$165:$M$172)*'Summary of area'!$E$38*B67,0)</f>
        <v>0</v>
      </c>
      <c r="V67">
        <f>IF(A67=$H$10,SUM('Food production'!$D$256:$M$257)*'Summary of area'!$E$39*Sheet1!B67,0)</f>
        <v>0</v>
      </c>
      <c r="W67">
        <f>IF(A67&gt;=$H$10,SUM('Food production'!$D$258:$M$265)*'Summary of area'!$E$39*Sheet1!B67,0)</f>
        <v>0</v>
      </c>
      <c r="X67">
        <f>IF(A67=$H$10,SUM('Energy (direct)'!$D$85:$M$86)*'Summary of area'!$E$40*B67,0)</f>
        <v>0</v>
      </c>
      <c r="Y67">
        <f>IF(A67&gt;=$H$10,SUM('Energy (direct)'!$D$87:$M$94)*'Summary of area'!$E$40*Sheet1!B67,0)</f>
        <v>0</v>
      </c>
      <c r="Z67">
        <f>IF(A67=$H$10,SUM('Energy (indirect)'!$D$158:$M$159)*'Summary of area'!$E$41*Sheet1!B67,0)</f>
        <v>0</v>
      </c>
      <c r="AA67">
        <f>IF(A67&gt;=$H$10,SUM('Energy (indirect)'!$D$160:$M$167)*'Summary of area'!$E$41*B67,0)</f>
        <v>0</v>
      </c>
      <c r="AB67">
        <f>IF(A67=$H$10,SUM('Designated biodiversity sites'!$D$123:$M$124)*'Summary of area'!$E$42*Sheet1!B67+'Biodiversity - non-designated'!O131*'Summary of area'!$E$43*Sheet1!B67,0)</f>
        <v>0</v>
      </c>
      <c r="AC67">
        <f>IF(A67&gt;=$H$10,SUM('Designated biodiversity sites'!$D$125:$M$132)*'Summary of area'!$E$42*Sheet1!B67+'Biodiversity - non-designated'!O131*'Summary of area'!$E$43*Sheet1!B67,0)</f>
        <v>0</v>
      </c>
      <c r="AD67">
        <f>IF(A67=$H$10,SUM('Water supply'!$D$144:$M$145)*'Summary of area'!$E$44*Sheet1!B67,0)</f>
        <v>0</v>
      </c>
      <c r="AE67">
        <f>IF(A67&gt;=$H$10,SUM('Water supply'!$D$146:$M$153)*'Summary of area'!$E$44*B67,0)</f>
        <v>0</v>
      </c>
      <c r="AF67">
        <f>IF(A67=$H$10,SUM(Heritage!$D$221:$M$222)*'Summary of area'!$E$46*B67,0)</f>
        <v>0</v>
      </c>
      <c r="AG67">
        <f>IF(A67&gt;=$H$10,SUM(Heritage!$D$223:$M$230)*'Summary of area'!$E$46*Sheet1!B67,0)</f>
        <v>0</v>
      </c>
      <c r="AH67">
        <f>IF(A67=$H$10,SUM('Recreation and tourism'!$D$109:$M$110)*'Summary of area'!$E$45*Sheet1!B67,0)</f>
        <v>0</v>
      </c>
      <c r="AI67">
        <f>IF(A67&gt;=$H$10,SUM('Recreation and tourism'!$D$111:$M$118)*'Summary of area'!$E$45*Sheet1!B67,0)</f>
        <v>0</v>
      </c>
    </row>
    <row r="68" spans="1:35" ht="15.75" thickBot="1">
      <c r="A68" s="134">
        <f t="shared" si="1"/>
        <v>53</v>
      </c>
      <c r="B68" s="108">
        <f t="shared" si="3"/>
        <v>0.18052333079583321</v>
      </c>
      <c r="C68" s="137">
        <f>SUM($B$15:B68)</f>
        <v>25.25054807157848</v>
      </c>
      <c r="D68" s="136"/>
      <c r="G68">
        <f>IF(A68&gt;=$H$10,Carbon!$F$33*'Summary of area'!$E$31*B68,0)</f>
        <v>0</v>
      </c>
      <c r="H68">
        <f>IF(A68=$H$10,SUM('Water levels-Residential'!$D$53:$M$54)*'Summary of area'!$E$32*B68,0)</f>
        <v>0</v>
      </c>
      <c r="I68">
        <f>IF(A68&gt;=$H$10,SUM('Water levels-Residential'!$D$55:$M$62)*'Summary of area'!$E$32*B68,0)</f>
        <v>0</v>
      </c>
      <c r="J68">
        <f>IF(A68=$H$10,SUM('Water levels-Business'!$D$87:$M$88)*'Summary of area'!$E$33*B68,0)</f>
        <v>0</v>
      </c>
      <c r="K68">
        <f>IF(A68&gt;=$H$10,SUM('Water levels-Business'!$D$89:$M$96)*'Summary of area'!$E$33*B68,0)</f>
        <v>0</v>
      </c>
      <c r="L68">
        <f>IF(A68=$H$10,SUM('Water levels-Social Infra'!$D$169:$M$170)*'Summary of area'!$E$34*B68,0)</f>
        <v>0</v>
      </c>
      <c r="M68">
        <f>IF(A68&gt;=$H$10,SUM('Water levels-Social Infra'!$D$171:$M$178)*'Summary of area'!$E$34*B68,0)</f>
        <v>0</v>
      </c>
      <c r="N68">
        <f>IF(A68=$H$10,SUM('Water levels-Emergency'!$D$152:$M$153)*'Summary of area'!$E$35*B68,0)</f>
        <v>0</v>
      </c>
      <c r="O68">
        <f>IF(A68&gt;=$H$10,SUM('Water levels-Emergency'!$D$154:$M$161)*'Summary of area'!$E$35*B68,0)</f>
        <v>0</v>
      </c>
      <c r="P68">
        <f>IF(A68=$H$10,SUM('Water levels-Utilities'!$D$189:$M$190)*'Summary of area'!$E$36*B68,0)</f>
        <v>0</v>
      </c>
      <c r="Q68">
        <f>IF(A68&gt;=$H$10,SUM('Water levels-Utilities'!$D$191:$M$198)*'Summary of area'!$E$36*B68,0)</f>
        <v>0</v>
      </c>
      <c r="R68">
        <f>IF(A68=$H$10,SUM('Water levels-Transport (road)'!$D$160:$M$161)*'Summary of area'!$E$37*B68,0)</f>
        <v>0</v>
      </c>
      <c r="S68">
        <f>IF(A68&gt;=$H$10,SUM('Water levels-Transport (road)'!$D$162:$M$169)*'Summary of area'!$E$37*B68+SUM('Water levels-Transport (road)'!$D$215:$M$222)*'Summary of area'!$E$37*B68,0)</f>
        <v>0</v>
      </c>
      <c r="T68">
        <f>IF(A68=$H$10,SUM('Water levels-Transport (rail)'!$D$137:$M$138)*'Summary of area'!$E$38*Sheet1!B68,0)</f>
        <v>0</v>
      </c>
      <c r="U68">
        <f>IF(A68&gt;=$H$10,SUM('Water levels-Transport (rail)'!$D$139:$M$146)*'Summary of area'!$E$38*B68+SUM('Water levels-Transport (rail)'!$D$165:$M$172)*'Summary of area'!$E$38*B68,0)</f>
        <v>0</v>
      </c>
      <c r="V68">
        <f>IF(A68=$H$10,SUM('Food production'!$D$256:$M$257)*'Summary of area'!$E$39*Sheet1!B68,0)</f>
        <v>0</v>
      </c>
      <c r="W68">
        <f>IF(A68&gt;=$H$10,SUM('Food production'!$D$258:$M$265)*'Summary of area'!$E$39*Sheet1!B68,0)</f>
        <v>0</v>
      </c>
      <c r="X68">
        <f>IF(A68=$H$10,SUM('Energy (direct)'!$D$85:$M$86)*'Summary of area'!$E$40*B68,0)</f>
        <v>0</v>
      </c>
      <c r="Y68">
        <f>IF(A68&gt;=$H$10,SUM('Energy (direct)'!$D$87:$M$94)*'Summary of area'!$E$40*Sheet1!B68,0)</f>
        <v>0</v>
      </c>
      <c r="Z68">
        <f>IF(A68=$H$10,SUM('Energy (indirect)'!$D$158:$M$159)*'Summary of area'!$E$41*Sheet1!B68,0)</f>
        <v>0</v>
      </c>
      <c r="AA68">
        <f>IF(A68&gt;=$H$10,SUM('Energy (indirect)'!$D$160:$M$167)*'Summary of area'!$E$41*B68,0)</f>
        <v>0</v>
      </c>
      <c r="AB68">
        <f>IF(A68=$H$10,SUM('Designated biodiversity sites'!$D$123:$M$124)*'Summary of area'!$E$42*Sheet1!B68+'Biodiversity - non-designated'!O132*'Summary of area'!$E$43*Sheet1!B68,0)</f>
        <v>0</v>
      </c>
      <c r="AC68">
        <f>IF(A68&gt;=$H$10,SUM('Designated biodiversity sites'!$D$125:$M$132)*'Summary of area'!$E$42*Sheet1!B68+'Biodiversity - non-designated'!O132*'Summary of area'!$E$43*Sheet1!B68,0)</f>
        <v>0</v>
      </c>
      <c r="AD68">
        <f>IF(A68=$H$10,SUM('Water supply'!$D$144:$M$145)*'Summary of area'!$E$44*Sheet1!B68,0)</f>
        <v>0</v>
      </c>
      <c r="AE68">
        <f>IF(A68&gt;=$H$10,SUM('Water supply'!$D$146:$M$153)*'Summary of area'!$E$44*B68,0)</f>
        <v>0</v>
      </c>
      <c r="AF68">
        <f>IF(A68=$H$10,SUM(Heritage!$D$221:$M$222)*'Summary of area'!$E$46*B68,0)</f>
        <v>0</v>
      </c>
      <c r="AG68">
        <f>IF(A68&gt;=$H$10,SUM(Heritage!$D$223:$M$230)*'Summary of area'!$E$46*Sheet1!B68,0)</f>
        <v>0</v>
      </c>
      <c r="AH68">
        <f>IF(A68=$H$10,SUM('Recreation and tourism'!$D$109:$M$110)*'Summary of area'!$E$45*Sheet1!B68,0)</f>
        <v>0</v>
      </c>
      <c r="AI68">
        <f>IF(A68&gt;=$H$10,SUM('Recreation and tourism'!$D$111:$M$118)*'Summary of area'!$E$45*Sheet1!B68,0)</f>
        <v>0</v>
      </c>
    </row>
    <row r="69" spans="1:35" ht="15.75" thickBot="1">
      <c r="A69" s="134">
        <f t="shared" si="1"/>
        <v>54</v>
      </c>
      <c r="B69" s="108">
        <f t="shared" si="3"/>
        <v>0.17526536970469245</v>
      </c>
      <c r="C69" s="137">
        <f>SUM($B$15:B69)</f>
        <v>25.42581344128317</v>
      </c>
      <c r="D69" s="136"/>
      <c r="G69">
        <f>IF(A69&gt;=$H$10,Carbon!$F$33*'Summary of area'!$E$31*B69,0)</f>
        <v>0</v>
      </c>
      <c r="H69">
        <f>IF(A69=$H$10,SUM('Water levels-Residential'!$D$53:$M$54)*'Summary of area'!$E$32*B69,0)</f>
        <v>0</v>
      </c>
      <c r="I69">
        <f>IF(A69&gt;=$H$10,SUM('Water levels-Residential'!$D$55:$M$62)*'Summary of area'!$E$32*B69,0)</f>
        <v>0</v>
      </c>
      <c r="J69">
        <f>IF(A69=$H$10,SUM('Water levels-Business'!$D$87:$M$88)*'Summary of area'!$E$33*B69,0)</f>
        <v>0</v>
      </c>
      <c r="K69">
        <f>IF(A69&gt;=$H$10,SUM('Water levels-Business'!$D$89:$M$96)*'Summary of area'!$E$33*B69,0)</f>
        <v>0</v>
      </c>
      <c r="L69">
        <f>IF(A69=$H$10,SUM('Water levels-Social Infra'!$D$169:$M$170)*'Summary of area'!$E$34*B69,0)</f>
        <v>0</v>
      </c>
      <c r="M69">
        <f>IF(A69&gt;=$H$10,SUM('Water levels-Social Infra'!$D$171:$M$178)*'Summary of area'!$E$34*B69,0)</f>
        <v>0</v>
      </c>
      <c r="N69">
        <f>IF(A69=$H$10,SUM('Water levels-Emergency'!$D$152:$M$153)*'Summary of area'!$E$35*B69,0)</f>
        <v>0</v>
      </c>
      <c r="O69">
        <f>IF(A69&gt;=$H$10,SUM('Water levels-Emergency'!$D$154:$M$161)*'Summary of area'!$E$35*B69,0)</f>
        <v>0</v>
      </c>
      <c r="P69">
        <f>IF(A69=$H$10,SUM('Water levels-Utilities'!$D$189:$M$190)*'Summary of area'!$E$36*B69,0)</f>
        <v>0</v>
      </c>
      <c r="Q69">
        <f>IF(A69&gt;=$H$10,SUM('Water levels-Utilities'!$D$191:$M$198)*'Summary of area'!$E$36*B69,0)</f>
        <v>0</v>
      </c>
      <c r="R69">
        <f>IF(A69=$H$10,SUM('Water levels-Transport (road)'!$D$160:$M$161)*'Summary of area'!$E$37*B69,0)</f>
        <v>0</v>
      </c>
      <c r="S69">
        <f>IF(A69&gt;=$H$10,SUM('Water levels-Transport (road)'!$D$162:$M$169)*'Summary of area'!$E$37*B69+SUM('Water levels-Transport (road)'!$D$215:$M$222)*'Summary of area'!$E$37*B69,0)</f>
        <v>0</v>
      </c>
      <c r="T69">
        <f>IF(A69=$H$10,SUM('Water levels-Transport (rail)'!$D$137:$M$138)*'Summary of area'!$E$38*Sheet1!B69,0)</f>
        <v>0</v>
      </c>
      <c r="U69">
        <f>IF(A69&gt;=$H$10,SUM('Water levels-Transport (rail)'!$D$139:$M$146)*'Summary of area'!$E$38*B69+SUM('Water levels-Transport (rail)'!$D$165:$M$172)*'Summary of area'!$E$38*B69,0)</f>
        <v>0</v>
      </c>
      <c r="V69">
        <f>IF(A69=$H$10,SUM('Food production'!$D$256:$M$257)*'Summary of area'!$E$39*Sheet1!B69,0)</f>
        <v>0</v>
      </c>
      <c r="W69">
        <f>IF(A69&gt;=$H$10,SUM('Food production'!$D$258:$M$265)*'Summary of area'!$E$39*Sheet1!B69,0)</f>
        <v>0</v>
      </c>
      <c r="X69">
        <f>IF(A69=$H$10,SUM('Energy (direct)'!$D$85:$M$86)*'Summary of area'!$E$40*B69,0)</f>
        <v>0</v>
      </c>
      <c r="Y69">
        <f>IF(A69&gt;=$H$10,SUM('Energy (direct)'!$D$87:$M$94)*'Summary of area'!$E$40*Sheet1!B69,0)</f>
        <v>0</v>
      </c>
      <c r="Z69">
        <f>IF(A69=$H$10,SUM('Energy (indirect)'!$D$158:$M$159)*'Summary of area'!$E$41*Sheet1!B69,0)</f>
        <v>0</v>
      </c>
      <c r="AA69">
        <f>IF(A69&gt;=$H$10,SUM('Energy (indirect)'!$D$160:$M$167)*'Summary of area'!$E$41*B69,0)</f>
        <v>0</v>
      </c>
      <c r="AB69">
        <f>IF(A69=$H$10,SUM('Designated biodiversity sites'!$D$123:$M$124)*'Summary of area'!$E$42*Sheet1!B69+'Biodiversity - non-designated'!O133*'Summary of area'!$E$43*Sheet1!B69,0)</f>
        <v>0</v>
      </c>
      <c r="AC69">
        <f>IF(A69&gt;=$H$10,SUM('Designated biodiversity sites'!$D$125:$M$132)*'Summary of area'!$E$42*Sheet1!B69+'Biodiversity - non-designated'!O133*'Summary of area'!$E$43*Sheet1!B69,0)</f>
        <v>0</v>
      </c>
      <c r="AD69">
        <f>IF(A69=$H$10,SUM('Water supply'!$D$144:$M$145)*'Summary of area'!$E$44*Sheet1!B69,0)</f>
        <v>0</v>
      </c>
      <c r="AE69">
        <f>IF(A69&gt;=$H$10,SUM('Water supply'!$D$146:$M$153)*'Summary of area'!$E$44*B69,0)</f>
        <v>0</v>
      </c>
      <c r="AF69">
        <f>IF(A69=$H$10,SUM(Heritage!$D$221:$M$222)*'Summary of area'!$E$46*B69,0)</f>
        <v>0</v>
      </c>
      <c r="AG69">
        <f>IF(A69&gt;=$H$10,SUM(Heritage!$D$223:$M$230)*'Summary of area'!$E$46*Sheet1!B69,0)</f>
        <v>0</v>
      </c>
      <c r="AH69">
        <f>IF(A69=$H$10,SUM('Recreation and tourism'!$D$109:$M$110)*'Summary of area'!$E$45*Sheet1!B69,0)</f>
        <v>0</v>
      </c>
      <c r="AI69">
        <f>IF(A69&gt;=$H$10,SUM('Recreation and tourism'!$D$111:$M$118)*'Summary of area'!$E$45*Sheet1!B69,0)</f>
        <v>0</v>
      </c>
    </row>
    <row r="70" spans="1:35" ht="15.75" thickBot="1">
      <c r="A70" s="134">
        <f t="shared" si="1"/>
        <v>55</v>
      </c>
      <c r="B70" s="108">
        <f t="shared" si="3"/>
        <v>0.1701605531113519</v>
      </c>
      <c r="C70" s="137">
        <f>SUM($B$15:B70)</f>
        <v>25.595973994394523</v>
      </c>
      <c r="D70" s="136"/>
      <c r="G70">
        <f>IF(A70&gt;=$H$10,Carbon!$F$33*'Summary of area'!$E$31*B70,0)</f>
        <v>0</v>
      </c>
      <c r="H70">
        <f>IF(A70=$H$10,SUM('Water levels-Residential'!$D$53:$M$54)*'Summary of area'!$E$32*B70,0)</f>
        <v>0</v>
      </c>
      <c r="I70">
        <f>IF(A70&gt;=$H$10,SUM('Water levels-Residential'!$D$55:$M$62)*'Summary of area'!$E$32*B70,0)</f>
        <v>0</v>
      </c>
      <c r="J70">
        <f>IF(A70=$H$10,SUM('Water levels-Business'!$D$87:$M$88)*'Summary of area'!$E$33*B70,0)</f>
        <v>0</v>
      </c>
      <c r="K70">
        <f>IF(A70&gt;=$H$10,SUM('Water levels-Business'!$D$89:$M$96)*'Summary of area'!$E$33*B70,0)</f>
        <v>0</v>
      </c>
      <c r="L70">
        <f>IF(A70=$H$10,SUM('Water levels-Social Infra'!$D$169:$M$170)*'Summary of area'!$E$34*B70,0)</f>
        <v>0</v>
      </c>
      <c r="M70">
        <f>IF(A70&gt;=$H$10,SUM('Water levels-Social Infra'!$D$171:$M$178)*'Summary of area'!$E$34*B70,0)</f>
        <v>0</v>
      </c>
      <c r="N70">
        <f>IF(A70=$H$10,SUM('Water levels-Emergency'!$D$152:$M$153)*'Summary of area'!$E$35*B70,0)</f>
        <v>0</v>
      </c>
      <c r="O70">
        <f>IF(A70&gt;=$H$10,SUM('Water levels-Emergency'!$D$154:$M$161)*'Summary of area'!$E$35*B70,0)</f>
        <v>0</v>
      </c>
      <c r="P70">
        <f>IF(A70=$H$10,SUM('Water levels-Utilities'!$D$189:$M$190)*'Summary of area'!$E$36*B70,0)</f>
        <v>0</v>
      </c>
      <c r="Q70">
        <f>IF(A70&gt;=$H$10,SUM('Water levels-Utilities'!$D$191:$M$198)*'Summary of area'!$E$36*B70,0)</f>
        <v>0</v>
      </c>
      <c r="R70">
        <f>IF(A70=$H$10,SUM('Water levels-Transport (road)'!$D$160:$M$161)*'Summary of area'!$E$37*B70,0)</f>
        <v>0</v>
      </c>
      <c r="S70">
        <f>IF(A70&gt;=$H$10,SUM('Water levels-Transport (road)'!$D$162:$M$169)*'Summary of area'!$E$37*B70+SUM('Water levels-Transport (road)'!$D$215:$M$222)*'Summary of area'!$E$37*B70,0)</f>
        <v>0</v>
      </c>
      <c r="T70">
        <f>IF(A70=$H$10,SUM('Water levels-Transport (rail)'!$D$137:$M$138)*'Summary of area'!$E$38*Sheet1!B70,0)</f>
        <v>0</v>
      </c>
      <c r="U70">
        <f>IF(A70&gt;=$H$10,SUM('Water levels-Transport (rail)'!$D$139:$M$146)*'Summary of area'!$E$38*B70+SUM('Water levels-Transport (rail)'!$D$165:$M$172)*'Summary of area'!$E$38*B70,0)</f>
        <v>0</v>
      </c>
      <c r="V70">
        <f>IF(A70=$H$10,SUM('Food production'!$D$256:$M$257)*'Summary of area'!$E$39*Sheet1!B70,0)</f>
        <v>0</v>
      </c>
      <c r="W70">
        <f>IF(A70&gt;=$H$10,SUM('Food production'!$D$258:$M$265)*'Summary of area'!$E$39*Sheet1!B70,0)</f>
        <v>0</v>
      </c>
      <c r="X70">
        <f>IF(A70=$H$10,SUM('Energy (direct)'!$D$85:$M$86)*'Summary of area'!$E$40*B70,0)</f>
        <v>0</v>
      </c>
      <c r="Y70">
        <f>IF(A70&gt;=$H$10,SUM('Energy (direct)'!$D$87:$M$94)*'Summary of area'!$E$40*Sheet1!B70,0)</f>
        <v>0</v>
      </c>
      <c r="Z70">
        <f>IF(A70=$H$10,SUM('Energy (indirect)'!$D$158:$M$159)*'Summary of area'!$E$41*Sheet1!B70,0)</f>
        <v>0</v>
      </c>
      <c r="AA70">
        <f>IF(A70&gt;=$H$10,SUM('Energy (indirect)'!$D$160:$M$167)*'Summary of area'!$E$41*B70,0)</f>
        <v>0</v>
      </c>
      <c r="AB70">
        <f>IF(A70=$H$10,SUM('Designated biodiversity sites'!$D$123:$M$124)*'Summary of area'!$E$42*Sheet1!B70+'Biodiversity - non-designated'!O134*'Summary of area'!$E$43*Sheet1!B70,0)</f>
        <v>0</v>
      </c>
      <c r="AC70">
        <f>IF(A70&gt;=$H$10,SUM('Designated biodiversity sites'!$D$125:$M$132)*'Summary of area'!$E$42*Sheet1!B70+'Biodiversity - non-designated'!O134*'Summary of area'!$E$43*Sheet1!B70,0)</f>
        <v>0</v>
      </c>
      <c r="AD70">
        <f>IF(A70=$H$10,SUM('Water supply'!$D$144:$M$145)*'Summary of area'!$E$44*Sheet1!B70,0)</f>
        <v>0</v>
      </c>
      <c r="AE70">
        <f>IF(A70&gt;=$H$10,SUM('Water supply'!$D$146:$M$153)*'Summary of area'!$E$44*B70,0)</f>
        <v>0</v>
      </c>
      <c r="AF70">
        <f>IF(A70=$H$10,SUM(Heritage!$D$221:$M$222)*'Summary of area'!$E$46*B70,0)</f>
        <v>0</v>
      </c>
      <c r="AG70">
        <f>IF(A70&gt;=$H$10,SUM(Heritage!$D$223:$M$230)*'Summary of area'!$E$46*Sheet1!B70,0)</f>
        <v>0</v>
      </c>
      <c r="AH70">
        <f>IF(A70=$H$10,SUM('Recreation and tourism'!$D$109:$M$110)*'Summary of area'!$E$45*Sheet1!B70,0)</f>
        <v>0</v>
      </c>
      <c r="AI70">
        <f>IF(A70&gt;=$H$10,SUM('Recreation and tourism'!$D$111:$M$118)*'Summary of area'!$E$45*Sheet1!B70,0)</f>
        <v>0</v>
      </c>
    </row>
    <row r="71" spans="1:35" ht="15.75" thickBot="1">
      <c r="A71" s="134">
        <f t="shared" si="1"/>
        <v>56</v>
      </c>
      <c r="B71" s="108">
        <f t="shared" si="3"/>
        <v>0.16520442049645814</v>
      </c>
      <c r="C71" s="137">
        <f>SUM($B$15:B71)</f>
        <v>25.76117841489098</v>
      </c>
      <c r="D71" s="136"/>
      <c r="G71">
        <f>IF(A71&gt;=$H$10,Carbon!$F$33*'Summary of area'!$E$31*B71,0)</f>
        <v>0</v>
      </c>
      <c r="H71">
        <f>IF(A71=$H$10,SUM('Water levels-Residential'!$D$53:$M$54)*'Summary of area'!$E$32*B71,0)</f>
        <v>0</v>
      </c>
      <c r="I71">
        <f>IF(A71&gt;=$H$10,SUM('Water levels-Residential'!$D$55:$M$62)*'Summary of area'!$E$32*B71,0)</f>
        <v>0</v>
      </c>
      <c r="J71">
        <f>IF(A71=$H$10,SUM('Water levels-Business'!$D$87:$M$88)*'Summary of area'!$E$33*B71,0)</f>
        <v>0</v>
      </c>
      <c r="K71">
        <f>IF(A71&gt;=$H$10,SUM('Water levels-Business'!$D$89:$M$96)*'Summary of area'!$E$33*B71,0)</f>
        <v>0</v>
      </c>
      <c r="L71">
        <f>IF(A71=$H$10,SUM('Water levels-Social Infra'!$D$169:$M$170)*'Summary of area'!$E$34*B71,0)</f>
        <v>0</v>
      </c>
      <c r="M71">
        <f>IF(A71&gt;=$H$10,SUM('Water levels-Social Infra'!$D$171:$M$178)*'Summary of area'!$E$34*B71,0)</f>
        <v>0</v>
      </c>
      <c r="N71">
        <f>IF(A71=$H$10,SUM('Water levels-Emergency'!$D$152:$M$153)*'Summary of area'!$E$35*B71,0)</f>
        <v>0</v>
      </c>
      <c r="O71">
        <f>IF(A71&gt;=$H$10,SUM('Water levels-Emergency'!$D$154:$M$161)*'Summary of area'!$E$35*B71,0)</f>
        <v>0</v>
      </c>
      <c r="P71">
        <f>IF(A71=$H$10,SUM('Water levels-Utilities'!$D$189:$M$190)*'Summary of area'!$E$36*B71,0)</f>
        <v>0</v>
      </c>
      <c r="Q71">
        <f>IF(A71&gt;=$H$10,SUM('Water levels-Utilities'!$D$191:$M$198)*'Summary of area'!$E$36*B71,0)</f>
        <v>0</v>
      </c>
      <c r="R71">
        <f>IF(A71=$H$10,SUM('Water levels-Transport (road)'!$D$160:$M$161)*'Summary of area'!$E$37*B71,0)</f>
        <v>0</v>
      </c>
      <c r="S71">
        <f>IF(A71&gt;=$H$10,SUM('Water levels-Transport (road)'!$D$162:$M$169)*'Summary of area'!$E$37*B71+SUM('Water levels-Transport (road)'!$D$215:$M$222)*'Summary of area'!$E$37*B71,0)</f>
        <v>0</v>
      </c>
      <c r="T71">
        <f>IF(A71=$H$10,SUM('Water levels-Transport (rail)'!$D$137:$M$138)*'Summary of area'!$E$38*Sheet1!B71,0)</f>
        <v>0</v>
      </c>
      <c r="U71">
        <f>IF(A71&gt;=$H$10,SUM('Water levels-Transport (rail)'!$D$139:$M$146)*'Summary of area'!$E$38*B71+SUM('Water levels-Transport (rail)'!$D$165:$M$172)*'Summary of area'!$E$38*B71,0)</f>
        <v>0</v>
      </c>
      <c r="V71">
        <f>IF(A71=$H$10,SUM('Food production'!$D$256:$M$257)*'Summary of area'!$E$39*Sheet1!B71,0)</f>
        <v>0</v>
      </c>
      <c r="W71">
        <f>IF(A71&gt;=$H$10,SUM('Food production'!$D$258:$M$265)*'Summary of area'!$E$39*Sheet1!B71,0)</f>
        <v>0</v>
      </c>
      <c r="X71">
        <f>IF(A71=$H$10,SUM('Energy (direct)'!$D$85:$M$86)*'Summary of area'!$E$40*B71,0)</f>
        <v>0</v>
      </c>
      <c r="Y71">
        <f>IF(A71&gt;=$H$10,SUM('Energy (direct)'!$D$87:$M$94)*'Summary of area'!$E$40*Sheet1!B71,0)</f>
        <v>0</v>
      </c>
      <c r="Z71">
        <f>IF(A71=$H$10,SUM('Energy (indirect)'!$D$158:$M$159)*'Summary of area'!$E$41*Sheet1!B71,0)</f>
        <v>0</v>
      </c>
      <c r="AA71">
        <f>IF(A71&gt;=$H$10,SUM('Energy (indirect)'!$D$160:$M$167)*'Summary of area'!$E$41*B71,0)</f>
        <v>0</v>
      </c>
      <c r="AB71">
        <f>IF(A71=$H$10,SUM('Designated biodiversity sites'!$D$123:$M$124)*'Summary of area'!$E$42*Sheet1!B71+'Biodiversity - non-designated'!O135*'Summary of area'!$E$43*Sheet1!B71,0)</f>
        <v>0</v>
      </c>
      <c r="AC71">
        <f>IF(A71&gt;=$H$10,SUM('Designated biodiversity sites'!$D$125:$M$132)*'Summary of area'!$E$42*Sheet1!B71+'Biodiversity - non-designated'!O135*'Summary of area'!$E$43*Sheet1!B71,0)</f>
        <v>0</v>
      </c>
      <c r="AD71">
        <f>IF(A71=$H$10,SUM('Water supply'!$D$144:$M$145)*'Summary of area'!$E$44*Sheet1!B71,0)</f>
        <v>0</v>
      </c>
      <c r="AE71">
        <f>IF(A71&gt;=$H$10,SUM('Water supply'!$D$146:$M$153)*'Summary of area'!$E$44*B71,0)</f>
        <v>0</v>
      </c>
      <c r="AF71">
        <f>IF(A71=$H$10,SUM(Heritage!$D$221:$M$222)*'Summary of area'!$E$46*B71,0)</f>
        <v>0</v>
      </c>
      <c r="AG71">
        <f>IF(A71&gt;=$H$10,SUM(Heritage!$D$223:$M$230)*'Summary of area'!$E$46*Sheet1!B71,0)</f>
        <v>0</v>
      </c>
      <c r="AH71">
        <f>IF(A71=$H$10,SUM('Recreation and tourism'!$D$109:$M$110)*'Summary of area'!$E$45*Sheet1!B71,0)</f>
        <v>0</v>
      </c>
      <c r="AI71">
        <f>IF(A71&gt;=$H$10,SUM('Recreation and tourism'!$D$111:$M$118)*'Summary of area'!$E$45*Sheet1!B71,0)</f>
        <v>0</v>
      </c>
    </row>
    <row r="72" spans="1:35" ht="15.75" thickBot="1">
      <c r="A72" s="134">
        <f t="shared" si="1"/>
        <v>57</v>
      </c>
      <c r="B72" s="108">
        <f t="shared" si="3"/>
        <v>0.16039264125869723</v>
      </c>
      <c r="C72" s="137">
        <f>SUM($B$15:B72)</f>
        <v>25.921571056149677</v>
      </c>
      <c r="D72" s="136"/>
      <c r="G72">
        <f>IF(A72&gt;=$H$10,Carbon!$F$33*'Summary of area'!$E$31*B72,0)</f>
        <v>0</v>
      </c>
      <c r="H72">
        <f>IF(A72=$H$10,SUM('Water levels-Residential'!$D$53:$M$54)*'Summary of area'!$E$32*B72,0)</f>
        <v>0</v>
      </c>
      <c r="I72">
        <f>IF(A72&gt;=$H$10,SUM('Water levels-Residential'!$D$55:$M$62)*'Summary of area'!$E$32*B72,0)</f>
        <v>0</v>
      </c>
      <c r="J72">
        <f>IF(A72=$H$10,SUM('Water levels-Business'!$D$87:$M$88)*'Summary of area'!$E$33*B72,0)</f>
        <v>0</v>
      </c>
      <c r="K72">
        <f>IF(A72&gt;=$H$10,SUM('Water levels-Business'!$D$89:$M$96)*'Summary of area'!$E$33*B72,0)</f>
        <v>0</v>
      </c>
      <c r="L72">
        <f>IF(A72=$H$10,SUM('Water levels-Social Infra'!$D$169:$M$170)*'Summary of area'!$E$34*B72,0)</f>
        <v>0</v>
      </c>
      <c r="M72">
        <f>IF(A72&gt;=$H$10,SUM('Water levels-Social Infra'!$D$171:$M$178)*'Summary of area'!$E$34*B72,0)</f>
        <v>0</v>
      </c>
      <c r="N72">
        <f>IF(A72=$H$10,SUM('Water levels-Emergency'!$D$152:$M$153)*'Summary of area'!$E$35*B72,0)</f>
        <v>0</v>
      </c>
      <c r="O72">
        <f>IF(A72&gt;=$H$10,SUM('Water levels-Emergency'!$D$154:$M$161)*'Summary of area'!$E$35*B72,0)</f>
        <v>0</v>
      </c>
      <c r="P72">
        <f>IF(A72=$H$10,SUM('Water levels-Utilities'!$D$189:$M$190)*'Summary of area'!$E$36*B72,0)</f>
        <v>0</v>
      </c>
      <c r="Q72">
        <f>IF(A72&gt;=$H$10,SUM('Water levels-Utilities'!$D$191:$M$198)*'Summary of area'!$E$36*B72,0)</f>
        <v>0</v>
      </c>
      <c r="R72">
        <f>IF(A72=$H$10,SUM('Water levels-Transport (road)'!$D$160:$M$161)*'Summary of area'!$E$37*B72,0)</f>
        <v>0</v>
      </c>
      <c r="S72">
        <f>IF(A72&gt;=$H$10,SUM('Water levels-Transport (road)'!$D$162:$M$169)*'Summary of area'!$E$37*B72+SUM('Water levels-Transport (road)'!$D$215:$M$222)*'Summary of area'!$E$37*B72,0)</f>
        <v>0</v>
      </c>
      <c r="T72">
        <f>IF(A72=$H$10,SUM('Water levels-Transport (rail)'!$D$137:$M$138)*'Summary of area'!$E$38*Sheet1!B72,0)</f>
        <v>0</v>
      </c>
      <c r="U72">
        <f>IF(A72&gt;=$H$10,SUM('Water levels-Transport (rail)'!$D$139:$M$146)*'Summary of area'!$E$38*B72+SUM('Water levels-Transport (rail)'!$D$165:$M$172)*'Summary of area'!$E$38*B72,0)</f>
        <v>0</v>
      </c>
      <c r="V72">
        <f>IF(A72=$H$10,SUM('Food production'!$D$256:$M$257)*'Summary of area'!$E$39*Sheet1!B72,0)</f>
        <v>0</v>
      </c>
      <c r="W72">
        <f>IF(A72&gt;=$H$10,SUM('Food production'!$D$258:$M$265)*'Summary of area'!$E$39*Sheet1!B72,0)</f>
        <v>0</v>
      </c>
      <c r="X72">
        <f>IF(A72=$H$10,SUM('Energy (direct)'!$D$85:$M$86)*'Summary of area'!$E$40*B72,0)</f>
        <v>0</v>
      </c>
      <c r="Y72">
        <f>IF(A72&gt;=$H$10,SUM('Energy (direct)'!$D$87:$M$94)*'Summary of area'!$E$40*Sheet1!B72,0)</f>
        <v>0</v>
      </c>
      <c r="Z72">
        <f>IF(A72=$H$10,SUM('Energy (indirect)'!$D$158:$M$159)*'Summary of area'!$E$41*Sheet1!B72,0)</f>
        <v>0</v>
      </c>
      <c r="AA72">
        <f>IF(A72&gt;=$H$10,SUM('Energy (indirect)'!$D$160:$M$167)*'Summary of area'!$E$41*B72,0)</f>
        <v>0</v>
      </c>
      <c r="AB72">
        <f>IF(A72=$H$10,SUM('Designated biodiversity sites'!$D$123:$M$124)*'Summary of area'!$E$42*Sheet1!B72+'Biodiversity - non-designated'!O136*'Summary of area'!$E$43*Sheet1!B72,0)</f>
        <v>0</v>
      </c>
      <c r="AC72">
        <f>IF(A72&gt;=$H$10,SUM('Designated biodiversity sites'!$D$125:$M$132)*'Summary of area'!$E$42*Sheet1!B72+'Biodiversity - non-designated'!O136*'Summary of area'!$E$43*Sheet1!B72,0)</f>
        <v>0</v>
      </c>
      <c r="AD72">
        <f>IF(A72=$H$10,SUM('Water supply'!$D$144:$M$145)*'Summary of area'!$E$44*Sheet1!B72,0)</f>
        <v>0</v>
      </c>
      <c r="AE72">
        <f>IF(A72&gt;=$H$10,SUM('Water supply'!$D$146:$M$153)*'Summary of area'!$E$44*B72,0)</f>
        <v>0</v>
      </c>
      <c r="AF72">
        <f>IF(A72=$H$10,SUM(Heritage!$D$221:$M$222)*'Summary of area'!$E$46*B72,0)</f>
        <v>0</v>
      </c>
      <c r="AG72">
        <f>IF(A72&gt;=$H$10,SUM(Heritage!$D$223:$M$230)*'Summary of area'!$E$46*Sheet1!B72,0)</f>
        <v>0</v>
      </c>
      <c r="AH72">
        <f>IF(A72=$H$10,SUM('Recreation and tourism'!$D$109:$M$110)*'Summary of area'!$E$45*Sheet1!B72,0)</f>
        <v>0</v>
      </c>
      <c r="AI72">
        <f>IF(A72&gt;=$H$10,SUM('Recreation and tourism'!$D$111:$M$118)*'Summary of area'!$E$45*Sheet1!B72,0)</f>
        <v>0</v>
      </c>
    </row>
    <row r="73" spans="1:35" ht="15.75" thickBot="1">
      <c r="A73" s="134">
        <f t="shared" si="1"/>
        <v>58</v>
      </c>
      <c r="B73" s="108">
        <f t="shared" si="3"/>
        <v>0.155721010930774</v>
      </c>
      <c r="C73" s="137">
        <f>SUM($B$15:B73)</f>
        <v>26.07729206708045</v>
      </c>
      <c r="D73" s="136"/>
      <c r="G73">
        <f>IF(A73&gt;=$H$10,Carbon!$F$33*'Summary of area'!$E$31*B73,0)</f>
        <v>0</v>
      </c>
      <c r="H73">
        <f>IF(A73=$H$10,SUM('Water levels-Residential'!$D$53:$M$54)*'Summary of area'!$E$32*B73,0)</f>
        <v>0</v>
      </c>
      <c r="I73">
        <f>IF(A73&gt;=$H$10,SUM('Water levels-Residential'!$D$55:$M$62)*'Summary of area'!$E$32*B73,0)</f>
        <v>0</v>
      </c>
      <c r="J73">
        <f>IF(A73=$H$10,SUM('Water levels-Business'!$D$87:$M$88)*'Summary of area'!$E$33*B73,0)</f>
        <v>0</v>
      </c>
      <c r="K73">
        <f>IF(A73&gt;=$H$10,SUM('Water levels-Business'!$D$89:$M$96)*'Summary of area'!$E$33*B73,0)</f>
        <v>0</v>
      </c>
      <c r="L73">
        <f>IF(A73=$H$10,SUM('Water levels-Social Infra'!$D$169:$M$170)*'Summary of area'!$E$34*B73,0)</f>
        <v>0</v>
      </c>
      <c r="M73">
        <f>IF(A73&gt;=$H$10,SUM('Water levels-Social Infra'!$D$171:$M$178)*'Summary of area'!$E$34*B73,0)</f>
        <v>0</v>
      </c>
      <c r="N73">
        <f>IF(A73=$H$10,SUM('Water levels-Emergency'!$D$152:$M$153)*'Summary of area'!$E$35*B73,0)</f>
        <v>0</v>
      </c>
      <c r="O73">
        <f>IF(A73&gt;=$H$10,SUM('Water levels-Emergency'!$D$154:$M$161)*'Summary of area'!$E$35*B73,0)</f>
        <v>0</v>
      </c>
      <c r="P73">
        <f>IF(A73=$H$10,SUM('Water levels-Utilities'!$D$189:$M$190)*'Summary of area'!$E$36*B73,0)</f>
        <v>0</v>
      </c>
      <c r="Q73">
        <f>IF(A73&gt;=$H$10,SUM('Water levels-Utilities'!$D$191:$M$198)*'Summary of area'!$E$36*B73,0)</f>
        <v>0</v>
      </c>
      <c r="R73">
        <f>IF(A73=$H$10,SUM('Water levels-Transport (road)'!$D$160:$M$161)*'Summary of area'!$E$37*B73,0)</f>
        <v>0</v>
      </c>
      <c r="S73">
        <f>IF(A73&gt;=$H$10,SUM('Water levels-Transport (road)'!$D$162:$M$169)*'Summary of area'!$E$37*B73+SUM('Water levels-Transport (road)'!$D$215:$M$222)*'Summary of area'!$E$37*B73,0)</f>
        <v>0</v>
      </c>
      <c r="T73">
        <f>IF(A73=$H$10,SUM('Water levels-Transport (rail)'!$D$137:$M$138)*'Summary of area'!$E$38*Sheet1!B73,0)</f>
        <v>0</v>
      </c>
      <c r="U73">
        <f>IF(A73&gt;=$H$10,SUM('Water levels-Transport (rail)'!$D$139:$M$146)*'Summary of area'!$E$38*B73+SUM('Water levels-Transport (rail)'!$D$165:$M$172)*'Summary of area'!$E$38*B73,0)</f>
        <v>0</v>
      </c>
      <c r="V73">
        <f>IF(A73=$H$10,SUM('Food production'!$D$256:$M$257)*'Summary of area'!$E$39*Sheet1!B73,0)</f>
        <v>0</v>
      </c>
      <c r="W73">
        <f>IF(A73&gt;=$H$10,SUM('Food production'!$D$258:$M$265)*'Summary of area'!$E$39*Sheet1!B73,0)</f>
        <v>0</v>
      </c>
      <c r="X73">
        <f>IF(A73=$H$10,SUM('Energy (direct)'!$D$85:$M$86)*'Summary of area'!$E$40*B73,0)</f>
        <v>0</v>
      </c>
      <c r="Y73">
        <f>IF(A73&gt;=$H$10,SUM('Energy (direct)'!$D$87:$M$94)*'Summary of area'!$E$40*Sheet1!B73,0)</f>
        <v>0</v>
      </c>
      <c r="Z73">
        <f>IF(A73=$H$10,SUM('Energy (indirect)'!$D$158:$M$159)*'Summary of area'!$E$41*Sheet1!B73,0)</f>
        <v>0</v>
      </c>
      <c r="AA73">
        <f>IF(A73&gt;=$H$10,SUM('Energy (indirect)'!$D$160:$M$167)*'Summary of area'!$E$41*B73,0)</f>
        <v>0</v>
      </c>
      <c r="AB73">
        <f>IF(A73=$H$10,SUM('Designated biodiversity sites'!$D$123:$M$124)*'Summary of area'!$E$42*Sheet1!B73+'Biodiversity - non-designated'!O137*'Summary of area'!$E$43*Sheet1!B73,0)</f>
        <v>0</v>
      </c>
      <c r="AC73">
        <f>IF(A73&gt;=$H$10,SUM('Designated biodiversity sites'!$D$125:$M$132)*'Summary of area'!$E$42*Sheet1!B73+'Biodiversity - non-designated'!O137*'Summary of area'!$E$43*Sheet1!B73,0)</f>
        <v>0</v>
      </c>
      <c r="AD73">
        <f>IF(A73=$H$10,SUM('Water supply'!$D$144:$M$145)*'Summary of area'!$E$44*Sheet1!B73,0)</f>
        <v>0</v>
      </c>
      <c r="AE73">
        <f>IF(A73&gt;=$H$10,SUM('Water supply'!$D$146:$M$153)*'Summary of area'!$E$44*B73,0)</f>
        <v>0</v>
      </c>
      <c r="AF73">
        <f>IF(A73=$H$10,SUM(Heritage!$D$221:$M$222)*'Summary of area'!$E$46*B73,0)</f>
        <v>0</v>
      </c>
      <c r="AG73">
        <f>IF(A73&gt;=$H$10,SUM(Heritage!$D$223:$M$230)*'Summary of area'!$E$46*Sheet1!B73,0)</f>
        <v>0</v>
      </c>
      <c r="AH73">
        <f>IF(A73=$H$10,SUM('Recreation and tourism'!$D$109:$M$110)*'Summary of area'!$E$45*Sheet1!B73,0)</f>
        <v>0</v>
      </c>
      <c r="AI73">
        <f>IF(A73&gt;=$H$10,SUM('Recreation and tourism'!$D$111:$M$118)*'Summary of area'!$E$45*Sheet1!B73,0)</f>
        <v>0</v>
      </c>
    </row>
    <row r="74" spans="1:35" ht="15.75" thickBot="1">
      <c r="A74" s="134">
        <f t="shared" si="1"/>
        <v>59</v>
      </c>
      <c r="B74" s="108">
        <f t="shared" si="3"/>
        <v>0.15118544750560584</v>
      </c>
      <c r="C74" s="137">
        <f>SUM($B$15:B74)</f>
        <v>26.228477514586057</v>
      </c>
      <c r="D74" s="136"/>
      <c r="G74">
        <f>IF(A74&gt;=$H$10,Carbon!$F$33*'Summary of area'!$E$31*B74,0)</f>
        <v>0</v>
      </c>
      <c r="H74">
        <f>IF(A74=$H$10,SUM('Water levels-Residential'!$D$53:$M$54)*'Summary of area'!$E$32*B74,0)</f>
        <v>0</v>
      </c>
      <c r="I74">
        <f>IF(A74&gt;=$H$10,SUM('Water levels-Residential'!$D$55:$M$62)*'Summary of area'!$E$32*B74,0)</f>
        <v>0</v>
      </c>
      <c r="J74">
        <f>IF(A74=$H$10,SUM('Water levels-Business'!$D$87:$M$88)*'Summary of area'!$E$33*B74,0)</f>
        <v>0</v>
      </c>
      <c r="K74">
        <f>IF(A74&gt;=$H$10,SUM('Water levels-Business'!$D$89:$M$96)*'Summary of area'!$E$33*B74,0)</f>
        <v>0</v>
      </c>
      <c r="L74">
        <f>IF(A74=$H$10,SUM('Water levels-Social Infra'!$D$169:$M$170)*'Summary of area'!$E$34*B74,0)</f>
        <v>0</v>
      </c>
      <c r="M74">
        <f>IF(A74&gt;=$H$10,SUM('Water levels-Social Infra'!$D$171:$M$178)*'Summary of area'!$E$34*B74,0)</f>
        <v>0</v>
      </c>
      <c r="N74">
        <f>IF(A74=$H$10,SUM('Water levels-Emergency'!$D$152:$M$153)*'Summary of area'!$E$35*B74,0)</f>
        <v>0</v>
      </c>
      <c r="O74">
        <f>IF(A74&gt;=$H$10,SUM('Water levels-Emergency'!$D$154:$M$161)*'Summary of area'!$E$35*B74,0)</f>
        <v>0</v>
      </c>
      <c r="P74">
        <f>IF(A74=$H$10,SUM('Water levels-Utilities'!$D$189:$M$190)*'Summary of area'!$E$36*B74,0)</f>
        <v>0</v>
      </c>
      <c r="Q74">
        <f>IF(A74&gt;=$H$10,SUM('Water levels-Utilities'!$D$191:$M$198)*'Summary of area'!$E$36*B74,0)</f>
        <v>0</v>
      </c>
      <c r="R74">
        <f>IF(A74=$H$10,SUM('Water levels-Transport (road)'!$D$160:$M$161)*'Summary of area'!$E$37*B74,0)</f>
        <v>0</v>
      </c>
      <c r="S74">
        <f>IF(A74&gt;=$H$10,SUM('Water levels-Transport (road)'!$D$162:$M$169)*'Summary of area'!$E$37*B74+SUM('Water levels-Transport (road)'!$D$215:$M$222)*'Summary of area'!$E$37*B74,0)</f>
        <v>0</v>
      </c>
      <c r="T74">
        <f>IF(A74=$H$10,SUM('Water levels-Transport (rail)'!$D$137:$M$138)*'Summary of area'!$E$38*Sheet1!B74,0)</f>
        <v>0</v>
      </c>
      <c r="U74">
        <f>IF(A74&gt;=$H$10,SUM('Water levels-Transport (rail)'!$D$139:$M$146)*'Summary of area'!$E$38*B74+SUM('Water levels-Transport (rail)'!$D$165:$M$172)*'Summary of area'!$E$38*B74,0)</f>
        <v>0</v>
      </c>
      <c r="V74">
        <f>IF(A74=$H$10,SUM('Food production'!$D$256:$M$257)*'Summary of area'!$E$39*Sheet1!B74,0)</f>
        <v>0</v>
      </c>
      <c r="W74">
        <f>IF(A74&gt;=$H$10,SUM('Food production'!$D$258:$M$265)*'Summary of area'!$E$39*Sheet1!B74,0)</f>
        <v>0</v>
      </c>
      <c r="X74">
        <f>IF(A74=$H$10,SUM('Energy (direct)'!$D$85:$M$86)*'Summary of area'!$E$40*B74,0)</f>
        <v>0</v>
      </c>
      <c r="Y74">
        <f>IF(A74&gt;=$H$10,SUM('Energy (direct)'!$D$87:$M$94)*'Summary of area'!$E$40*Sheet1!B74,0)</f>
        <v>0</v>
      </c>
      <c r="Z74">
        <f>IF(A74=$H$10,SUM('Energy (indirect)'!$D$158:$M$159)*'Summary of area'!$E$41*Sheet1!B74,0)</f>
        <v>0</v>
      </c>
      <c r="AA74">
        <f>IF(A74&gt;=$H$10,SUM('Energy (indirect)'!$D$160:$M$167)*'Summary of area'!$E$41*B74,0)</f>
        <v>0</v>
      </c>
      <c r="AB74">
        <f>IF(A74=$H$10,SUM('Designated biodiversity sites'!$D$123:$M$124)*'Summary of area'!$E$42*Sheet1!B74+'Biodiversity - non-designated'!O138*'Summary of area'!$E$43*Sheet1!B74,0)</f>
        <v>0</v>
      </c>
      <c r="AC74">
        <f>IF(A74&gt;=$H$10,SUM('Designated biodiversity sites'!$D$125:$M$132)*'Summary of area'!$E$42*Sheet1!B74+'Biodiversity - non-designated'!O138*'Summary of area'!$E$43*Sheet1!B74,0)</f>
        <v>0</v>
      </c>
      <c r="AD74">
        <f>IF(A74=$H$10,SUM('Water supply'!$D$144:$M$145)*'Summary of area'!$E$44*Sheet1!B74,0)</f>
        <v>0</v>
      </c>
      <c r="AE74">
        <f>IF(A74&gt;=$H$10,SUM('Water supply'!$D$146:$M$153)*'Summary of area'!$E$44*B74,0)</f>
        <v>0</v>
      </c>
      <c r="AF74">
        <f>IF(A74=$H$10,SUM(Heritage!$D$221:$M$222)*'Summary of area'!$E$46*B74,0)</f>
        <v>0</v>
      </c>
      <c r="AG74">
        <f>IF(A74&gt;=$H$10,SUM(Heritage!$D$223:$M$230)*'Summary of area'!$E$46*Sheet1!B74,0)</f>
        <v>0</v>
      </c>
      <c r="AH74">
        <f>IF(A74=$H$10,SUM('Recreation and tourism'!$D$109:$M$110)*'Summary of area'!$E$45*Sheet1!B74,0)</f>
        <v>0</v>
      </c>
      <c r="AI74">
        <f>IF(A74&gt;=$H$10,SUM('Recreation and tourism'!$D$111:$M$118)*'Summary of area'!$E$45*Sheet1!B74,0)</f>
        <v>0</v>
      </c>
    </row>
    <row r="75" spans="1:35" ht="15.75" thickBot="1">
      <c r="A75" s="134">
        <f t="shared" si="1"/>
        <v>60</v>
      </c>
      <c r="B75" s="108">
        <f t="shared" si="3"/>
        <v>0.14678198786952024</v>
      </c>
      <c r="C75" s="137">
        <f>SUM($B$15:B75)</f>
        <v>26.375259502455577</v>
      </c>
      <c r="D75" s="136"/>
      <c r="G75">
        <f>IF(A75&gt;=$H$10,Carbon!$F$33*'Summary of area'!$E$31*B75,0)</f>
        <v>0</v>
      </c>
      <c r="H75">
        <f>IF(A75=$H$10,SUM('Water levels-Residential'!$D$53:$M$54)*'Summary of area'!$E$32*B75,0)</f>
        <v>0</v>
      </c>
      <c r="I75">
        <f>IF(A75&gt;=$H$10,SUM('Water levels-Residential'!$D$55:$M$62)*'Summary of area'!$E$32*B75,0)</f>
        <v>0</v>
      </c>
      <c r="J75">
        <f>IF(A75=$H$10,SUM('Water levels-Business'!$D$87:$M$88)*'Summary of area'!$E$33*B75,0)</f>
        <v>0</v>
      </c>
      <c r="K75">
        <f>IF(A75&gt;=$H$10,SUM('Water levels-Business'!$D$89:$M$96)*'Summary of area'!$E$33*B75,0)</f>
        <v>0</v>
      </c>
      <c r="L75">
        <f>IF(A75=$H$10,SUM('Water levels-Social Infra'!$D$169:$M$170)*'Summary of area'!$E$34*B75,0)</f>
        <v>0</v>
      </c>
      <c r="M75">
        <f>IF(A75&gt;=$H$10,SUM('Water levels-Social Infra'!$D$171:$M$178)*'Summary of area'!$E$34*B75,0)</f>
        <v>0</v>
      </c>
      <c r="N75">
        <f>IF(A75=$H$10,SUM('Water levels-Emergency'!$D$152:$M$153)*'Summary of area'!$E$35*B75,0)</f>
        <v>0</v>
      </c>
      <c r="O75">
        <f>IF(A75&gt;=$H$10,SUM('Water levels-Emergency'!$D$154:$M$161)*'Summary of area'!$E$35*B75,0)</f>
        <v>0</v>
      </c>
      <c r="P75">
        <f>IF(A75=$H$10,SUM('Water levels-Utilities'!$D$189:$M$190)*'Summary of area'!$E$36*B75,0)</f>
        <v>0</v>
      </c>
      <c r="Q75">
        <f>IF(A75&gt;=$H$10,SUM('Water levels-Utilities'!$D$191:$M$198)*'Summary of area'!$E$36*B75,0)</f>
        <v>0</v>
      </c>
      <c r="R75">
        <f>IF(A75=$H$10,SUM('Water levels-Transport (road)'!$D$160:$M$161)*'Summary of area'!$E$37*B75,0)</f>
        <v>0</v>
      </c>
      <c r="S75">
        <f>IF(A75&gt;=$H$10,SUM('Water levels-Transport (road)'!$D$162:$M$169)*'Summary of area'!$E$37*B75+SUM('Water levels-Transport (road)'!$D$215:$M$222)*'Summary of area'!$E$37*B75,0)</f>
        <v>0</v>
      </c>
      <c r="T75">
        <f>IF(A75=$H$10,SUM('Water levels-Transport (rail)'!$D$137:$M$138)*'Summary of area'!$E$38*Sheet1!B75,0)</f>
        <v>0</v>
      </c>
      <c r="U75">
        <f>IF(A75&gt;=$H$10,SUM('Water levels-Transport (rail)'!$D$139:$M$146)*'Summary of area'!$E$38*B75+SUM('Water levels-Transport (rail)'!$D$165:$M$172)*'Summary of area'!$E$38*B75,0)</f>
        <v>0</v>
      </c>
      <c r="V75">
        <f>IF(A75=$H$10,SUM('Food production'!$D$256:$M$257)*'Summary of area'!$E$39*Sheet1!B75,0)</f>
        <v>0</v>
      </c>
      <c r="W75">
        <f>IF(A75&gt;=$H$10,SUM('Food production'!$D$258:$M$265)*'Summary of area'!$E$39*Sheet1!B75,0)</f>
        <v>0</v>
      </c>
      <c r="X75">
        <f>IF(A75=$H$10,SUM('Energy (direct)'!$D$85:$M$86)*'Summary of area'!$E$40*B75,0)</f>
        <v>0</v>
      </c>
      <c r="Y75">
        <f>IF(A75&gt;=$H$10,SUM('Energy (direct)'!$D$87:$M$94)*'Summary of area'!$E$40*Sheet1!B75,0)</f>
        <v>0</v>
      </c>
      <c r="Z75">
        <f>IF(A75=$H$10,SUM('Energy (indirect)'!$D$158:$M$159)*'Summary of area'!$E$41*Sheet1!B75,0)</f>
        <v>0</v>
      </c>
      <c r="AA75">
        <f>IF(A75&gt;=$H$10,SUM('Energy (indirect)'!$D$160:$M$167)*'Summary of area'!$E$41*B75,0)</f>
        <v>0</v>
      </c>
      <c r="AB75">
        <f>IF(A75=$H$10,SUM('Designated biodiversity sites'!$D$123:$M$124)*'Summary of area'!$E$42*Sheet1!B75+'Biodiversity - non-designated'!O139*'Summary of area'!$E$43*Sheet1!B75,0)</f>
        <v>0</v>
      </c>
      <c r="AC75">
        <f>IF(A75&gt;=$H$10,SUM('Designated biodiversity sites'!$D$125:$M$132)*'Summary of area'!$E$42*Sheet1!B75+'Biodiversity - non-designated'!O139*'Summary of area'!$E$43*Sheet1!B75,0)</f>
        <v>0</v>
      </c>
      <c r="AD75">
        <f>IF(A75=$H$10,SUM('Water supply'!$D$144:$M$145)*'Summary of area'!$E$44*Sheet1!B75,0)</f>
        <v>0</v>
      </c>
      <c r="AE75">
        <f>IF(A75&gt;=$H$10,SUM('Water supply'!$D$146:$M$153)*'Summary of area'!$E$44*B75,0)</f>
        <v>0</v>
      </c>
      <c r="AF75">
        <f>IF(A75=$H$10,SUM(Heritage!$D$221:$M$222)*'Summary of area'!$E$46*B75,0)</f>
        <v>0</v>
      </c>
      <c r="AG75">
        <f>IF(A75&gt;=$H$10,SUM(Heritage!$D$223:$M$230)*'Summary of area'!$E$46*Sheet1!B75,0)</f>
        <v>0</v>
      </c>
      <c r="AH75">
        <f>IF(A75=$H$10,SUM('Recreation and tourism'!$D$109:$M$110)*'Summary of area'!$E$45*Sheet1!B75,0)</f>
        <v>0</v>
      </c>
      <c r="AI75">
        <f>IF(A75&gt;=$H$10,SUM('Recreation and tourism'!$D$111:$M$118)*'Summary of area'!$E$45*Sheet1!B75,0)</f>
        <v>0</v>
      </c>
    </row>
    <row r="76" spans="1:35" ht="15.75" thickBot="1">
      <c r="A76" s="134">
        <f t="shared" si="1"/>
        <v>61</v>
      </c>
      <c r="B76" s="108">
        <f t="shared" si="3"/>
        <v>0.14250678433934003</v>
      </c>
      <c r="C76" s="137">
        <f>SUM($B$15:B76)</f>
        <v>26.517766286794917</v>
      </c>
      <c r="D76" s="136"/>
      <c r="G76">
        <f>IF(A76&gt;=$H$10,Carbon!$F$33*'Summary of area'!$E$31*B76,0)</f>
        <v>0</v>
      </c>
      <c r="H76">
        <f>IF(A76=$H$10,SUM('Water levels-Residential'!$D$53:$M$54)*'Summary of area'!$E$32*B76,0)</f>
        <v>0</v>
      </c>
      <c r="I76">
        <f>IF(A76&gt;=$H$10,SUM('Water levels-Residential'!$D$55:$M$62)*'Summary of area'!$E$32*B76,0)</f>
        <v>0</v>
      </c>
      <c r="J76">
        <f>IF(A76=$H$10,SUM('Water levels-Business'!$D$87:$M$88)*'Summary of area'!$E$33*B76,0)</f>
        <v>0</v>
      </c>
      <c r="K76">
        <f>IF(A76&gt;=$H$10,SUM('Water levels-Business'!$D$89:$M$96)*'Summary of area'!$E$33*B76,0)</f>
        <v>0</v>
      </c>
      <c r="L76">
        <f>IF(A76=$H$10,SUM('Water levels-Social Infra'!$D$169:$M$170)*'Summary of area'!$E$34*B76,0)</f>
        <v>0</v>
      </c>
      <c r="M76">
        <f>IF(A76&gt;=$H$10,SUM('Water levels-Social Infra'!$D$171:$M$178)*'Summary of area'!$E$34*B76,0)</f>
        <v>0</v>
      </c>
      <c r="N76">
        <f>IF(A76=$H$10,SUM('Water levels-Emergency'!$D$152:$M$153)*'Summary of area'!$E$35*B76,0)</f>
        <v>0</v>
      </c>
      <c r="O76">
        <f>IF(A76&gt;=$H$10,SUM('Water levels-Emergency'!$D$154:$M$161)*'Summary of area'!$E$35*B76,0)</f>
        <v>0</v>
      </c>
      <c r="P76">
        <f>IF(A76=$H$10,SUM('Water levels-Utilities'!$D$189:$M$190)*'Summary of area'!$E$36*B76,0)</f>
        <v>0</v>
      </c>
      <c r="Q76">
        <f>IF(A76&gt;=$H$10,SUM('Water levels-Utilities'!$D$191:$M$198)*'Summary of area'!$E$36*B76,0)</f>
        <v>0</v>
      </c>
      <c r="R76">
        <f>IF(A76=$H$10,SUM('Water levels-Transport (road)'!$D$160:$M$161)*'Summary of area'!$E$37*B76,0)</f>
        <v>0</v>
      </c>
      <c r="S76">
        <f>IF(A76&gt;=$H$10,SUM('Water levels-Transport (road)'!$D$162:$M$169)*'Summary of area'!$E$37*B76+SUM('Water levels-Transport (road)'!$D$215:$M$222)*'Summary of area'!$E$37*B76,0)</f>
        <v>0</v>
      </c>
      <c r="T76">
        <f>IF(A76=$H$10,SUM('Water levels-Transport (rail)'!$D$137:$M$138)*'Summary of area'!$E$38*Sheet1!B76,0)</f>
        <v>0</v>
      </c>
      <c r="U76">
        <f>IF(A76&gt;=$H$10,SUM('Water levels-Transport (rail)'!$D$139:$M$146)*'Summary of area'!$E$38*B76+SUM('Water levels-Transport (rail)'!$D$165:$M$172)*'Summary of area'!$E$38*B76,0)</f>
        <v>0</v>
      </c>
      <c r="V76">
        <f>IF(A76=$H$10,SUM('Food production'!$D$256:$M$257)*'Summary of area'!$E$39*Sheet1!B76,0)</f>
        <v>0</v>
      </c>
      <c r="W76">
        <f>IF(A76&gt;=$H$10,SUM('Food production'!$D$258:$M$265)*'Summary of area'!$E$39*Sheet1!B76,0)</f>
        <v>0</v>
      </c>
      <c r="X76">
        <f>IF(A76=$H$10,SUM('Energy (direct)'!$D$85:$M$86)*'Summary of area'!$E$40*B76,0)</f>
        <v>0</v>
      </c>
      <c r="Y76">
        <f>IF(A76&gt;=$H$10,SUM('Energy (direct)'!$D$87:$M$94)*'Summary of area'!$E$40*Sheet1!B76,0)</f>
        <v>0</v>
      </c>
      <c r="Z76">
        <f>IF(A76=$H$10,SUM('Energy (indirect)'!$D$158:$M$159)*'Summary of area'!$E$41*Sheet1!B76,0)</f>
        <v>0</v>
      </c>
      <c r="AA76">
        <f>IF(A76&gt;=$H$10,SUM('Energy (indirect)'!$D$160:$M$167)*'Summary of area'!$E$41*B76,0)</f>
        <v>0</v>
      </c>
      <c r="AB76">
        <f>IF(A76=$H$10,SUM('Designated biodiversity sites'!$D$123:$M$124)*'Summary of area'!$E$42*Sheet1!B76+'Biodiversity - non-designated'!O140*'Summary of area'!$E$43*Sheet1!B76,0)</f>
        <v>0</v>
      </c>
      <c r="AC76">
        <f>IF(A76&gt;=$H$10,SUM('Designated biodiversity sites'!$D$125:$M$132)*'Summary of area'!$E$42*Sheet1!B76+'Biodiversity - non-designated'!O140*'Summary of area'!$E$43*Sheet1!B76,0)</f>
        <v>0</v>
      </c>
      <c r="AD76">
        <f>IF(A76=$H$10,SUM('Water supply'!$D$144:$M$145)*'Summary of area'!$E$44*Sheet1!B76,0)</f>
        <v>0</v>
      </c>
      <c r="AE76">
        <f>IF(A76&gt;=$H$10,SUM('Water supply'!$D$146:$M$153)*'Summary of area'!$E$44*B76,0)</f>
        <v>0</v>
      </c>
      <c r="AF76">
        <f>IF(A76=$H$10,SUM(Heritage!$D$221:$M$222)*'Summary of area'!$E$46*B76,0)</f>
        <v>0</v>
      </c>
      <c r="AG76">
        <f>IF(A76&gt;=$H$10,SUM(Heritage!$D$223:$M$230)*'Summary of area'!$E$46*Sheet1!B76,0)</f>
        <v>0</v>
      </c>
      <c r="AH76">
        <f>IF(A76=$H$10,SUM('Recreation and tourism'!$D$109:$M$110)*'Summary of area'!$E$45*Sheet1!B76,0)</f>
        <v>0</v>
      </c>
      <c r="AI76">
        <f>IF(A76&gt;=$H$10,SUM('Recreation and tourism'!$D$111:$M$118)*'Summary of area'!$E$45*Sheet1!B76,0)</f>
        <v>0</v>
      </c>
    </row>
    <row r="77" spans="1:35" ht="15.75" thickBot="1">
      <c r="A77" s="134">
        <f t="shared" si="1"/>
        <v>62</v>
      </c>
      <c r="B77" s="108">
        <f t="shared" si="3"/>
        <v>0.13835610130033013</v>
      </c>
      <c r="C77" s="137">
        <f>SUM($B$15:B77)</f>
        <v>26.65612238809525</v>
      </c>
      <c r="D77" s="136"/>
      <c r="G77">
        <f>IF(A77&gt;=$H$10,Carbon!$F$33*'Summary of area'!$E$31*B77,0)</f>
        <v>0</v>
      </c>
      <c r="H77">
        <f>IF(A77=$H$10,SUM('Water levels-Residential'!$D$53:$M$54)*'Summary of area'!$E$32*B77,0)</f>
        <v>0</v>
      </c>
      <c r="I77">
        <f>IF(A77&gt;=$H$10,SUM('Water levels-Residential'!$D$55:$M$62)*'Summary of area'!$E$32*B77,0)</f>
        <v>0</v>
      </c>
      <c r="J77">
        <f>IF(A77=$H$10,SUM('Water levels-Business'!$D$87:$M$88)*'Summary of area'!$E$33*B77,0)</f>
        <v>0</v>
      </c>
      <c r="K77">
        <f>IF(A77&gt;=$H$10,SUM('Water levels-Business'!$D$89:$M$96)*'Summary of area'!$E$33*B77,0)</f>
        <v>0</v>
      </c>
      <c r="L77">
        <f>IF(A77=$H$10,SUM('Water levels-Social Infra'!$D$169:$M$170)*'Summary of area'!$E$34*B77,0)</f>
        <v>0</v>
      </c>
      <c r="M77">
        <f>IF(A77&gt;=$H$10,SUM('Water levels-Social Infra'!$D$171:$M$178)*'Summary of area'!$E$34*B77,0)</f>
        <v>0</v>
      </c>
      <c r="N77">
        <f>IF(A77=$H$10,SUM('Water levels-Emergency'!$D$152:$M$153)*'Summary of area'!$E$35*B77,0)</f>
        <v>0</v>
      </c>
      <c r="O77">
        <f>IF(A77&gt;=$H$10,SUM('Water levels-Emergency'!$D$154:$M$161)*'Summary of area'!$E$35*B77,0)</f>
        <v>0</v>
      </c>
      <c r="P77">
        <f>IF(A77=$H$10,SUM('Water levels-Utilities'!$D$189:$M$190)*'Summary of area'!$E$36*B77,0)</f>
        <v>0</v>
      </c>
      <c r="Q77">
        <f>IF(A77&gt;=$H$10,SUM('Water levels-Utilities'!$D$191:$M$198)*'Summary of area'!$E$36*B77,0)</f>
        <v>0</v>
      </c>
      <c r="R77">
        <f>IF(A77=$H$10,SUM('Water levels-Transport (road)'!$D$160:$M$161)*'Summary of area'!$E$37*B77,0)</f>
        <v>0</v>
      </c>
      <c r="S77">
        <f>IF(A77&gt;=$H$10,SUM('Water levels-Transport (road)'!$D$162:$M$169)*'Summary of area'!$E$37*B77+SUM('Water levels-Transport (road)'!$D$215:$M$222)*'Summary of area'!$E$37*B77,0)</f>
        <v>0</v>
      </c>
      <c r="T77">
        <f>IF(A77=$H$10,SUM('Water levels-Transport (rail)'!$D$137:$M$138)*'Summary of area'!$E$38*Sheet1!B77,0)</f>
        <v>0</v>
      </c>
      <c r="U77">
        <f>IF(A77&gt;=$H$10,SUM('Water levels-Transport (rail)'!$D$139:$M$146)*'Summary of area'!$E$38*B77+SUM('Water levels-Transport (rail)'!$D$165:$M$172)*'Summary of area'!$E$38*B77,0)</f>
        <v>0</v>
      </c>
      <c r="V77">
        <f>IF(A77=$H$10,SUM('Food production'!$D$256:$M$257)*'Summary of area'!$E$39*Sheet1!B77,0)</f>
        <v>0</v>
      </c>
      <c r="W77">
        <f>IF(A77&gt;=$H$10,SUM('Food production'!$D$258:$M$265)*'Summary of area'!$E$39*Sheet1!B77,0)</f>
        <v>0</v>
      </c>
      <c r="X77">
        <f>IF(A77=$H$10,SUM('Energy (direct)'!$D$85:$M$86)*'Summary of area'!$E$40*B77,0)</f>
        <v>0</v>
      </c>
      <c r="Y77">
        <f>IF(A77&gt;=$H$10,SUM('Energy (direct)'!$D$87:$M$94)*'Summary of area'!$E$40*Sheet1!B77,0)</f>
        <v>0</v>
      </c>
      <c r="Z77">
        <f>IF(A77=$H$10,SUM('Energy (indirect)'!$D$158:$M$159)*'Summary of area'!$E$41*Sheet1!B77,0)</f>
        <v>0</v>
      </c>
      <c r="AA77">
        <f>IF(A77&gt;=$H$10,SUM('Energy (indirect)'!$D$160:$M$167)*'Summary of area'!$E$41*B77,0)</f>
        <v>0</v>
      </c>
      <c r="AB77">
        <f>IF(A77=$H$10,SUM('Designated biodiversity sites'!$D$123:$M$124)*'Summary of area'!$E$42*Sheet1!B77+'Biodiversity - non-designated'!O141*'Summary of area'!$E$43*Sheet1!B77,0)</f>
        <v>0</v>
      </c>
      <c r="AC77">
        <f>IF(A77&gt;=$H$10,SUM('Designated biodiversity sites'!$D$125:$M$132)*'Summary of area'!$E$42*Sheet1!B77+'Biodiversity - non-designated'!O141*'Summary of area'!$E$43*Sheet1!B77,0)</f>
        <v>0</v>
      </c>
      <c r="AD77">
        <f>IF(A77=$H$10,SUM('Water supply'!$D$144:$M$145)*'Summary of area'!$E$44*Sheet1!B77,0)</f>
        <v>0</v>
      </c>
      <c r="AE77">
        <f>IF(A77&gt;=$H$10,SUM('Water supply'!$D$146:$M$153)*'Summary of area'!$E$44*B77,0)</f>
        <v>0</v>
      </c>
      <c r="AF77">
        <f>IF(A77=$H$10,SUM(Heritage!$D$221:$M$222)*'Summary of area'!$E$46*B77,0)</f>
        <v>0</v>
      </c>
      <c r="AG77">
        <f>IF(A77&gt;=$H$10,SUM(Heritage!$D$223:$M$230)*'Summary of area'!$E$46*Sheet1!B77,0)</f>
        <v>0</v>
      </c>
      <c r="AH77">
        <f>IF(A77=$H$10,SUM('Recreation and tourism'!$D$109:$M$110)*'Summary of area'!$E$45*Sheet1!B77,0)</f>
        <v>0</v>
      </c>
      <c r="AI77">
        <f>IF(A77&gt;=$H$10,SUM('Recreation and tourism'!$D$111:$M$118)*'Summary of area'!$E$45*Sheet1!B77,0)</f>
        <v>0</v>
      </c>
    </row>
    <row r="78" spans="1:35" ht="15.75" thickBot="1">
      <c r="A78" s="134">
        <f t="shared" si="1"/>
        <v>63</v>
      </c>
      <c r="B78" s="108">
        <f t="shared" si="3"/>
        <v>0.1343263119420681</v>
      </c>
      <c r="C78" s="137">
        <f>SUM($B$15:B78)</f>
        <v>26.790448700037317</v>
      </c>
      <c r="D78" s="136"/>
      <c r="G78">
        <f>IF(A78&gt;=$H$10,Carbon!$F$33*'Summary of area'!$E$31*B78,0)</f>
        <v>0</v>
      </c>
      <c r="H78">
        <f>IF(A78=$H$10,SUM('Water levels-Residential'!$D$53:$M$54)*'Summary of area'!$E$32*B78,0)</f>
        <v>0</v>
      </c>
      <c r="I78">
        <f>IF(A78&gt;=$H$10,SUM('Water levels-Residential'!$D$55:$M$62)*'Summary of area'!$E$32*B78,0)</f>
        <v>0</v>
      </c>
      <c r="J78">
        <f>IF(A78=$H$10,SUM('Water levels-Business'!$D$87:$M$88)*'Summary of area'!$E$33*B78,0)</f>
        <v>0</v>
      </c>
      <c r="K78">
        <f>IF(A78&gt;=$H$10,SUM('Water levels-Business'!$D$89:$M$96)*'Summary of area'!$E$33*B78,0)</f>
        <v>0</v>
      </c>
      <c r="L78">
        <f>IF(A78=$H$10,SUM('Water levels-Social Infra'!$D$169:$M$170)*'Summary of area'!$E$34*B78,0)</f>
        <v>0</v>
      </c>
      <c r="M78">
        <f>IF(A78&gt;=$H$10,SUM('Water levels-Social Infra'!$D$171:$M$178)*'Summary of area'!$E$34*B78,0)</f>
        <v>0</v>
      </c>
      <c r="N78">
        <f>IF(A78=$H$10,SUM('Water levels-Emergency'!$D$152:$M$153)*'Summary of area'!$E$35*B78,0)</f>
        <v>0</v>
      </c>
      <c r="O78">
        <f>IF(A78&gt;=$H$10,SUM('Water levels-Emergency'!$D$154:$M$161)*'Summary of area'!$E$35*B78,0)</f>
        <v>0</v>
      </c>
      <c r="P78">
        <f>IF(A78=$H$10,SUM('Water levels-Utilities'!$D$189:$M$190)*'Summary of area'!$E$36*B78,0)</f>
        <v>0</v>
      </c>
      <c r="Q78">
        <f>IF(A78&gt;=$H$10,SUM('Water levels-Utilities'!$D$191:$M$198)*'Summary of area'!$E$36*B78,0)</f>
        <v>0</v>
      </c>
      <c r="R78">
        <f>IF(A78=$H$10,SUM('Water levels-Transport (road)'!$D$160:$M$161)*'Summary of area'!$E$37*B78,0)</f>
        <v>0</v>
      </c>
      <c r="S78">
        <f>IF(A78&gt;=$H$10,SUM('Water levels-Transport (road)'!$D$162:$M$169)*'Summary of area'!$E$37*B78+SUM('Water levels-Transport (road)'!$D$215:$M$222)*'Summary of area'!$E$37*B78,0)</f>
        <v>0</v>
      </c>
      <c r="T78">
        <f>IF(A78=$H$10,SUM('Water levels-Transport (rail)'!$D$137:$M$138)*'Summary of area'!$E$38*Sheet1!B78,0)</f>
        <v>0</v>
      </c>
      <c r="U78">
        <f>IF(A78&gt;=$H$10,SUM('Water levels-Transport (rail)'!$D$139:$M$146)*'Summary of area'!$E$38*B78+SUM('Water levels-Transport (rail)'!$D$165:$M$172)*'Summary of area'!$E$38*B78,0)</f>
        <v>0</v>
      </c>
      <c r="V78">
        <f>IF(A78=$H$10,SUM('Food production'!$D$256:$M$257)*'Summary of area'!$E$39*Sheet1!B78,0)</f>
        <v>0</v>
      </c>
      <c r="W78">
        <f>IF(A78&gt;=$H$10,SUM('Food production'!$D$258:$M$265)*'Summary of area'!$E$39*Sheet1!B78,0)</f>
        <v>0</v>
      </c>
      <c r="X78">
        <f>IF(A78=$H$10,SUM('Energy (direct)'!$D$85:$M$86)*'Summary of area'!$E$40*B78,0)</f>
        <v>0</v>
      </c>
      <c r="Y78">
        <f>IF(A78&gt;=$H$10,SUM('Energy (direct)'!$D$87:$M$94)*'Summary of area'!$E$40*Sheet1!B78,0)</f>
        <v>0</v>
      </c>
      <c r="Z78">
        <f>IF(A78=$H$10,SUM('Energy (indirect)'!$D$158:$M$159)*'Summary of area'!$E$41*Sheet1!B78,0)</f>
        <v>0</v>
      </c>
      <c r="AA78">
        <f>IF(A78&gt;=$H$10,SUM('Energy (indirect)'!$D$160:$M$167)*'Summary of area'!$E$41*B78,0)</f>
        <v>0</v>
      </c>
      <c r="AB78">
        <f>IF(A78=$H$10,SUM('Designated biodiversity sites'!$D$123:$M$124)*'Summary of area'!$E$42*Sheet1!B78+'Biodiversity - non-designated'!O142*'Summary of area'!$E$43*Sheet1!B78,0)</f>
        <v>0</v>
      </c>
      <c r="AC78">
        <f>IF(A78&gt;=$H$10,SUM('Designated biodiversity sites'!$D$125:$M$132)*'Summary of area'!$E$42*Sheet1!B78+'Biodiversity - non-designated'!O142*'Summary of area'!$E$43*Sheet1!B78,0)</f>
        <v>0</v>
      </c>
      <c r="AD78">
        <f>IF(A78=$H$10,SUM('Water supply'!$D$144:$M$145)*'Summary of area'!$E$44*Sheet1!B78,0)</f>
        <v>0</v>
      </c>
      <c r="AE78">
        <f>IF(A78&gt;=$H$10,SUM('Water supply'!$D$146:$M$153)*'Summary of area'!$E$44*B78,0)</f>
        <v>0</v>
      </c>
      <c r="AF78">
        <f>IF(A78=$H$10,SUM(Heritage!$D$221:$M$222)*'Summary of area'!$E$46*B78,0)</f>
        <v>0</v>
      </c>
      <c r="AG78">
        <f>IF(A78&gt;=$H$10,SUM(Heritage!$D$223:$M$230)*'Summary of area'!$E$46*Sheet1!B78,0)</f>
        <v>0</v>
      </c>
      <c r="AH78">
        <f>IF(A78=$H$10,SUM('Recreation and tourism'!$D$109:$M$110)*'Summary of area'!$E$45*Sheet1!B78,0)</f>
        <v>0</v>
      </c>
      <c r="AI78">
        <f>IF(A78&gt;=$H$10,SUM('Recreation and tourism'!$D$111:$M$118)*'Summary of area'!$E$45*Sheet1!B78,0)</f>
        <v>0</v>
      </c>
    </row>
    <row r="79" spans="1:35" ht="15.75" thickBot="1">
      <c r="A79" s="134">
        <f t="shared" si="1"/>
        <v>64</v>
      </c>
      <c r="B79" s="108">
        <f t="shared" si="3"/>
        <v>0.1304138950893865</v>
      </c>
      <c r="C79" s="137">
        <f>SUM($B$15:B79)</f>
        <v>26.920862595126703</v>
      </c>
      <c r="D79" s="136"/>
      <c r="G79">
        <f>IF(A79&gt;=$H$10,Carbon!$F$33*'Summary of area'!$E$31*B79,0)</f>
        <v>0</v>
      </c>
      <c r="H79">
        <f>IF(A79=$H$10,SUM('Water levels-Residential'!$D$53:$M$54)*'Summary of area'!$E$32*B79,0)</f>
        <v>0</v>
      </c>
      <c r="I79">
        <f>IF(A79&gt;=$H$10,SUM('Water levels-Residential'!$D$55:$M$62)*'Summary of area'!$E$32*B79,0)</f>
        <v>0</v>
      </c>
      <c r="J79">
        <f>IF(A79=$H$10,SUM('Water levels-Business'!$D$87:$M$88)*'Summary of area'!$E$33*B79,0)</f>
        <v>0</v>
      </c>
      <c r="K79">
        <f>IF(A79&gt;=$H$10,SUM('Water levels-Business'!$D$89:$M$96)*'Summary of area'!$E$33*B79,0)</f>
        <v>0</v>
      </c>
      <c r="L79">
        <f>IF(A79=$H$10,SUM('Water levels-Social Infra'!$D$169:$M$170)*'Summary of area'!$E$34*B79,0)</f>
        <v>0</v>
      </c>
      <c r="M79">
        <f>IF(A79&gt;=$H$10,SUM('Water levels-Social Infra'!$D$171:$M$178)*'Summary of area'!$E$34*B79,0)</f>
        <v>0</v>
      </c>
      <c r="N79">
        <f>IF(A79=$H$10,SUM('Water levels-Emergency'!$D$152:$M$153)*'Summary of area'!$E$35*B79,0)</f>
        <v>0</v>
      </c>
      <c r="O79">
        <f>IF(A79&gt;=$H$10,SUM('Water levels-Emergency'!$D$154:$M$161)*'Summary of area'!$E$35*B79,0)</f>
        <v>0</v>
      </c>
      <c r="P79">
        <f>IF(A79=$H$10,SUM('Water levels-Utilities'!$D$189:$M$190)*'Summary of area'!$E$36*B79,0)</f>
        <v>0</v>
      </c>
      <c r="Q79">
        <f>IF(A79&gt;=$H$10,SUM('Water levels-Utilities'!$D$191:$M$198)*'Summary of area'!$E$36*B79,0)</f>
        <v>0</v>
      </c>
      <c r="R79">
        <f>IF(A79=$H$10,SUM('Water levels-Transport (road)'!$D$160:$M$161)*'Summary of area'!$E$37*B79,0)</f>
        <v>0</v>
      </c>
      <c r="S79">
        <f>IF(A79&gt;=$H$10,SUM('Water levels-Transport (road)'!$D$162:$M$169)*'Summary of area'!$E$37*B79+SUM('Water levels-Transport (road)'!$D$215:$M$222)*'Summary of area'!$E$37*B79,0)</f>
        <v>0</v>
      </c>
      <c r="T79">
        <f>IF(A79=$H$10,SUM('Water levels-Transport (rail)'!$D$137:$M$138)*'Summary of area'!$E$38*Sheet1!B79,0)</f>
        <v>0</v>
      </c>
      <c r="U79">
        <f>IF(A79&gt;=$H$10,SUM('Water levels-Transport (rail)'!$D$139:$M$146)*'Summary of area'!$E$38*B79+SUM('Water levels-Transport (rail)'!$D$165:$M$172)*'Summary of area'!$E$38*B79,0)</f>
        <v>0</v>
      </c>
      <c r="V79">
        <f>IF(A79=$H$10,SUM('Food production'!$D$256:$M$257)*'Summary of area'!$E$39*Sheet1!B79,0)</f>
        <v>0</v>
      </c>
      <c r="W79">
        <f>IF(A79&gt;=$H$10,SUM('Food production'!$D$258:$M$265)*'Summary of area'!$E$39*Sheet1!B79,0)</f>
        <v>0</v>
      </c>
      <c r="X79">
        <f>IF(A79=$H$10,SUM('Energy (direct)'!$D$85:$M$86)*'Summary of area'!$E$40*B79,0)</f>
        <v>0</v>
      </c>
      <c r="Y79">
        <f>IF(A79&gt;=$H$10,SUM('Energy (direct)'!$D$87:$M$94)*'Summary of area'!$E$40*Sheet1!B79,0)</f>
        <v>0</v>
      </c>
      <c r="Z79">
        <f>IF(A79=$H$10,SUM('Energy (indirect)'!$D$158:$M$159)*'Summary of area'!$E$41*Sheet1!B79,0)</f>
        <v>0</v>
      </c>
      <c r="AA79">
        <f>IF(A79&gt;=$H$10,SUM('Energy (indirect)'!$D$160:$M$167)*'Summary of area'!$E$41*B79,0)</f>
        <v>0</v>
      </c>
      <c r="AB79">
        <f>IF(A79=$H$10,SUM('Designated biodiversity sites'!$D$123:$M$124)*'Summary of area'!$E$42*Sheet1!B79+'Biodiversity - non-designated'!O143*'Summary of area'!$E$43*Sheet1!B79,0)</f>
        <v>0</v>
      </c>
      <c r="AC79">
        <f>IF(A79&gt;=$H$10,SUM('Designated biodiversity sites'!$D$125:$M$132)*'Summary of area'!$E$42*Sheet1!B79+'Biodiversity - non-designated'!O143*'Summary of area'!$E$43*Sheet1!B79,0)</f>
        <v>0</v>
      </c>
      <c r="AD79">
        <f>IF(A79=$H$10,SUM('Water supply'!$D$144:$M$145)*'Summary of area'!$E$44*Sheet1!B79,0)</f>
        <v>0</v>
      </c>
      <c r="AE79">
        <f>IF(A79&gt;=$H$10,SUM('Water supply'!$D$146:$M$153)*'Summary of area'!$E$44*B79,0)</f>
        <v>0</v>
      </c>
      <c r="AF79">
        <f>IF(A79=$H$10,SUM(Heritage!$D$221:$M$222)*'Summary of area'!$E$46*B79,0)</f>
        <v>0</v>
      </c>
      <c r="AG79">
        <f>IF(A79&gt;=$H$10,SUM(Heritage!$D$223:$M$230)*'Summary of area'!$E$46*Sheet1!B79,0)</f>
        <v>0</v>
      </c>
      <c r="AH79">
        <f>IF(A79=$H$10,SUM('Recreation and tourism'!$D$109:$M$110)*'Summary of area'!$E$45*Sheet1!B79,0)</f>
        <v>0</v>
      </c>
      <c r="AI79">
        <f>IF(A79&gt;=$H$10,SUM('Recreation and tourism'!$D$111:$M$118)*'Summary of area'!$E$45*Sheet1!B79,0)</f>
        <v>0</v>
      </c>
    </row>
    <row r="80" spans="1:35" ht="15.75" thickBot="1">
      <c r="A80" s="134">
        <f t="shared" si="1"/>
        <v>65</v>
      </c>
      <c r="B80" s="108">
        <f t="shared" si="3"/>
        <v>0.12661543212561796</v>
      </c>
      <c r="C80" s="137">
        <f>SUM($B$15:B80)</f>
        <v>27.04747802725232</v>
      </c>
      <c r="D80" s="136"/>
      <c r="G80">
        <f>IF(A80&gt;=$H$10,Carbon!$F$33*'Summary of area'!$E$31*B80,0)</f>
        <v>0</v>
      </c>
      <c r="H80">
        <f>IF(A80=$H$10,SUM('Water levels-Residential'!$D$53:$M$54)*'Summary of area'!$E$32*B80,0)</f>
        <v>0</v>
      </c>
      <c r="I80">
        <f>IF(A80&gt;=$H$10,SUM('Water levels-Residential'!$D$55:$M$62)*'Summary of area'!$E$32*B80,0)</f>
        <v>0</v>
      </c>
      <c r="J80">
        <f>IF(A80=$H$10,SUM('Water levels-Business'!$D$87:$M$88)*'Summary of area'!$E$33*B80,0)</f>
        <v>0</v>
      </c>
      <c r="K80">
        <f>IF(A80&gt;=$H$10,SUM('Water levels-Business'!$D$89:$M$96)*'Summary of area'!$E$33*B80,0)</f>
        <v>0</v>
      </c>
      <c r="L80">
        <f>IF(A80=$H$10,SUM('Water levels-Social Infra'!$D$169:$M$170)*'Summary of area'!$E$34*B80,0)</f>
        <v>0</v>
      </c>
      <c r="M80">
        <f>IF(A80&gt;=$H$10,SUM('Water levels-Social Infra'!$D$171:$M$178)*'Summary of area'!$E$34*B80,0)</f>
        <v>0</v>
      </c>
      <c r="N80">
        <f>IF(A80=$H$10,SUM('Water levels-Emergency'!$D$152:$M$153)*'Summary of area'!$E$35*B80,0)</f>
        <v>0</v>
      </c>
      <c r="O80">
        <f>IF(A80&gt;=$H$10,SUM('Water levels-Emergency'!$D$154:$M$161)*'Summary of area'!$E$35*B80,0)</f>
        <v>0</v>
      </c>
      <c r="P80">
        <f>IF(A80=$H$10,SUM('Water levels-Utilities'!$D$189:$M$190)*'Summary of area'!$E$36*B80,0)</f>
        <v>0</v>
      </c>
      <c r="Q80">
        <f>IF(A80&gt;=$H$10,SUM('Water levels-Utilities'!$D$191:$M$198)*'Summary of area'!$E$36*B80,0)</f>
        <v>0</v>
      </c>
      <c r="R80">
        <f>IF(A80=$H$10,SUM('Water levels-Transport (road)'!$D$160:$M$161)*'Summary of area'!$E$37*B80,0)</f>
        <v>0</v>
      </c>
      <c r="S80">
        <f>IF(A80&gt;=$H$10,SUM('Water levels-Transport (road)'!$D$162:$M$169)*'Summary of area'!$E$37*B80+SUM('Water levels-Transport (road)'!$D$215:$M$222)*'Summary of area'!$E$37*B80,0)</f>
        <v>0</v>
      </c>
      <c r="T80">
        <f>IF(A80=$H$10,SUM('Water levels-Transport (rail)'!$D$137:$M$138)*'Summary of area'!$E$38*Sheet1!B80,0)</f>
        <v>0</v>
      </c>
      <c r="U80">
        <f>IF(A80&gt;=$H$10,SUM('Water levels-Transport (rail)'!$D$139:$M$146)*'Summary of area'!$E$38*B80+SUM('Water levels-Transport (rail)'!$D$165:$M$172)*'Summary of area'!$E$38*B80,0)</f>
        <v>0</v>
      </c>
      <c r="V80">
        <f>IF(A80=$H$10,SUM('Food production'!$D$256:$M$257)*'Summary of area'!$E$39*Sheet1!B80,0)</f>
        <v>0</v>
      </c>
      <c r="W80">
        <f>IF(A80&gt;=$H$10,SUM('Food production'!$D$258:$M$265)*'Summary of area'!$E$39*Sheet1!B80,0)</f>
        <v>0</v>
      </c>
      <c r="X80">
        <f>IF(A80=$H$10,SUM('Energy (direct)'!$D$85:$M$86)*'Summary of area'!$E$40*B80,0)</f>
        <v>0</v>
      </c>
      <c r="Y80">
        <f>IF(A80&gt;=$H$10,SUM('Energy (direct)'!$D$87:$M$94)*'Summary of area'!$E$40*Sheet1!B80,0)</f>
        <v>0</v>
      </c>
      <c r="Z80">
        <f>IF(A80=$H$10,SUM('Energy (indirect)'!$D$158:$M$159)*'Summary of area'!$E$41*Sheet1!B80,0)</f>
        <v>0</v>
      </c>
      <c r="AA80">
        <f>IF(A80&gt;=$H$10,SUM('Energy (indirect)'!$D$160:$M$167)*'Summary of area'!$E$41*B80,0)</f>
        <v>0</v>
      </c>
      <c r="AB80">
        <f>IF(A80=$H$10,SUM('Designated biodiversity sites'!$D$123:$M$124)*'Summary of area'!$E$42*Sheet1!B80+'Biodiversity - non-designated'!O144*'Summary of area'!$E$43*Sheet1!B80,0)</f>
        <v>0</v>
      </c>
      <c r="AC80">
        <f>IF(A80&gt;=$H$10,SUM('Designated biodiversity sites'!$D$125:$M$132)*'Summary of area'!$E$42*Sheet1!B80+'Biodiversity - non-designated'!O144*'Summary of area'!$E$43*Sheet1!B80,0)</f>
        <v>0</v>
      </c>
      <c r="AD80">
        <f>IF(A80=$H$10,SUM('Water supply'!$D$144:$M$145)*'Summary of area'!$E$44*Sheet1!B80,0)</f>
        <v>0</v>
      </c>
      <c r="AE80">
        <f>IF(A80&gt;=$H$10,SUM('Water supply'!$D$146:$M$153)*'Summary of area'!$E$44*B80,0)</f>
        <v>0</v>
      </c>
      <c r="AF80">
        <f>IF(A80=$H$10,SUM(Heritage!$D$221:$M$222)*'Summary of area'!$E$46*B80,0)</f>
        <v>0</v>
      </c>
      <c r="AG80">
        <f>IF(A80&gt;=$H$10,SUM(Heritage!$D$223:$M$230)*'Summary of area'!$E$46*Sheet1!B80,0)</f>
        <v>0</v>
      </c>
      <c r="AH80">
        <f>IF(A80=$H$10,SUM('Recreation and tourism'!$D$109:$M$110)*'Summary of area'!$E$45*Sheet1!B80,0)</f>
        <v>0</v>
      </c>
      <c r="AI80">
        <f>IF(A80&gt;=$H$10,SUM('Recreation and tourism'!$D$111:$M$118)*'Summary of area'!$E$45*Sheet1!B80,0)</f>
        <v>0</v>
      </c>
    </row>
    <row r="81" spans="1:35" ht="15.75" thickBot="1">
      <c r="A81" s="134">
        <f aca="true" t="shared" si="4" ref="A81:A114">A80+1</f>
        <v>66</v>
      </c>
      <c r="B81" s="108">
        <f t="shared" si="3"/>
        <v>0.12292760400545433</v>
      </c>
      <c r="C81" s="137">
        <f>SUM($B$15:B81)</f>
        <v>27.170405631257776</v>
      </c>
      <c r="D81" s="136"/>
      <c r="G81">
        <f>IF(A81&gt;=$H$10,Carbon!$F$33*'Summary of area'!$E$31*B81,0)</f>
        <v>0</v>
      </c>
      <c r="H81">
        <f>IF(A81=$H$10,SUM('Water levels-Residential'!$D$53:$M$54)*'Summary of area'!$E$32*B81,0)</f>
        <v>0</v>
      </c>
      <c r="I81">
        <f>IF(A81&gt;=$H$10,SUM('Water levels-Residential'!$D$55:$M$62)*'Summary of area'!$E$32*B81,0)</f>
        <v>0</v>
      </c>
      <c r="J81">
        <f>IF(A81=$H$10,SUM('Water levels-Business'!$D$87:$M$88)*'Summary of area'!$E$33*B81,0)</f>
        <v>0</v>
      </c>
      <c r="K81">
        <f>IF(A81&gt;=$H$10,SUM('Water levels-Business'!$D$89:$M$96)*'Summary of area'!$E$33*B81,0)</f>
        <v>0</v>
      </c>
      <c r="L81">
        <f>IF(A81=$H$10,SUM('Water levels-Social Infra'!$D$169:$M$170)*'Summary of area'!$E$34*B81,0)</f>
        <v>0</v>
      </c>
      <c r="M81">
        <f>IF(A81&gt;=$H$10,SUM('Water levels-Social Infra'!$D$171:$M$178)*'Summary of area'!$E$34*B81,0)</f>
        <v>0</v>
      </c>
      <c r="N81">
        <f>IF(A81=$H$10,SUM('Water levels-Emergency'!$D$152:$M$153)*'Summary of area'!$E$35*B81,0)</f>
        <v>0</v>
      </c>
      <c r="O81">
        <f>IF(A81&gt;=$H$10,SUM('Water levels-Emergency'!$D$154:$M$161)*'Summary of area'!$E$35*B81,0)</f>
        <v>0</v>
      </c>
      <c r="P81">
        <f>IF(A81=$H$10,SUM('Water levels-Utilities'!$D$189:$M$190)*'Summary of area'!$E$36*B81,0)</f>
        <v>0</v>
      </c>
      <c r="Q81">
        <f>IF(A81&gt;=$H$10,SUM('Water levels-Utilities'!$D$191:$M$198)*'Summary of area'!$E$36*B81,0)</f>
        <v>0</v>
      </c>
      <c r="R81">
        <f>IF(A81=$H$10,SUM('Water levels-Transport (road)'!$D$160:$M$161)*'Summary of area'!$E$37*B81,0)</f>
        <v>0</v>
      </c>
      <c r="S81">
        <f>IF(A81&gt;=$H$10,SUM('Water levels-Transport (road)'!$D$162:$M$169)*'Summary of area'!$E$37*B81+SUM('Water levels-Transport (road)'!$D$215:$M$222)*'Summary of area'!$E$37*B81,0)</f>
        <v>0</v>
      </c>
      <c r="T81">
        <f>IF(A81=$H$10,SUM('Water levels-Transport (rail)'!$D$137:$M$138)*'Summary of area'!$E$38*Sheet1!B81,0)</f>
        <v>0</v>
      </c>
      <c r="U81">
        <f>IF(A81&gt;=$H$10,SUM('Water levels-Transport (rail)'!$D$139:$M$146)*'Summary of area'!$E$38*B81+SUM('Water levels-Transport (rail)'!$D$165:$M$172)*'Summary of area'!$E$38*B81,0)</f>
        <v>0</v>
      </c>
      <c r="V81">
        <f>IF(A81=$H$10,SUM('Food production'!$D$256:$M$257)*'Summary of area'!$E$39*Sheet1!B81,0)</f>
        <v>0</v>
      </c>
      <c r="W81">
        <f>IF(A81&gt;=$H$10,SUM('Food production'!$D$258:$M$265)*'Summary of area'!$E$39*Sheet1!B81,0)</f>
        <v>0</v>
      </c>
      <c r="X81">
        <f>IF(A81=$H$10,SUM('Energy (direct)'!$D$85:$M$86)*'Summary of area'!$E$40*B81,0)</f>
        <v>0</v>
      </c>
      <c r="Y81">
        <f>IF(A81&gt;=$H$10,SUM('Energy (direct)'!$D$87:$M$94)*'Summary of area'!$E$40*Sheet1!B81,0)</f>
        <v>0</v>
      </c>
      <c r="Z81">
        <f>IF(A81=$H$10,SUM('Energy (indirect)'!$D$158:$M$159)*'Summary of area'!$E$41*Sheet1!B81,0)</f>
        <v>0</v>
      </c>
      <c r="AA81">
        <f>IF(A81&gt;=$H$10,SUM('Energy (indirect)'!$D$160:$M$167)*'Summary of area'!$E$41*B81,0)</f>
        <v>0</v>
      </c>
      <c r="AB81">
        <f>IF(A81=$H$10,SUM('Designated biodiversity sites'!$D$123:$M$124)*'Summary of area'!$E$42*Sheet1!B81+'Biodiversity - non-designated'!O145*'Summary of area'!$E$43*Sheet1!B81,0)</f>
        <v>0</v>
      </c>
      <c r="AC81">
        <f>IF(A81&gt;=$H$10,SUM('Designated biodiversity sites'!$D$125:$M$132)*'Summary of area'!$E$42*Sheet1!B81+'Biodiversity - non-designated'!O145*'Summary of area'!$E$43*Sheet1!B81,0)</f>
        <v>0</v>
      </c>
      <c r="AD81">
        <f>IF(A81=$H$10,SUM('Water supply'!$D$144:$M$145)*'Summary of area'!$E$44*Sheet1!B81,0)</f>
        <v>0</v>
      </c>
      <c r="AE81">
        <f>IF(A81&gt;=$H$10,SUM('Water supply'!$D$146:$M$153)*'Summary of area'!$E$44*B81,0)</f>
        <v>0</v>
      </c>
      <c r="AF81">
        <f>IF(A81=$H$10,SUM(Heritage!$D$221:$M$222)*'Summary of area'!$E$46*B81,0)</f>
        <v>0</v>
      </c>
      <c r="AG81">
        <f>IF(A81&gt;=$H$10,SUM(Heritage!$D$223:$M$230)*'Summary of area'!$E$46*Sheet1!B81,0)</f>
        <v>0</v>
      </c>
      <c r="AH81">
        <f>IF(A81=$H$10,SUM('Recreation and tourism'!$D$109:$M$110)*'Summary of area'!$E$45*Sheet1!B81,0)</f>
        <v>0</v>
      </c>
      <c r="AI81">
        <f>IF(A81&gt;=$H$10,SUM('Recreation and tourism'!$D$111:$M$118)*'Summary of area'!$E$45*Sheet1!B81,0)</f>
        <v>0</v>
      </c>
    </row>
    <row r="82" spans="1:35" ht="15.75" thickBot="1">
      <c r="A82" s="134">
        <f t="shared" si="4"/>
        <v>67</v>
      </c>
      <c r="B82" s="108">
        <f t="shared" si="3"/>
        <v>0.11934718835481002</v>
      </c>
      <c r="C82" s="137">
        <f>SUM($B$15:B82)</f>
        <v>27.289752819612584</v>
      </c>
      <c r="D82" s="136"/>
      <c r="G82">
        <f>IF(A82&gt;=$H$10,Carbon!$F$33*'Summary of area'!$E$31*B82,0)</f>
        <v>0</v>
      </c>
      <c r="H82">
        <f>IF(A82=$H$10,SUM('Water levels-Residential'!$D$53:$M$54)*'Summary of area'!$E$32*B82,0)</f>
        <v>0</v>
      </c>
      <c r="I82">
        <f>IF(A82&gt;=$H$10,SUM('Water levels-Residential'!$D$55:$M$62)*'Summary of area'!$E$32*B82,0)</f>
        <v>0</v>
      </c>
      <c r="J82">
        <f>IF(A82=$H$10,SUM('Water levels-Business'!$D$87:$M$88)*'Summary of area'!$E$33*B82,0)</f>
        <v>0</v>
      </c>
      <c r="K82">
        <f>IF(A82&gt;=$H$10,SUM('Water levels-Business'!$D$89:$M$96)*'Summary of area'!$E$33*B82,0)</f>
        <v>0</v>
      </c>
      <c r="L82">
        <f>IF(A82=$H$10,SUM('Water levels-Social Infra'!$D$169:$M$170)*'Summary of area'!$E$34*B82,0)</f>
        <v>0</v>
      </c>
      <c r="M82">
        <f>IF(A82&gt;=$H$10,SUM('Water levels-Social Infra'!$D$171:$M$178)*'Summary of area'!$E$34*B82,0)</f>
        <v>0</v>
      </c>
      <c r="N82">
        <f>IF(A82=$H$10,SUM('Water levels-Emergency'!$D$152:$M$153)*'Summary of area'!$E$35*B82,0)</f>
        <v>0</v>
      </c>
      <c r="O82">
        <f>IF(A82&gt;=$H$10,SUM('Water levels-Emergency'!$D$154:$M$161)*'Summary of area'!$E$35*B82,0)</f>
        <v>0</v>
      </c>
      <c r="P82">
        <f>IF(A82=$H$10,SUM('Water levels-Utilities'!$D$189:$M$190)*'Summary of area'!$E$36*B82,0)</f>
        <v>0</v>
      </c>
      <c r="Q82">
        <f>IF(A82&gt;=$H$10,SUM('Water levels-Utilities'!$D$191:$M$198)*'Summary of area'!$E$36*B82,0)</f>
        <v>0</v>
      </c>
      <c r="R82">
        <f>IF(A82=$H$10,SUM('Water levels-Transport (road)'!$D$160:$M$161)*'Summary of area'!$E$37*B82,0)</f>
        <v>0</v>
      </c>
      <c r="S82">
        <f>IF(A82&gt;=$H$10,SUM('Water levels-Transport (road)'!$D$162:$M$169)*'Summary of area'!$E$37*B82+SUM('Water levels-Transport (road)'!$D$215:$M$222)*'Summary of area'!$E$37*B82,0)</f>
        <v>0</v>
      </c>
      <c r="T82">
        <f>IF(A82=$H$10,SUM('Water levels-Transport (rail)'!$D$137:$M$138)*'Summary of area'!$E$38*Sheet1!B82,0)</f>
        <v>0</v>
      </c>
      <c r="U82">
        <f>IF(A82&gt;=$H$10,SUM('Water levels-Transport (rail)'!$D$139:$M$146)*'Summary of area'!$E$38*B82+SUM('Water levels-Transport (rail)'!$D$165:$M$172)*'Summary of area'!$E$38*B82,0)</f>
        <v>0</v>
      </c>
      <c r="V82">
        <f>IF(A82=$H$10,SUM('Food production'!$D$256:$M$257)*'Summary of area'!$E$39*Sheet1!B82,0)</f>
        <v>0</v>
      </c>
      <c r="W82">
        <f>IF(A82&gt;=$H$10,SUM('Food production'!$D$258:$M$265)*'Summary of area'!$E$39*Sheet1!B82,0)</f>
        <v>0</v>
      </c>
      <c r="X82">
        <f>IF(A82=$H$10,SUM('Energy (direct)'!$D$85:$M$86)*'Summary of area'!$E$40*B82,0)</f>
        <v>0</v>
      </c>
      <c r="Y82">
        <f>IF(A82&gt;=$H$10,SUM('Energy (direct)'!$D$87:$M$94)*'Summary of area'!$E$40*Sheet1!B82,0)</f>
        <v>0</v>
      </c>
      <c r="Z82">
        <f>IF(A82=$H$10,SUM('Energy (indirect)'!$D$158:$M$159)*'Summary of area'!$E$41*Sheet1!B82,0)</f>
        <v>0</v>
      </c>
      <c r="AA82">
        <f>IF(A82&gt;=$H$10,SUM('Energy (indirect)'!$D$160:$M$167)*'Summary of area'!$E$41*B82,0)</f>
        <v>0</v>
      </c>
      <c r="AB82">
        <f>IF(A82=$H$10,SUM('Designated biodiversity sites'!$D$123:$M$124)*'Summary of area'!$E$42*Sheet1!B82+'Biodiversity - non-designated'!O146*'Summary of area'!$E$43*Sheet1!B82,0)</f>
        <v>0</v>
      </c>
      <c r="AC82">
        <f>IF(A82&gt;=$H$10,SUM('Designated biodiversity sites'!$D$125:$M$132)*'Summary of area'!$E$42*Sheet1!B82+'Biodiversity - non-designated'!O146*'Summary of area'!$E$43*Sheet1!B82,0)</f>
        <v>0</v>
      </c>
      <c r="AD82">
        <f>IF(A82=$H$10,SUM('Water supply'!$D$144:$M$145)*'Summary of area'!$E$44*Sheet1!B82,0)</f>
        <v>0</v>
      </c>
      <c r="AE82">
        <f>IF(A82&gt;=$H$10,SUM('Water supply'!$D$146:$M$153)*'Summary of area'!$E$44*B82,0)</f>
        <v>0</v>
      </c>
      <c r="AF82">
        <f>IF(A82=$H$10,SUM(Heritage!$D$221:$M$222)*'Summary of area'!$E$46*B82,0)</f>
        <v>0</v>
      </c>
      <c r="AG82">
        <f>IF(A82&gt;=$H$10,SUM(Heritage!$D$223:$M$230)*'Summary of area'!$E$46*Sheet1!B82,0)</f>
        <v>0</v>
      </c>
      <c r="AH82">
        <f>IF(A82=$H$10,SUM('Recreation and tourism'!$D$109:$M$110)*'Summary of area'!$E$45*Sheet1!B82,0)</f>
        <v>0</v>
      </c>
      <c r="AI82">
        <f>IF(A82&gt;=$H$10,SUM('Recreation and tourism'!$D$111:$M$118)*'Summary of area'!$E$45*Sheet1!B82,0)</f>
        <v>0</v>
      </c>
    </row>
    <row r="83" spans="1:35" ht="15.75" thickBot="1">
      <c r="A83" s="134">
        <f t="shared" si="4"/>
        <v>68</v>
      </c>
      <c r="B83" s="108">
        <f t="shared" si="3"/>
        <v>0.11587105665515536</v>
      </c>
      <c r="C83" s="137">
        <f>SUM($B$15:B83)</f>
        <v>27.40562387626774</v>
      </c>
      <c r="D83" s="136"/>
      <c r="G83">
        <f>IF(A83&gt;=$H$10,Carbon!$F$33*'Summary of area'!$E$31*B83,0)</f>
        <v>0</v>
      </c>
      <c r="H83">
        <f>IF(A83=$H$10,SUM('Water levels-Residential'!$D$53:$M$54)*'Summary of area'!$E$32*B83,0)</f>
        <v>0</v>
      </c>
      <c r="I83">
        <f>IF(A83&gt;=$H$10,SUM('Water levels-Residential'!$D$55:$M$62)*'Summary of area'!$E$32*B83,0)</f>
        <v>0</v>
      </c>
      <c r="J83">
        <f>IF(A83=$H$10,SUM('Water levels-Business'!$D$87:$M$88)*'Summary of area'!$E$33*B83,0)</f>
        <v>0</v>
      </c>
      <c r="K83">
        <f>IF(A83&gt;=$H$10,SUM('Water levels-Business'!$D$89:$M$96)*'Summary of area'!$E$33*B83,0)</f>
        <v>0</v>
      </c>
      <c r="L83">
        <f>IF(A83=$H$10,SUM('Water levels-Social Infra'!$D$169:$M$170)*'Summary of area'!$E$34*B83,0)</f>
        <v>0</v>
      </c>
      <c r="M83">
        <f>IF(A83&gt;=$H$10,SUM('Water levels-Social Infra'!$D$171:$M$178)*'Summary of area'!$E$34*B83,0)</f>
        <v>0</v>
      </c>
      <c r="N83">
        <f>IF(A83=$H$10,SUM('Water levels-Emergency'!$D$152:$M$153)*'Summary of area'!$E$35*B83,0)</f>
        <v>0</v>
      </c>
      <c r="O83">
        <f>IF(A83&gt;=$H$10,SUM('Water levels-Emergency'!$D$154:$M$161)*'Summary of area'!$E$35*B83,0)</f>
        <v>0</v>
      </c>
      <c r="P83">
        <f>IF(A83=$H$10,SUM('Water levels-Utilities'!$D$189:$M$190)*'Summary of area'!$E$36*B83,0)</f>
        <v>0</v>
      </c>
      <c r="Q83">
        <f>IF(A83&gt;=$H$10,SUM('Water levels-Utilities'!$D$191:$M$198)*'Summary of area'!$E$36*B83,0)</f>
        <v>0</v>
      </c>
      <c r="R83">
        <f>IF(A83=$H$10,SUM('Water levels-Transport (road)'!$D$160:$M$161)*'Summary of area'!$E$37*B83,0)</f>
        <v>0</v>
      </c>
      <c r="S83">
        <f>IF(A83&gt;=$H$10,SUM('Water levels-Transport (road)'!$D$162:$M$169)*'Summary of area'!$E$37*B83+SUM('Water levels-Transport (road)'!$D$215:$M$222)*'Summary of area'!$E$37*B83,0)</f>
        <v>0</v>
      </c>
      <c r="T83">
        <f>IF(A83=$H$10,SUM('Water levels-Transport (rail)'!$D$137:$M$138)*'Summary of area'!$E$38*Sheet1!B83,0)</f>
        <v>0</v>
      </c>
      <c r="U83">
        <f>IF(A83&gt;=$H$10,SUM('Water levels-Transport (rail)'!$D$139:$M$146)*'Summary of area'!$E$38*B83+SUM('Water levels-Transport (rail)'!$D$165:$M$172)*'Summary of area'!$E$38*B83,0)</f>
        <v>0</v>
      </c>
      <c r="V83">
        <f>IF(A83=$H$10,SUM('Food production'!$D$256:$M$257)*'Summary of area'!$E$39*Sheet1!B83,0)</f>
        <v>0</v>
      </c>
      <c r="W83">
        <f>IF(A83&gt;=$H$10,SUM('Food production'!$D$258:$M$265)*'Summary of area'!$E$39*Sheet1!B83,0)</f>
        <v>0</v>
      </c>
      <c r="X83">
        <f>IF(A83=$H$10,SUM('Energy (direct)'!$D$85:$M$86)*'Summary of area'!$E$40*B83,0)</f>
        <v>0</v>
      </c>
      <c r="Y83">
        <f>IF(A83&gt;=$H$10,SUM('Energy (direct)'!$D$87:$M$94)*'Summary of area'!$E$40*Sheet1!B83,0)</f>
        <v>0</v>
      </c>
      <c r="Z83">
        <f>IF(A83=$H$10,SUM('Energy (indirect)'!$D$158:$M$159)*'Summary of area'!$E$41*Sheet1!B83,0)</f>
        <v>0</v>
      </c>
      <c r="AA83">
        <f>IF(A83&gt;=$H$10,SUM('Energy (indirect)'!$D$160:$M$167)*'Summary of area'!$E$41*B83,0)</f>
        <v>0</v>
      </c>
      <c r="AB83">
        <f>IF(A83=$H$10,SUM('Designated biodiversity sites'!$D$123:$M$124)*'Summary of area'!$E$42*Sheet1!B83+'Biodiversity - non-designated'!O147*'Summary of area'!$E$43*Sheet1!B83,0)</f>
        <v>0</v>
      </c>
      <c r="AC83">
        <f>IF(A83&gt;=$H$10,SUM('Designated biodiversity sites'!$D$125:$M$132)*'Summary of area'!$E$42*Sheet1!B83+'Biodiversity - non-designated'!O147*'Summary of area'!$E$43*Sheet1!B83,0)</f>
        <v>0</v>
      </c>
      <c r="AD83">
        <f>IF(A83=$H$10,SUM('Water supply'!$D$144:$M$145)*'Summary of area'!$E$44*Sheet1!B83,0)</f>
        <v>0</v>
      </c>
      <c r="AE83">
        <f>IF(A83&gt;=$H$10,SUM('Water supply'!$D$146:$M$153)*'Summary of area'!$E$44*B83,0)</f>
        <v>0</v>
      </c>
      <c r="AF83">
        <f>IF(A83=$H$10,SUM(Heritage!$D$221:$M$222)*'Summary of area'!$E$46*B83,0)</f>
        <v>0</v>
      </c>
      <c r="AG83">
        <f>IF(A83&gt;=$H$10,SUM(Heritage!$D$223:$M$230)*'Summary of area'!$E$46*Sheet1!B83,0)</f>
        <v>0</v>
      </c>
      <c r="AH83">
        <f>IF(A83=$H$10,SUM('Recreation and tourism'!$D$109:$M$110)*'Summary of area'!$E$45*Sheet1!B83,0)</f>
        <v>0</v>
      </c>
      <c r="AI83">
        <f>IF(A83&gt;=$H$10,SUM('Recreation and tourism'!$D$111:$M$118)*'Summary of area'!$E$45*Sheet1!B83,0)</f>
        <v>0</v>
      </c>
    </row>
    <row r="84" spans="1:35" ht="15.75" thickBot="1">
      <c r="A84" s="134">
        <f t="shared" si="4"/>
        <v>69</v>
      </c>
      <c r="B84" s="108">
        <f t="shared" si="3"/>
        <v>0.11249617150985958</v>
      </c>
      <c r="C84" s="137">
        <f>SUM($B$15:B84)</f>
        <v>27.5181200477776</v>
      </c>
      <c r="D84" s="136"/>
      <c r="G84">
        <f>IF(A84&gt;=$H$10,Carbon!$F$33*'Summary of area'!$E$31*B84,0)</f>
        <v>0</v>
      </c>
      <c r="H84">
        <f>IF(A84=$H$10,SUM('Water levels-Residential'!$D$53:$M$54)*'Summary of area'!$E$32*B84,0)</f>
        <v>0</v>
      </c>
      <c r="I84">
        <f>IF(A84&gt;=$H$10,SUM('Water levels-Residential'!$D$55:$M$62)*'Summary of area'!$E$32*B84,0)</f>
        <v>0</v>
      </c>
      <c r="J84">
        <f>IF(A84=$H$10,SUM('Water levels-Business'!$D$87:$M$88)*'Summary of area'!$E$33*B84,0)</f>
        <v>0</v>
      </c>
      <c r="K84">
        <f>IF(A84&gt;=$H$10,SUM('Water levels-Business'!$D$89:$M$96)*'Summary of area'!$E$33*B84,0)</f>
        <v>0</v>
      </c>
      <c r="L84">
        <f>IF(A84=$H$10,SUM('Water levels-Social Infra'!$D$169:$M$170)*'Summary of area'!$E$34*B84,0)</f>
        <v>0</v>
      </c>
      <c r="M84">
        <f>IF(A84&gt;=$H$10,SUM('Water levels-Social Infra'!$D$171:$M$178)*'Summary of area'!$E$34*B84,0)</f>
        <v>0</v>
      </c>
      <c r="N84">
        <f>IF(A84=$H$10,SUM('Water levels-Emergency'!$D$152:$M$153)*'Summary of area'!$E$35*B84,0)</f>
        <v>0</v>
      </c>
      <c r="O84">
        <f>IF(A84&gt;=$H$10,SUM('Water levels-Emergency'!$D$154:$M$161)*'Summary of area'!$E$35*B84,0)</f>
        <v>0</v>
      </c>
      <c r="P84">
        <f>IF(A84=$H$10,SUM('Water levels-Utilities'!$D$189:$M$190)*'Summary of area'!$E$36*B84,0)</f>
        <v>0</v>
      </c>
      <c r="Q84">
        <f>IF(A84&gt;=$H$10,SUM('Water levels-Utilities'!$D$191:$M$198)*'Summary of area'!$E$36*B84,0)</f>
        <v>0</v>
      </c>
      <c r="R84">
        <f>IF(A84=$H$10,SUM('Water levels-Transport (road)'!$D$160:$M$161)*'Summary of area'!$E$37*B84,0)</f>
        <v>0</v>
      </c>
      <c r="S84">
        <f>IF(A84&gt;=$H$10,SUM('Water levels-Transport (road)'!$D$162:$M$169)*'Summary of area'!$E$37*B84+SUM('Water levels-Transport (road)'!$D$215:$M$222)*'Summary of area'!$E$37*B84,0)</f>
        <v>0</v>
      </c>
      <c r="T84">
        <f>IF(A84=$H$10,SUM('Water levels-Transport (rail)'!$D$137:$M$138)*'Summary of area'!$E$38*Sheet1!B84,0)</f>
        <v>0</v>
      </c>
      <c r="U84">
        <f>IF(A84&gt;=$H$10,SUM('Water levels-Transport (rail)'!$D$139:$M$146)*'Summary of area'!$E$38*B84+SUM('Water levels-Transport (rail)'!$D$165:$M$172)*'Summary of area'!$E$38*B84,0)</f>
        <v>0</v>
      </c>
      <c r="V84">
        <f>IF(A84=$H$10,SUM('Food production'!$D$256:$M$257)*'Summary of area'!$E$39*Sheet1!B84,0)</f>
        <v>0</v>
      </c>
      <c r="W84">
        <f>IF(A84&gt;=$H$10,SUM('Food production'!$D$258:$M$265)*'Summary of area'!$E$39*Sheet1!B84,0)</f>
        <v>0</v>
      </c>
      <c r="X84">
        <f>IF(A84=$H$10,SUM('Energy (direct)'!$D$85:$M$86)*'Summary of area'!$E$40*B84,0)</f>
        <v>0</v>
      </c>
      <c r="Y84">
        <f>IF(A84&gt;=$H$10,SUM('Energy (direct)'!$D$87:$M$94)*'Summary of area'!$E$40*Sheet1!B84,0)</f>
        <v>0</v>
      </c>
      <c r="Z84">
        <f>IF(A84=$H$10,SUM('Energy (indirect)'!$D$158:$M$159)*'Summary of area'!$E$41*Sheet1!B84,0)</f>
        <v>0</v>
      </c>
      <c r="AA84">
        <f>IF(A84&gt;=$H$10,SUM('Energy (indirect)'!$D$160:$M$167)*'Summary of area'!$E$41*B84,0)</f>
        <v>0</v>
      </c>
      <c r="AB84">
        <f>IF(A84=$H$10,SUM('Designated biodiversity sites'!$D$123:$M$124)*'Summary of area'!$E$42*Sheet1!B84+'Biodiversity - non-designated'!O148*'Summary of area'!$E$43*Sheet1!B84,0)</f>
        <v>0</v>
      </c>
      <c r="AC84">
        <f>IF(A84&gt;=$H$10,SUM('Designated biodiversity sites'!$D$125:$M$132)*'Summary of area'!$E$42*Sheet1!B84+'Biodiversity - non-designated'!O148*'Summary of area'!$E$43*Sheet1!B84,0)</f>
        <v>0</v>
      </c>
      <c r="AD84">
        <f>IF(A84=$H$10,SUM('Water supply'!$D$144:$M$145)*'Summary of area'!$E$44*Sheet1!B84,0)</f>
        <v>0</v>
      </c>
      <c r="AE84">
        <f>IF(A84&gt;=$H$10,SUM('Water supply'!$D$146:$M$153)*'Summary of area'!$E$44*B84,0)</f>
        <v>0</v>
      </c>
      <c r="AF84">
        <f>IF(A84=$H$10,SUM(Heritage!$D$221:$M$222)*'Summary of area'!$E$46*B84,0)</f>
        <v>0</v>
      </c>
      <c r="AG84">
        <f>IF(A84&gt;=$H$10,SUM(Heritage!$D$223:$M$230)*'Summary of area'!$E$46*Sheet1!B84,0)</f>
        <v>0</v>
      </c>
      <c r="AH84">
        <f>IF(A84=$H$10,SUM('Recreation and tourism'!$D$109:$M$110)*'Summary of area'!$E$45*Sheet1!B84,0)</f>
        <v>0</v>
      </c>
      <c r="AI84">
        <f>IF(A84&gt;=$H$10,SUM('Recreation and tourism'!$D$111:$M$118)*'Summary of area'!$E$45*Sheet1!B84,0)</f>
        <v>0</v>
      </c>
    </row>
    <row r="85" spans="1:35" ht="15.75" thickBot="1">
      <c r="A85" s="134">
        <f t="shared" si="4"/>
        <v>70</v>
      </c>
      <c r="B85" s="108">
        <f t="shared" si="3"/>
        <v>0.10921958399015493</v>
      </c>
      <c r="C85" s="137">
        <f>SUM($B$15:B85)</f>
        <v>27.627339631767754</v>
      </c>
      <c r="D85" s="136"/>
      <c r="G85">
        <f>IF(A85&gt;=$H$10,Carbon!$F$33*'Summary of area'!$E$31*B85,0)</f>
        <v>0</v>
      </c>
      <c r="H85">
        <f>IF(A85=$H$10,SUM('Water levels-Residential'!$D$53:$M$54)*'Summary of area'!$E$32*B85,0)</f>
        <v>0</v>
      </c>
      <c r="I85">
        <f>IF(A85&gt;=$H$10,SUM('Water levels-Residential'!$D$55:$M$62)*'Summary of area'!$E$32*B85,0)</f>
        <v>0</v>
      </c>
      <c r="J85">
        <f>IF(A85=$H$10,SUM('Water levels-Business'!$D$87:$M$88)*'Summary of area'!$E$33*B85,0)</f>
        <v>0</v>
      </c>
      <c r="K85">
        <f>IF(A85&gt;=$H$10,SUM('Water levels-Business'!$D$89:$M$96)*'Summary of area'!$E$33*B85,0)</f>
        <v>0</v>
      </c>
      <c r="L85">
        <f>IF(A85=$H$10,SUM('Water levels-Social Infra'!$D$169:$M$170)*'Summary of area'!$E$34*B85,0)</f>
        <v>0</v>
      </c>
      <c r="M85">
        <f>IF(A85&gt;=$H$10,SUM('Water levels-Social Infra'!$D$171:$M$178)*'Summary of area'!$E$34*B85,0)</f>
        <v>0</v>
      </c>
      <c r="N85">
        <f>IF(A85=$H$10,SUM('Water levels-Emergency'!$D$152:$M$153)*'Summary of area'!$E$35*B85,0)</f>
        <v>0</v>
      </c>
      <c r="O85">
        <f>IF(A85&gt;=$H$10,SUM('Water levels-Emergency'!$D$154:$M$161)*'Summary of area'!$E$35*B85,0)</f>
        <v>0</v>
      </c>
      <c r="P85">
        <f>IF(A85=$H$10,SUM('Water levels-Utilities'!$D$189:$M$190)*'Summary of area'!$E$36*B85,0)</f>
        <v>0</v>
      </c>
      <c r="Q85">
        <f>IF(A85&gt;=$H$10,SUM('Water levels-Utilities'!$D$191:$M$198)*'Summary of area'!$E$36*B85,0)</f>
        <v>0</v>
      </c>
      <c r="R85">
        <f>IF(A85=$H$10,SUM('Water levels-Transport (road)'!$D$160:$M$161)*'Summary of area'!$E$37*B85,0)</f>
        <v>0</v>
      </c>
      <c r="S85">
        <f>IF(A85&gt;=$H$10,SUM('Water levels-Transport (road)'!$D$162:$M$169)*'Summary of area'!$E$37*B85+SUM('Water levels-Transport (road)'!$D$215:$M$222)*'Summary of area'!$E$37*B85,0)</f>
        <v>0</v>
      </c>
      <c r="T85">
        <f>IF(A85=$H$10,SUM('Water levels-Transport (rail)'!$D$137:$M$138)*'Summary of area'!$E$38*Sheet1!B85,0)</f>
        <v>0</v>
      </c>
      <c r="U85">
        <f>IF(A85&gt;=$H$10,SUM('Water levels-Transport (rail)'!$D$139:$M$146)*'Summary of area'!$E$38*B85+SUM('Water levels-Transport (rail)'!$D$165:$M$172)*'Summary of area'!$E$38*B85,0)</f>
        <v>0</v>
      </c>
      <c r="V85">
        <f>IF(A85=$H$10,SUM('Food production'!$D$256:$M$257)*'Summary of area'!$E$39*Sheet1!B85,0)</f>
        <v>0</v>
      </c>
      <c r="W85">
        <f>IF(A85&gt;=$H$10,SUM('Food production'!$D$258:$M$265)*'Summary of area'!$E$39*Sheet1!B85,0)</f>
        <v>0</v>
      </c>
      <c r="X85">
        <f>IF(A85=$H$10,SUM('Energy (direct)'!$D$85:$M$86)*'Summary of area'!$E$40*B85,0)</f>
        <v>0</v>
      </c>
      <c r="Y85">
        <f>IF(A85&gt;=$H$10,SUM('Energy (direct)'!$D$87:$M$94)*'Summary of area'!$E$40*Sheet1!B85,0)</f>
        <v>0</v>
      </c>
      <c r="Z85">
        <f>IF(A85=$H$10,SUM('Energy (indirect)'!$D$158:$M$159)*'Summary of area'!$E$41*Sheet1!B85,0)</f>
        <v>0</v>
      </c>
      <c r="AA85">
        <f>IF(A85&gt;=$H$10,SUM('Energy (indirect)'!$D$160:$M$167)*'Summary of area'!$E$41*B85,0)</f>
        <v>0</v>
      </c>
      <c r="AB85">
        <f>IF(A85=$H$10,SUM('Designated biodiversity sites'!$D$123:$M$124)*'Summary of area'!$E$42*Sheet1!B85+'Biodiversity - non-designated'!O149*'Summary of area'!$E$43*Sheet1!B85,0)</f>
        <v>0</v>
      </c>
      <c r="AC85">
        <f>IF(A85&gt;=$H$10,SUM('Designated biodiversity sites'!$D$125:$M$132)*'Summary of area'!$E$42*Sheet1!B85+'Biodiversity - non-designated'!O149*'Summary of area'!$E$43*Sheet1!B85,0)</f>
        <v>0</v>
      </c>
      <c r="AD85">
        <f>IF(A85=$H$10,SUM('Water supply'!$D$144:$M$145)*'Summary of area'!$E$44*Sheet1!B85,0)</f>
        <v>0</v>
      </c>
      <c r="AE85">
        <f>IF(A85&gt;=$H$10,SUM('Water supply'!$D$146:$M$153)*'Summary of area'!$E$44*B85,0)</f>
        <v>0</v>
      </c>
      <c r="AF85">
        <f>IF(A85=$H$10,SUM(Heritage!$D$221:$M$222)*'Summary of area'!$E$46*B85,0)</f>
        <v>0</v>
      </c>
      <c r="AG85">
        <f>IF(A85&gt;=$H$10,SUM(Heritage!$D$223:$M$230)*'Summary of area'!$E$46*Sheet1!B85,0)</f>
        <v>0</v>
      </c>
      <c r="AH85">
        <f>IF(A85=$H$10,SUM('Recreation and tourism'!$D$109:$M$110)*'Summary of area'!$E$45*Sheet1!B85,0)</f>
        <v>0</v>
      </c>
      <c r="AI85">
        <f>IF(A85&gt;=$H$10,SUM('Recreation and tourism'!$D$111:$M$118)*'Summary of area'!$E$45*Sheet1!B85,0)</f>
        <v>0</v>
      </c>
    </row>
    <row r="86" spans="1:35" ht="15.75" thickBot="1">
      <c r="A86" s="134">
        <f t="shared" si="4"/>
        <v>71</v>
      </c>
      <c r="B86" s="108">
        <f t="shared" si="3"/>
        <v>0.10603843105840284</v>
      </c>
      <c r="C86" s="137">
        <f>SUM($B$15:B86)</f>
        <v>27.733378062826155</v>
      </c>
      <c r="D86" s="136"/>
      <c r="G86">
        <f>IF(A86&gt;=$H$10,Carbon!$F$33*'Summary of area'!$E$31*B86,0)</f>
        <v>0</v>
      </c>
      <c r="H86">
        <f>IF(A86=$H$10,SUM('Water levels-Residential'!$D$53:$M$54)*'Summary of area'!$E$32*B86,0)</f>
        <v>0</v>
      </c>
      <c r="I86">
        <f>IF(A86&gt;=$H$10,SUM('Water levels-Residential'!$D$55:$M$62)*'Summary of area'!$E$32*B86,0)</f>
        <v>0</v>
      </c>
      <c r="J86">
        <f>IF(A86=$H$10,SUM('Water levels-Business'!$D$87:$M$88)*'Summary of area'!$E$33*B86,0)</f>
        <v>0</v>
      </c>
      <c r="K86">
        <f>IF(A86&gt;=$H$10,SUM('Water levels-Business'!$D$89:$M$96)*'Summary of area'!$E$33*B86,0)</f>
        <v>0</v>
      </c>
      <c r="L86">
        <f>IF(A86=$H$10,SUM('Water levels-Social Infra'!$D$169:$M$170)*'Summary of area'!$E$34*B86,0)</f>
        <v>0</v>
      </c>
      <c r="M86">
        <f>IF(A86&gt;=$H$10,SUM('Water levels-Social Infra'!$D$171:$M$178)*'Summary of area'!$E$34*B86,0)</f>
        <v>0</v>
      </c>
      <c r="N86">
        <f>IF(A86=$H$10,SUM('Water levels-Emergency'!$D$152:$M$153)*'Summary of area'!$E$35*B86,0)</f>
        <v>0</v>
      </c>
      <c r="O86">
        <f>IF(A86&gt;=$H$10,SUM('Water levels-Emergency'!$D$154:$M$161)*'Summary of area'!$E$35*B86,0)</f>
        <v>0</v>
      </c>
      <c r="P86">
        <f>IF(A86=$H$10,SUM('Water levels-Utilities'!$D$189:$M$190)*'Summary of area'!$E$36*B86,0)</f>
        <v>0</v>
      </c>
      <c r="Q86">
        <f>IF(A86&gt;=$H$10,SUM('Water levels-Utilities'!$D$191:$M$198)*'Summary of area'!$E$36*B86,0)</f>
        <v>0</v>
      </c>
      <c r="R86">
        <f>IF(A86=$H$10,SUM('Water levels-Transport (road)'!$D$160:$M$161)*'Summary of area'!$E$37*B86,0)</f>
        <v>0</v>
      </c>
      <c r="S86">
        <f>IF(A86&gt;=$H$10,SUM('Water levels-Transport (road)'!$D$162:$M$169)*'Summary of area'!$E$37*B86+SUM('Water levels-Transport (road)'!$D$215:$M$222)*'Summary of area'!$E$37*B86,0)</f>
        <v>0</v>
      </c>
      <c r="T86">
        <f>IF(A86=$H$10,SUM('Water levels-Transport (rail)'!$D$137:$M$138)*'Summary of area'!$E$38*Sheet1!B86,0)</f>
        <v>0</v>
      </c>
      <c r="U86">
        <f>IF(A86&gt;=$H$10,SUM('Water levels-Transport (rail)'!$D$139:$M$146)*'Summary of area'!$E$38*B86+SUM('Water levels-Transport (rail)'!$D$165:$M$172)*'Summary of area'!$E$38*B86,0)</f>
        <v>0</v>
      </c>
      <c r="V86">
        <f>IF(A86=$H$10,SUM('Food production'!$D$256:$M$257)*'Summary of area'!$E$39*Sheet1!B86,0)</f>
        <v>0</v>
      </c>
      <c r="W86">
        <f>IF(A86&gt;=$H$10,SUM('Food production'!$D$258:$M$265)*'Summary of area'!$E$39*Sheet1!B86,0)</f>
        <v>0</v>
      </c>
      <c r="X86">
        <f>IF(A86=$H$10,SUM('Energy (direct)'!$D$85:$M$86)*'Summary of area'!$E$40*B86,0)</f>
        <v>0</v>
      </c>
      <c r="Y86">
        <f>IF(A86&gt;=$H$10,SUM('Energy (direct)'!$D$87:$M$94)*'Summary of area'!$E$40*Sheet1!B86,0)</f>
        <v>0</v>
      </c>
      <c r="Z86">
        <f>IF(A86=$H$10,SUM('Energy (indirect)'!$D$158:$M$159)*'Summary of area'!$E$41*Sheet1!B86,0)</f>
        <v>0</v>
      </c>
      <c r="AA86">
        <f>IF(A86&gt;=$H$10,SUM('Energy (indirect)'!$D$160:$M$167)*'Summary of area'!$E$41*B86,0)</f>
        <v>0</v>
      </c>
      <c r="AB86">
        <f>IF(A86=$H$10,SUM('Designated biodiversity sites'!$D$123:$M$124)*'Summary of area'!$E$42*Sheet1!B86+'Biodiversity - non-designated'!O150*'Summary of area'!$E$43*Sheet1!B86,0)</f>
        <v>0</v>
      </c>
      <c r="AC86">
        <f>IF(A86&gt;=$H$10,SUM('Designated biodiversity sites'!$D$125:$M$132)*'Summary of area'!$E$42*Sheet1!B86+'Biodiversity - non-designated'!O150*'Summary of area'!$E$43*Sheet1!B86,0)</f>
        <v>0</v>
      </c>
      <c r="AD86">
        <f>IF(A86=$H$10,SUM('Water supply'!$D$144:$M$145)*'Summary of area'!$E$44*Sheet1!B86,0)</f>
        <v>0</v>
      </c>
      <c r="AE86">
        <f>IF(A86&gt;=$H$10,SUM('Water supply'!$D$146:$M$153)*'Summary of area'!$E$44*B86,0)</f>
        <v>0</v>
      </c>
      <c r="AF86">
        <f>IF(A86=$H$10,SUM(Heritage!$D$221:$M$222)*'Summary of area'!$E$46*B86,0)</f>
        <v>0</v>
      </c>
      <c r="AG86">
        <f>IF(A86&gt;=$H$10,SUM(Heritage!$D$223:$M$230)*'Summary of area'!$E$46*Sheet1!B86,0)</f>
        <v>0</v>
      </c>
      <c r="AH86">
        <f>IF(A86=$H$10,SUM('Recreation and tourism'!$D$109:$M$110)*'Summary of area'!$E$45*Sheet1!B86,0)</f>
        <v>0</v>
      </c>
      <c r="AI86">
        <f>IF(A86&gt;=$H$10,SUM('Recreation and tourism'!$D$111:$M$118)*'Summary of area'!$E$45*Sheet1!B86,0)</f>
        <v>0</v>
      </c>
    </row>
    <row r="87" spans="1:35" ht="15.75" thickBot="1">
      <c r="A87" s="134">
        <f t="shared" si="4"/>
        <v>72</v>
      </c>
      <c r="B87" s="108">
        <f t="shared" si="3"/>
        <v>0.10294993306641052</v>
      </c>
      <c r="C87" s="137">
        <f>SUM($B$15:B87)</f>
        <v>27.836327995892564</v>
      </c>
      <c r="D87" s="136"/>
      <c r="G87">
        <f>IF(A87&gt;=$H$10,Carbon!$F$33*'Summary of area'!$E$31*B87,0)</f>
        <v>0</v>
      </c>
      <c r="H87">
        <f>IF(A87=$H$10,SUM('Water levels-Residential'!$D$53:$M$54)*'Summary of area'!$E$32*B87,0)</f>
        <v>0</v>
      </c>
      <c r="I87">
        <f>IF(A87&gt;=$H$10,SUM('Water levels-Residential'!$D$55:$M$62)*'Summary of area'!$E$32*B87,0)</f>
        <v>0</v>
      </c>
      <c r="J87">
        <f>IF(A87=$H$10,SUM('Water levels-Business'!$D$87:$M$88)*'Summary of area'!$E$33*B87,0)</f>
        <v>0</v>
      </c>
      <c r="K87">
        <f>IF(A87&gt;=$H$10,SUM('Water levels-Business'!$D$89:$M$96)*'Summary of area'!$E$33*B87,0)</f>
        <v>0</v>
      </c>
      <c r="L87">
        <f>IF(A87=$H$10,SUM('Water levels-Social Infra'!$D$169:$M$170)*'Summary of area'!$E$34*B87,0)</f>
        <v>0</v>
      </c>
      <c r="M87">
        <f>IF(A87&gt;=$H$10,SUM('Water levels-Social Infra'!$D$171:$M$178)*'Summary of area'!$E$34*B87,0)</f>
        <v>0</v>
      </c>
      <c r="N87">
        <f>IF(A87=$H$10,SUM('Water levels-Emergency'!$D$152:$M$153)*'Summary of area'!$E$35*B87,0)</f>
        <v>0</v>
      </c>
      <c r="O87">
        <f>IF(A87&gt;=$H$10,SUM('Water levels-Emergency'!$D$154:$M$161)*'Summary of area'!$E$35*B87,0)</f>
        <v>0</v>
      </c>
      <c r="P87">
        <f>IF(A87=$H$10,SUM('Water levels-Utilities'!$D$189:$M$190)*'Summary of area'!$E$36*B87,0)</f>
        <v>0</v>
      </c>
      <c r="Q87">
        <f>IF(A87&gt;=$H$10,SUM('Water levels-Utilities'!$D$191:$M$198)*'Summary of area'!$E$36*B87,0)</f>
        <v>0</v>
      </c>
      <c r="R87">
        <f>IF(A87=$H$10,SUM('Water levels-Transport (road)'!$D$160:$M$161)*'Summary of area'!$E$37*B87,0)</f>
        <v>0</v>
      </c>
      <c r="S87">
        <f>IF(A87&gt;=$H$10,SUM('Water levels-Transport (road)'!$D$162:$M$169)*'Summary of area'!$E$37*B87+SUM('Water levels-Transport (road)'!$D$215:$M$222)*'Summary of area'!$E$37*B87,0)</f>
        <v>0</v>
      </c>
      <c r="T87">
        <f>IF(A87=$H$10,SUM('Water levels-Transport (rail)'!$D$137:$M$138)*'Summary of area'!$E$38*Sheet1!B87,0)</f>
        <v>0</v>
      </c>
      <c r="U87">
        <f>IF(A87&gt;=$H$10,SUM('Water levels-Transport (rail)'!$D$139:$M$146)*'Summary of area'!$E$38*B87+SUM('Water levels-Transport (rail)'!$D$165:$M$172)*'Summary of area'!$E$38*B87,0)</f>
        <v>0</v>
      </c>
      <c r="V87">
        <f>IF(A87=$H$10,SUM('Food production'!$D$256:$M$257)*'Summary of area'!$E$39*Sheet1!B87,0)</f>
        <v>0</v>
      </c>
      <c r="W87">
        <f>IF(A87&gt;=$H$10,SUM('Food production'!$D$258:$M$265)*'Summary of area'!$E$39*Sheet1!B87,0)</f>
        <v>0</v>
      </c>
      <c r="X87">
        <f>IF(A87=$H$10,SUM('Energy (direct)'!$D$85:$M$86)*'Summary of area'!$E$40*B87,0)</f>
        <v>0</v>
      </c>
      <c r="Y87">
        <f>IF(A87&gt;=$H$10,SUM('Energy (direct)'!$D$87:$M$94)*'Summary of area'!$E$40*Sheet1!B87,0)</f>
        <v>0</v>
      </c>
      <c r="Z87">
        <f>IF(A87=$H$10,SUM('Energy (indirect)'!$D$158:$M$159)*'Summary of area'!$E$41*Sheet1!B87,0)</f>
        <v>0</v>
      </c>
      <c r="AA87">
        <f>IF(A87&gt;=$H$10,SUM('Energy (indirect)'!$D$160:$M$167)*'Summary of area'!$E$41*B87,0)</f>
        <v>0</v>
      </c>
      <c r="AB87">
        <f>IF(A87=$H$10,SUM('Designated biodiversity sites'!$D$123:$M$124)*'Summary of area'!$E$42*Sheet1!B87+'Biodiversity - non-designated'!O151*'Summary of area'!$E$43*Sheet1!B87,0)</f>
        <v>0</v>
      </c>
      <c r="AC87">
        <f>IF(A87&gt;=$H$10,SUM('Designated biodiversity sites'!$D$125:$M$132)*'Summary of area'!$E$42*Sheet1!B87+'Biodiversity - non-designated'!O151*'Summary of area'!$E$43*Sheet1!B87,0)</f>
        <v>0</v>
      </c>
      <c r="AD87">
        <f>IF(A87=$H$10,SUM('Water supply'!$D$144:$M$145)*'Summary of area'!$E$44*Sheet1!B87,0)</f>
        <v>0</v>
      </c>
      <c r="AE87">
        <f>IF(A87&gt;=$H$10,SUM('Water supply'!$D$146:$M$153)*'Summary of area'!$E$44*B87,0)</f>
        <v>0</v>
      </c>
      <c r="AF87">
        <f>IF(A87=$H$10,SUM(Heritage!$D$221:$M$222)*'Summary of area'!$E$46*B87,0)</f>
        <v>0</v>
      </c>
      <c r="AG87">
        <f>IF(A87&gt;=$H$10,SUM(Heritage!$D$223:$M$230)*'Summary of area'!$E$46*Sheet1!B87,0)</f>
        <v>0</v>
      </c>
      <c r="AH87">
        <f>IF(A87=$H$10,SUM('Recreation and tourism'!$D$109:$M$110)*'Summary of area'!$E$45*Sheet1!B87,0)</f>
        <v>0</v>
      </c>
      <c r="AI87">
        <f>IF(A87&gt;=$H$10,SUM('Recreation and tourism'!$D$111:$M$118)*'Summary of area'!$E$45*Sheet1!B87,0)</f>
        <v>0</v>
      </c>
    </row>
    <row r="88" spans="1:35" ht="15.75" thickBot="1">
      <c r="A88" s="134">
        <f t="shared" si="4"/>
        <v>73</v>
      </c>
      <c r="B88" s="108">
        <f t="shared" si="3"/>
        <v>0.09995139132661215</v>
      </c>
      <c r="C88" s="137">
        <f>SUM($B$15:B88)</f>
        <v>27.936279387219177</v>
      </c>
      <c r="D88" s="136"/>
      <c r="G88">
        <f>IF(A88&gt;=$H$10,Carbon!$F$33*'Summary of area'!$E$31*B88,0)</f>
        <v>0</v>
      </c>
      <c r="H88">
        <f>IF(A88=$H$10,SUM('Water levels-Residential'!$D$53:$M$54)*'Summary of area'!$E$32*B88,0)</f>
        <v>0</v>
      </c>
      <c r="I88">
        <f>IF(A88&gt;=$H$10,SUM('Water levels-Residential'!$D$55:$M$62)*'Summary of area'!$E$32*B88,0)</f>
        <v>0</v>
      </c>
      <c r="J88">
        <f>IF(A88=$H$10,SUM('Water levels-Business'!$D$87:$M$88)*'Summary of area'!$E$33*B88,0)</f>
        <v>0</v>
      </c>
      <c r="K88">
        <f>IF(A88&gt;=$H$10,SUM('Water levels-Business'!$D$89:$M$96)*'Summary of area'!$E$33*B88,0)</f>
        <v>0</v>
      </c>
      <c r="L88">
        <f>IF(A88=$H$10,SUM('Water levels-Social Infra'!$D$169:$M$170)*'Summary of area'!$E$34*B88,0)</f>
        <v>0</v>
      </c>
      <c r="M88">
        <f>IF(A88&gt;=$H$10,SUM('Water levels-Social Infra'!$D$171:$M$178)*'Summary of area'!$E$34*B88,0)</f>
        <v>0</v>
      </c>
      <c r="N88">
        <f>IF(A88=$H$10,SUM('Water levels-Emergency'!$D$152:$M$153)*'Summary of area'!$E$35*B88,0)</f>
        <v>0</v>
      </c>
      <c r="O88">
        <f>IF(A88&gt;=$H$10,SUM('Water levels-Emergency'!$D$154:$M$161)*'Summary of area'!$E$35*B88,0)</f>
        <v>0</v>
      </c>
      <c r="P88">
        <f>IF(A88=$H$10,SUM('Water levels-Utilities'!$D$189:$M$190)*'Summary of area'!$E$36*B88,0)</f>
        <v>0</v>
      </c>
      <c r="Q88">
        <f>IF(A88&gt;=$H$10,SUM('Water levels-Utilities'!$D$191:$M$198)*'Summary of area'!$E$36*B88,0)</f>
        <v>0</v>
      </c>
      <c r="R88">
        <f>IF(A88=$H$10,SUM('Water levels-Transport (road)'!$D$160:$M$161)*'Summary of area'!$E$37*B88,0)</f>
        <v>0</v>
      </c>
      <c r="S88">
        <f>IF(A88&gt;=$H$10,SUM('Water levels-Transport (road)'!$D$162:$M$169)*'Summary of area'!$E$37*B88+SUM('Water levels-Transport (road)'!$D$215:$M$222)*'Summary of area'!$E$37*B88,0)</f>
        <v>0</v>
      </c>
      <c r="T88">
        <f>IF(A88=$H$10,SUM('Water levels-Transport (rail)'!$D$137:$M$138)*'Summary of area'!$E$38*Sheet1!B88,0)</f>
        <v>0</v>
      </c>
      <c r="U88">
        <f>IF(A88&gt;=$H$10,SUM('Water levels-Transport (rail)'!$D$139:$M$146)*'Summary of area'!$E$38*B88+SUM('Water levels-Transport (rail)'!$D$165:$M$172)*'Summary of area'!$E$38*B88,0)</f>
        <v>0</v>
      </c>
      <c r="V88">
        <f>IF(A88=$H$10,SUM('Food production'!$D$256:$M$257)*'Summary of area'!$E$39*Sheet1!B88,0)</f>
        <v>0</v>
      </c>
      <c r="W88">
        <f>IF(A88&gt;=$H$10,SUM('Food production'!$D$258:$M$265)*'Summary of area'!$E$39*Sheet1!B88,0)</f>
        <v>0</v>
      </c>
      <c r="X88">
        <f>IF(A88=$H$10,SUM('Energy (direct)'!$D$85:$M$86)*'Summary of area'!$E$40*B88,0)</f>
        <v>0</v>
      </c>
      <c r="Y88">
        <f>IF(A88&gt;=$H$10,SUM('Energy (direct)'!$D$87:$M$94)*'Summary of area'!$E$40*Sheet1!B88,0)</f>
        <v>0</v>
      </c>
      <c r="Z88">
        <f>IF(A88=$H$10,SUM('Energy (indirect)'!$D$158:$M$159)*'Summary of area'!$E$41*Sheet1!B88,0)</f>
        <v>0</v>
      </c>
      <c r="AA88">
        <f>IF(A88&gt;=$H$10,SUM('Energy (indirect)'!$D$160:$M$167)*'Summary of area'!$E$41*B88,0)</f>
        <v>0</v>
      </c>
      <c r="AB88">
        <f>IF(A88=$H$10,SUM('Designated biodiversity sites'!$D$123:$M$124)*'Summary of area'!$E$42*Sheet1!B88+'Biodiversity - non-designated'!O152*'Summary of area'!$E$43*Sheet1!B88,0)</f>
        <v>0</v>
      </c>
      <c r="AC88">
        <f>IF(A88&gt;=$H$10,SUM('Designated biodiversity sites'!$D$125:$M$132)*'Summary of area'!$E$42*Sheet1!B88+'Biodiversity - non-designated'!O152*'Summary of area'!$E$43*Sheet1!B88,0)</f>
        <v>0</v>
      </c>
      <c r="AD88">
        <f>IF(A88=$H$10,SUM('Water supply'!$D$144:$M$145)*'Summary of area'!$E$44*Sheet1!B88,0)</f>
        <v>0</v>
      </c>
      <c r="AE88">
        <f>IF(A88&gt;=$H$10,SUM('Water supply'!$D$146:$M$153)*'Summary of area'!$E$44*B88,0)</f>
        <v>0</v>
      </c>
      <c r="AF88">
        <f>IF(A88=$H$10,SUM(Heritage!$D$221:$M$222)*'Summary of area'!$E$46*B88,0)</f>
        <v>0</v>
      </c>
      <c r="AG88">
        <f>IF(A88&gt;=$H$10,SUM(Heritage!$D$223:$M$230)*'Summary of area'!$E$46*Sheet1!B88,0)</f>
        <v>0</v>
      </c>
      <c r="AH88">
        <f>IF(A88=$H$10,SUM('Recreation and tourism'!$D$109:$M$110)*'Summary of area'!$E$45*Sheet1!B88,0)</f>
        <v>0</v>
      </c>
      <c r="AI88">
        <f>IF(A88&gt;=$H$10,SUM('Recreation and tourism'!$D$111:$M$118)*'Summary of area'!$E$45*Sheet1!B88,0)</f>
        <v>0</v>
      </c>
    </row>
    <row r="89" spans="1:35" ht="15.75" thickBot="1">
      <c r="A89" s="134">
        <f t="shared" si="4"/>
        <v>74</v>
      </c>
      <c r="B89" s="108">
        <f t="shared" si="3"/>
        <v>0.09704018575399238</v>
      </c>
      <c r="C89" s="137">
        <f>SUM($B$15:B89)</f>
        <v>28.03331957297317</v>
      </c>
      <c r="D89" s="136"/>
      <c r="G89">
        <f>IF(A89&gt;=$H$10,Carbon!$F$33*'Summary of area'!$E$31*B89,0)</f>
        <v>0</v>
      </c>
      <c r="H89">
        <f>IF(A89=$H$10,SUM('Water levels-Residential'!$D$53:$M$54)*'Summary of area'!$E$32*B89,0)</f>
        <v>0</v>
      </c>
      <c r="I89">
        <f>IF(A89&gt;=$H$10,SUM('Water levels-Residential'!$D$55:$M$62)*'Summary of area'!$E$32*B89,0)</f>
        <v>0</v>
      </c>
      <c r="J89">
        <f>IF(A89=$H$10,SUM('Water levels-Business'!$D$87:$M$88)*'Summary of area'!$E$33*B89,0)</f>
        <v>0</v>
      </c>
      <c r="K89">
        <f>IF(A89&gt;=$H$10,SUM('Water levels-Business'!$D$89:$M$96)*'Summary of area'!$E$33*B89,0)</f>
        <v>0</v>
      </c>
      <c r="L89">
        <f>IF(A89=$H$10,SUM('Water levels-Social Infra'!$D$169:$M$170)*'Summary of area'!$E$34*B89,0)</f>
        <v>0</v>
      </c>
      <c r="M89">
        <f>IF(A89&gt;=$H$10,SUM('Water levels-Social Infra'!$D$171:$M$178)*'Summary of area'!$E$34*B89,0)</f>
        <v>0</v>
      </c>
      <c r="N89">
        <f>IF(A89=$H$10,SUM('Water levels-Emergency'!$D$152:$M$153)*'Summary of area'!$E$35*B89,0)</f>
        <v>0</v>
      </c>
      <c r="O89">
        <f>IF(A89&gt;=$H$10,SUM('Water levels-Emergency'!$D$154:$M$161)*'Summary of area'!$E$35*B89,0)</f>
        <v>0</v>
      </c>
      <c r="P89">
        <f>IF(A89=$H$10,SUM('Water levels-Utilities'!$D$189:$M$190)*'Summary of area'!$E$36*B89,0)</f>
        <v>0</v>
      </c>
      <c r="Q89">
        <f>IF(A89&gt;=$H$10,SUM('Water levels-Utilities'!$D$191:$M$198)*'Summary of area'!$E$36*B89,0)</f>
        <v>0</v>
      </c>
      <c r="R89">
        <f>IF(A89=$H$10,SUM('Water levels-Transport (road)'!$D$160:$M$161)*'Summary of area'!$E$37*B89,0)</f>
        <v>0</v>
      </c>
      <c r="S89">
        <f>IF(A89&gt;=$H$10,SUM('Water levels-Transport (road)'!$D$162:$M$169)*'Summary of area'!$E$37*B89+SUM('Water levels-Transport (road)'!$D$215:$M$222)*'Summary of area'!$E$37*B89,0)</f>
        <v>0</v>
      </c>
      <c r="T89">
        <f>IF(A89=$H$10,SUM('Water levels-Transport (rail)'!$D$137:$M$138)*'Summary of area'!$E$38*Sheet1!B89,0)</f>
        <v>0</v>
      </c>
      <c r="U89">
        <f>IF(A89&gt;=$H$10,SUM('Water levels-Transport (rail)'!$D$139:$M$146)*'Summary of area'!$E$38*B89+SUM('Water levels-Transport (rail)'!$D$165:$M$172)*'Summary of area'!$E$38*B89,0)</f>
        <v>0</v>
      </c>
      <c r="V89">
        <f>IF(A89=$H$10,SUM('Food production'!$D$256:$M$257)*'Summary of area'!$E$39*Sheet1!B89,0)</f>
        <v>0</v>
      </c>
      <c r="W89">
        <f>IF(A89&gt;=$H$10,SUM('Food production'!$D$258:$M$265)*'Summary of area'!$E$39*Sheet1!B89,0)</f>
        <v>0</v>
      </c>
      <c r="X89">
        <f>IF(A89=$H$10,SUM('Energy (direct)'!$D$85:$M$86)*'Summary of area'!$E$40*B89,0)</f>
        <v>0</v>
      </c>
      <c r="Y89">
        <f>IF(A89&gt;=$H$10,SUM('Energy (direct)'!$D$87:$M$94)*'Summary of area'!$E$40*Sheet1!B89,0)</f>
        <v>0</v>
      </c>
      <c r="Z89">
        <f>IF(A89=$H$10,SUM('Energy (indirect)'!$D$158:$M$159)*'Summary of area'!$E$41*Sheet1!B89,0)</f>
        <v>0</v>
      </c>
      <c r="AA89">
        <f>IF(A89&gt;=$H$10,SUM('Energy (indirect)'!$D$160:$M$167)*'Summary of area'!$E$41*B89,0)</f>
        <v>0</v>
      </c>
      <c r="AB89">
        <f>IF(A89=$H$10,SUM('Designated biodiversity sites'!$D$123:$M$124)*'Summary of area'!$E$42*Sheet1!B89+'Biodiversity - non-designated'!O153*'Summary of area'!$E$43*Sheet1!B89,0)</f>
        <v>0</v>
      </c>
      <c r="AC89">
        <f>IF(A89&gt;=$H$10,SUM('Designated biodiversity sites'!$D$125:$M$132)*'Summary of area'!$E$42*Sheet1!B89+'Biodiversity - non-designated'!O153*'Summary of area'!$E$43*Sheet1!B89,0)</f>
        <v>0</v>
      </c>
      <c r="AD89">
        <f>IF(A89=$H$10,SUM('Water supply'!$D$144:$M$145)*'Summary of area'!$E$44*Sheet1!B89,0)</f>
        <v>0</v>
      </c>
      <c r="AE89">
        <f>IF(A89&gt;=$H$10,SUM('Water supply'!$D$146:$M$153)*'Summary of area'!$E$44*B89,0)</f>
        <v>0</v>
      </c>
      <c r="AF89">
        <f>IF(A89=$H$10,SUM(Heritage!$D$221:$M$222)*'Summary of area'!$E$46*B89,0)</f>
        <v>0</v>
      </c>
      <c r="AG89">
        <f>IF(A89&gt;=$H$10,SUM(Heritage!$D$223:$M$230)*'Summary of area'!$E$46*Sheet1!B89,0)</f>
        <v>0</v>
      </c>
      <c r="AH89">
        <f>IF(A89=$H$10,SUM('Recreation and tourism'!$D$109:$M$110)*'Summary of area'!$E$45*Sheet1!B89,0)</f>
        <v>0</v>
      </c>
      <c r="AI89">
        <f>IF(A89&gt;=$H$10,SUM('Recreation and tourism'!$D$111:$M$118)*'Summary of area'!$E$45*Sheet1!B89,0)</f>
        <v>0</v>
      </c>
    </row>
    <row r="90" spans="1:35" ht="15.75" thickBot="1">
      <c r="A90" s="134">
        <f t="shared" si="4"/>
        <v>75</v>
      </c>
      <c r="B90" s="108">
        <f t="shared" si="3"/>
        <v>0.09421377257669163</v>
      </c>
      <c r="C90" s="137">
        <f>SUM($B$15:B90)</f>
        <v>28.12753334554986</v>
      </c>
      <c r="D90" s="136"/>
      <c r="G90">
        <f>IF(A90&gt;=$H$10,Carbon!$F$33*'Summary of area'!$E$31*B90,0)</f>
        <v>0</v>
      </c>
      <c r="H90">
        <f>IF(A90=$H$10,SUM('Water levels-Residential'!$D$53:$M$54)*'Summary of area'!$E$32*B90,0)</f>
        <v>0</v>
      </c>
      <c r="I90">
        <f>IF(A90&gt;=$H$10,SUM('Water levels-Residential'!$D$55:$M$62)*'Summary of area'!$E$32*B90,0)</f>
        <v>0</v>
      </c>
      <c r="J90">
        <f>IF(A90=$H$10,SUM('Water levels-Business'!$D$87:$M$88)*'Summary of area'!$E$33*B90,0)</f>
        <v>0</v>
      </c>
      <c r="K90">
        <f>IF(A90&gt;=$H$10,SUM('Water levels-Business'!$D$89:$M$96)*'Summary of area'!$E$33*B90,0)</f>
        <v>0</v>
      </c>
      <c r="L90">
        <f>IF(A90=$H$10,SUM('Water levels-Social Infra'!$D$169:$M$170)*'Summary of area'!$E$34*B90,0)</f>
        <v>0</v>
      </c>
      <c r="M90">
        <f>IF(A90&gt;=$H$10,SUM('Water levels-Social Infra'!$D$171:$M$178)*'Summary of area'!$E$34*B90,0)</f>
        <v>0</v>
      </c>
      <c r="N90">
        <f>IF(A90=$H$10,SUM('Water levels-Emergency'!$D$152:$M$153)*'Summary of area'!$E$35*B90,0)</f>
        <v>0</v>
      </c>
      <c r="O90">
        <f>IF(A90&gt;=$H$10,SUM('Water levels-Emergency'!$D$154:$M$161)*'Summary of area'!$E$35*B90,0)</f>
        <v>0</v>
      </c>
      <c r="P90">
        <f>IF(A90=$H$10,SUM('Water levels-Utilities'!$D$189:$M$190)*'Summary of area'!$E$36*B90,0)</f>
        <v>0</v>
      </c>
      <c r="Q90">
        <f>IF(A90&gt;=$H$10,SUM('Water levels-Utilities'!$D$191:$M$198)*'Summary of area'!$E$36*B90,0)</f>
        <v>0</v>
      </c>
      <c r="R90">
        <f>IF(A90=$H$10,SUM('Water levels-Transport (road)'!$D$160:$M$161)*'Summary of area'!$E$37*B90,0)</f>
        <v>0</v>
      </c>
      <c r="S90">
        <f>IF(A90&gt;=$H$10,SUM('Water levels-Transport (road)'!$D$162:$M$169)*'Summary of area'!$E$37*B90+SUM('Water levels-Transport (road)'!$D$215:$M$222)*'Summary of area'!$E$37*B90,0)</f>
        <v>0</v>
      </c>
      <c r="T90">
        <f>IF(A90=$H$10,SUM('Water levels-Transport (rail)'!$D$137:$M$138)*'Summary of area'!$E$38*Sheet1!B90,0)</f>
        <v>0</v>
      </c>
      <c r="U90">
        <f>IF(A90&gt;=$H$10,SUM('Water levels-Transport (rail)'!$D$139:$M$146)*'Summary of area'!$E$38*B90+SUM('Water levels-Transport (rail)'!$D$165:$M$172)*'Summary of area'!$E$38*B90,0)</f>
        <v>0</v>
      </c>
      <c r="V90">
        <f>IF(A90=$H$10,SUM('Food production'!$D$256:$M$257)*'Summary of area'!$E$39*Sheet1!B90,0)</f>
        <v>0</v>
      </c>
      <c r="W90">
        <f>IF(A90&gt;=$H$10,SUM('Food production'!$D$258:$M$265)*'Summary of area'!$E$39*Sheet1!B90,0)</f>
        <v>0</v>
      </c>
      <c r="X90">
        <f>IF(A90=$H$10,SUM('Energy (direct)'!$D$85:$M$86)*'Summary of area'!$E$40*B90,0)</f>
        <v>0</v>
      </c>
      <c r="Y90">
        <f>IF(A90&gt;=$H$10,SUM('Energy (direct)'!$D$87:$M$94)*'Summary of area'!$E$40*Sheet1!B90,0)</f>
        <v>0</v>
      </c>
      <c r="Z90">
        <f>IF(A90=$H$10,SUM('Energy (indirect)'!$D$158:$M$159)*'Summary of area'!$E$41*Sheet1!B90,0)</f>
        <v>0</v>
      </c>
      <c r="AA90">
        <f>IF(A90&gt;=$H$10,SUM('Energy (indirect)'!$D$160:$M$167)*'Summary of area'!$E$41*B90,0)</f>
        <v>0</v>
      </c>
      <c r="AB90">
        <f>IF(A90=$H$10,SUM('Designated biodiversity sites'!$D$123:$M$124)*'Summary of area'!$E$42*Sheet1!B90+'Biodiversity - non-designated'!O154*'Summary of area'!$E$43*Sheet1!B90,0)</f>
        <v>0</v>
      </c>
      <c r="AC90">
        <f>IF(A90&gt;=$H$10,SUM('Designated biodiversity sites'!$D$125:$M$132)*'Summary of area'!$E$42*Sheet1!B90+'Biodiversity - non-designated'!O154*'Summary of area'!$E$43*Sheet1!B90,0)</f>
        <v>0</v>
      </c>
      <c r="AD90">
        <f>IF(A90=$H$10,SUM('Water supply'!$D$144:$M$145)*'Summary of area'!$E$44*Sheet1!B90,0)</f>
        <v>0</v>
      </c>
      <c r="AE90">
        <f>IF(A90&gt;=$H$10,SUM('Water supply'!$D$146:$M$153)*'Summary of area'!$E$44*B90,0)</f>
        <v>0</v>
      </c>
      <c r="AF90">
        <f>IF(A90=$H$10,SUM(Heritage!$D$221:$M$222)*'Summary of area'!$E$46*B90,0)</f>
        <v>0</v>
      </c>
      <c r="AG90">
        <f>IF(A90&gt;=$H$10,SUM(Heritage!$D$223:$M$230)*'Summary of area'!$E$46*Sheet1!B90,0)</f>
        <v>0</v>
      </c>
      <c r="AH90">
        <f>IF(A90=$H$10,SUM('Recreation and tourism'!$D$109:$M$110)*'Summary of area'!$E$45*Sheet1!B90,0)</f>
        <v>0</v>
      </c>
      <c r="AI90">
        <f>IF(A90&gt;=$H$10,SUM('Recreation and tourism'!$D$111:$M$118)*'Summary of area'!$E$45*Sheet1!B90,0)</f>
        <v>0</v>
      </c>
    </row>
    <row r="91" spans="1:35" ht="15.75" thickBot="1">
      <c r="A91" s="134">
        <f t="shared" si="4"/>
        <v>76</v>
      </c>
      <c r="B91" s="108">
        <f>B90/(1+$D$9-1%)</f>
        <v>0.09191587568457721</v>
      </c>
      <c r="C91" s="137">
        <f>SUM($B$15:B91)</f>
        <v>28.219449221234438</v>
      </c>
      <c r="D91" s="136"/>
      <c r="G91">
        <f>IF(A91&gt;=$H$10,Carbon!$F$33*'Summary of area'!$E$31*B91,0)</f>
        <v>0</v>
      </c>
      <c r="H91">
        <f>IF(A91=$H$10,SUM('Water levels-Residential'!$D$53:$M$54)*'Summary of area'!$E$32*B91,0)</f>
        <v>0</v>
      </c>
      <c r="I91">
        <f>IF(A91&gt;=$H$10,SUM('Water levels-Residential'!$D$55:$M$62)*'Summary of area'!$E$32*B91,0)</f>
        <v>0</v>
      </c>
      <c r="J91">
        <f>IF(A91=$H$10,SUM('Water levels-Business'!$D$87:$M$88)*'Summary of area'!$E$33*B91,0)</f>
        <v>0</v>
      </c>
      <c r="K91">
        <f>IF(A91&gt;=$H$10,SUM('Water levels-Business'!$D$89:$M$96)*'Summary of area'!$E$33*B91,0)</f>
        <v>0</v>
      </c>
      <c r="L91">
        <f>IF(A91=$H$10,SUM('Water levels-Social Infra'!$D$169:$M$170)*'Summary of area'!$E$34*B91,0)</f>
        <v>0</v>
      </c>
      <c r="M91">
        <f>IF(A91&gt;=$H$10,SUM('Water levels-Social Infra'!$D$171:$M$178)*'Summary of area'!$E$34*B91,0)</f>
        <v>0</v>
      </c>
      <c r="N91">
        <f>IF(A91=$H$10,SUM('Water levels-Emergency'!$D$152:$M$153)*'Summary of area'!$E$35*B91,0)</f>
        <v>0</v>
      </c>
      <c r="O91">
        <f>IF(A91&gt;=$H$10,SUM('Water levels-Emergency'!$D$154:$M$161)*'Summary of area'!$E$35*B91,0)</f>
        <v>0</v>
      </c>
      <c r="P91">
        <f>IF(A91=$H$10,SUM('Water levels-Utilities'!$D$189:$M$190)*'Summary of area'!$E$36*B91,0)</f>
        <v>0</v>
      </c>
      <c r="Q91">
        <f>IF(A91&gt;=$H$10,SUM('Water levels-Utilities'!$D$191:$M$198)*'Summary of area'!$E$36*B91,0)</f>
        <v>0</v>
      </c>
      <c r="R91">
        <f>IF(A91=$H$10,SUM('Water levels-Transport (road)'!$D$160:$M$161)*'Summary of area'!$E$37*B91,0)</f>
        <v>0</v>
      </c>
      <c r="S91">
        <f>IF(A91&gt;=$H$10,SUM('Water levels-Transport (road)'!$D$162:$M$169)*'Summary of area'!$E$37*B91+SUM('Water levels-Transport (road)'!$D$215:$M$222)*'Summary of area'!$E$37*B91,0)</f>
        <v>0</v>
      </c>
      <c r="T91">
        <f>IF(A91=$H$10,SUM('Water levels-Transport (rail)'!$D$137:$M$138)*'Summary of area'!$E$38*Sheet1!B91,0)</f>
        <v>0</v>
      </c>
      <c r="U91">
        <f>IF(A91&gt;=$H$10,SUM('Water levels-Transport (rail)'!$D$139:$M$146)*'Summary of area'!$E$38*B91+SUM('Water levels-Transport (rail)'!$D$165:$M$172)*'Summary of area'!$E$38*B91,0)</f>
        <v>0</v>
      </c>
      <c r="V91">
        <f>IF(A91=$H$10,SUM('Food production'!$D$256:$M$257)*'Summary of area'!$E$39*Sheet1!B91,0)</f>
        <v>0</v>
      </c>
      <c r="W91">
        <f>IF(A91&gt;=$H$10,SUM('Food production'!$D$258:$M$265)*'Summary of area'!$E$39*Sheet1!B91,0)</f>
        <v>0</v>
      </c>
      <c r="X91">
        <f>IF(A91=$H$10,SUM('Energy (direct)'!$D$85:$M$86)*'Summary of area'!$E$40*B91,0)</f>
        <v>0</v>
      </c>
      <c r="Y91">
        <f>IF(A91&gt;=$H$10,SUM('Energy (direct)'!$D$87:$M$94)*'Summary of area'!$E$40*Sheet1!B91,0)</f>
        <v>0</v>
      </c>
      <c r="Z91">
        <f>IF(A91=$H$10,SUM('Energy (indirect)'!$D$158:$M$159)*'Summary of area'!$E$41*Sheet1!B91,0)</f>
        <v>0</v>
      </c>
      <c r="AA91">
        <f>IF(A91&gt;=$H$10,SUM('Energy (indirect)'!$D$160:$M$167)*'Summary of area'!$E$41*B91,0)</f>
        <v>0</v>
      </c>
      <c r="AB91">
        <f>IF(A91=$H$10,SUM('Designated biodiversity sites'!$D$123:$M$124)*'Summary of area'!$E$42*Sheet1!B91+'Biodiversity - non-designated'!O155*'Summary of area'!$E$43*Sheet1!B91,0)</f>
        <v>0</v>
      </c>
      <c r="AC91">
        <f>IF(A91&gt;=$H$10,SUM('Designated biodiversity sites'!$D$125:$M$132)*'Summary of area'!$E$42*Sheet1!B91+'Biodiversity - non-designated'!O155*'Summary of area'!$E$43*Sheet1!B91,0)</f>
        <v>0</v>
      </c>
      <c r="AD91">
        <f>IF(A91=$H$10,SUM('Water supply'!$D$144:$M$145)*'Summary of area'!$E$44*Sheet1!B91,0)</f>
        <v>0</v>
      </c>
      <c r="AE91">
        <f>IF(A91&gt;=$H$10,SUM('Water supply'!$D$146:$M$153)*'Summary of area'!$E$44*B91,0)</f>
        <v>0</v>
      </c>
      <c r="AF91">
        <f>IF(A91=$H$10,SUM(Heritage!$D$221:$M$222)*'Summary of area'!$E$46*B91,0)</f>
        <v>0</v>
      </c>
      <c r="AG91">
        <f>IF(A91&gt;=$H$10,SUM(Heritage!$D$223:$M$230)*'Summary of area'!$E$46*Sheet1!B91,0)</f>
        <v>0</v>
      </c>
      <c r="AH91">
        <f>IF(A91=$H$10,SUM('Recreation and tourism'!$D$109:$M$110)*'Summary of area'!$E$45*Sheet1!B91,0)</f>
        <v>0</v>
      </c>
      <c r="AI91">
        <f>IF(A91&gt;=$H$10,SUM('Recreation and tourism'!$D$111:$M$118)*'Summary of area'!$E$45*Sheet1!B91,0)</f>
        <v>0</v>
      </c>
    </row>
    <row r="92" spans="1:35" ht="15.75" thickBot="1">
      <c r="A92" s="134">
        <f t="shared" si="4"/>
        <v>77</v>
      </c>
      <c r="B92" s="108">
        <f aca="true" t="shared" si="5" ref="B92:B114">B91/(1+$D$9-1%)</f>
        <v>0.08967402505812411</v>
      </c>
      <c r="C92" s="137">
        <f>SUM($B$15:B92)</f>
        <v>28.30912324629256</v>
      </c>
      <c r="D92" s="136"/>
      <c r="G92">
        <f>IF(A92&gt;=$H$10,Carbon!$F$33*'Summary of area'!$E$31*B92,0)</f>
        <v>0</v>
      </c>
      <c r="H92">
        <f>IF(A92=$H$10,SUM('Water levels-Residential'!$D$53:$M$54)*'Summary of area'!$E$32*B92,0)</f>
        <v>0</v>
      </c>
      <c r="I92">
        <f>IF(A92&gt;=$H$10,SUM('Water levels-Residential'!$D$55:$M$62)*'Summary of area'!$E$32*B92,0)</f>
        <v>0</v>
      </c>
      <c r="J92">
        <f>IF(A92=$H$10,SUM('Water levels-Business'!$D$87:$M$88)*'Summary of area'!$E$33*B92,0)</f>
        <v>0</v>
      </c>
      <c r="K92">
        <f>IF(A92&gt;=$H$10,SUM('Water levels-Business'!$D$89:$M$96)*'Summary of area'!$E$33*B92,0)</f>
        <v>0</v>
      </c>
      <c r="L92">
        <f>IF(A92=$H$10,SUM('Water levels-Social Infra'!$D$169:$M$170)*'Summary of area'!$E$34*B92,0)</f>
        <v>0</v>
      </c>
      <c r="M92">
        <f>IF(A92&gt;=$H$10,SUM('Water levels-Social Infra'!$D$171:$M$178)*'Summary of area'!$E$34*B92,0)</f>
        <v>0</v>
      </c>
      <c r="N92">
        <f>IF(A92=$H$10,SUM('Water levels-Emergency'!$D$152:$M$153)*'Summary of area'!$E$35*B92,0)</f>
        <v>0</v>
      </c>
      <c r="O92">
        <f>IF(A92&gt;=$H$10,SUM('Water levels-Emergency'!$D$154:$M$161)*'Summary of area'!$E$35*B92,0)</f>
        <v>0</v>
      </c>
      <c r="P92">
        <f>IF(A92=$H$10,SUM('Water levels-Utilities'!$D$189:$M$190)*'Summary of area'!$E$36*B92,0)</f>
        <v>0</v>
      </c>
      <c r="Q92">
        <f>IF(A92&gt;=$H$10,SUM('Water levels-Utilities'!$D$191:$M$198)*'Summary of area'!$E$36*B92,0)</f>
        <v>0</v>
      </c>
      <c r="R92">
        <f>IF(A92=$H$10,SUM('Water levels-Transport (road)'!$D$160:$M$161)*'Summary of area'!$E$37*B92,0)</f>
        <v>0</v>
      </c>
      <c r="S92">
        <f>IF(A92&gt;=$H$10,SUM('Water levels-Transport (road)'!$D$162:$M$169)*'Summary of area'!$E$37*B92+SUM('Water levels-Transport (road)'!$D$215:$M$222)*'Summary of area'!$E$37*B92,0)</f>
        <v>0</v>
      </c>
      <c r="T92">
        <f>IF(A92=$H$10,SUM('Water levels-Transport (rail)'!$D$137:$M$138)*'Summary of area'!$E$38*Sheet1!B92,0)</f>
        <v>0</v>
      </c>
      <c r="U92">
        <f>IF(A92&gt;=$H$10,SUM('Water levels-Transport (rail)'!$D$139:$M$146)*'Summary of area'!$E$38*B92+SUM('Water levels-Transport (rail)'!$D$165:$M$172)*'Summary of area'!$E$38*B92,0)</f>
        <v>0</v>
      </c>
      <c r="V92">
        <f>IF(A92=$H$10,SUM('Food production'!$D$256:$M$257)*'Summary of area'!$E$39*Sheet1!B92,0)</f>
        <v>0</v>
      </c>
      <c r="W92">
        <f>IF(A92&gt;=$H$10,SUM('Food production'!$D$258:$M$265)*'Summary of area'!$E$39*Sheet1!B92,0)</f>
        <v>0</v>
      </c>
      <c r="X92">
        <f>IF(A92=$H$10,SUM('Energy (direct)'!$D$85:$M$86)*'Summary of area'!$E$40*B92,0)</f>
        <v>0</v>
      </c>
      <c r="Y92">
        <f>IF(A92&gt;=$H$10,SUM('Energy (direct)'!$D$87:$M$94)*'Summary of area'!$E$40*Sheet1!B92,0)</f>
        <v>0</v>
      </c>
      <c r="Z92">
        <f>IF(A92=$H$10,SUM('Energy (indirect)'!$D$158:$M$159)*'Summary of area'!$E$41*Sheet1!B92,0)</f>
        <v>0</v>
      </c>
      <c r="AA92">
        <f>IF(A92&gt;=$H$10,SUM('Energy (indirect)'!$D$160:$M$167)*'Summary of area'!$E$41*B92,0)</f>
        <v>0</v>
      </c>
      <c r="AB92">
        <f>IF(A92=$H$10,SUM('Designated biodiversity sites'!$D$123:$M$124)*'Summary of area'!$E$42*Sheet1!B92+'Biodiversity - non-designated'!O156*'Summary of area'!$E$43*Sheet1!B92,0)</f>
        <v>0</v>
      </c>
      <c r="AC92">
        <f>IF(A92&gt;=$H$10,SUM('Designated biodiversity sites'!$D$125:$M$132)*'Summary of area'!$E$42*Sheet1!B92+'Biodiversity - non-designated'!O156*'Summary of area'!$E$43*Sheet1!B92,0)</f>
        <v>0</v>
      </c>
      <c r="AD92">
        <f>IF(A92=$H$10,SUM('Water supply'!$D$144:$M$145)*'Summary of area'!$E$44*Sheet1!B92,0)</f>
        <v>0</v>
      </c>
      <c r="AE92">
        <f>IF(A92&gt;=$H$10,SUM('Water supply'!$D$146:$M$153)*'Summary of area'!$E$44*B92,0)</f>
        <v>0</v>
      </c>
      <c r="AF92">
        <f>IF(A92=$H$10,SUM(Heritage!$D$221:$M$222)*'Summary of area'!$E$46*B92,0)</f>
        <v>0</v>
      </c>
      <c r="AG92">
        <f>IF(A92&gt;=$H$10,SUM(Heritage!$D$223:$M$230)*'Summary of area'!$E$46*Sheet1!B92,0)</f>
        <v>0</v>
      </c>
      <c r="AH92">
        <f>IF(A92=$H$10,SUM('Recreation and tourism'!$D$109:$M$110)*'Summary of area'!$E$45*Sheet1!B92,0)</f>
        <v>0</v>
      </c>
      <c r="AI92">
        <f>IF(A92&gt;=$H$10,SUM('Recreation and tourism'!$D$111:$M$118)*'Summary of area'!$E$45*Sheet1!B92,0)</f>
        <v>0</v>
      </c>
    </row>
    <row r="93" spans="1:35" ht="15.75" thickBot="1">
      <c r="A93" s="134">
        <f t="shared" si="4"/>
        <v>78</v>
      </c>
      <c r="B93" s="108">
        <f t="shared" si="5"/>
        <v>0.08748685371524303</v>
      </c>
      <c r="C93" s="137">
        <f>SUM($B$15:B93)</f>
        <v>28.396610100007805</v>
      </c>
      <c r="D93" s="136"/>
      <c r="G93">
        <f>IF(A93&gt;=$H$10,Carbon!$F$33*'Summary of area'!$E$31*B93,0)</f>
        <v>0</v>
      </c>
      <c r="H93">
        <f>IF(A93=$H$10,SUM('Water levels-Residential'!$D$53:$M$54)*'Summary of area'!$E$32*B93,0)</f>
        <v>0</v>
      </c>
      <c r="I93">
        <f>IF(A93&gt;=$H$10,SUM('Water levels-Residential'!$D$55:$M$62)*'Summary of area'!$E$32*B93,0)</f>
        <v>0</v>
      </c>
      <c r="J93">
        <f>IF(A93=$H$10,SUM('Water levels-Business'!$D$87:$M$88)*'Summary of area'!$E$33*B93,0)</f>
        <v>0</v>
      </c>
      <c r="K93">
        <f>IF(A93&gt;=$H$10,SUM('Water levels-Business'!$D$89:$M$96)*'Summary of area'!$E$33*B93,0)</f>
        <v>0</v>
      </c>
      <c r="L93">
        <f>IF(A93=$H$10,SUM('Water levels-Social Infra'!$D$169:$M$170)*'Summary of area'!$E$34*B93,0)</f>
        <v>0</v>
      </c>
      <c r="M93">
        <f>IF(A93&gt;=$H$10,SUM('Water levels-Social Infra'!$D$171:$M$178)*'Summary of area'!$E$34*B93,0)</f>
        <v>0</v>
      </c>
      <c r="N93">
        <f>IF(A93=$H$10,SUM('Water levels-Emergency'!$D$152:$M$153)*'Summary of area'!$E$35*B93,0)</f>
        <v>0</v>
      </c>
      <c r="O93">
        <f>IF(A93&gt;=$H$10,SUM('Water levels-Emergency'!$D$154:$M$161)*'Summary of area'!$E$35*B93,0)</f>
        <v>0</v>
      </c>
      <c r="P93">
        <f>IF(A93=$H$10,SUM('Water levels-Utilities'!$D$189:$M$190)*'Summary of area'!$E$36*B93,0)</f>
        <v>0</v>
      </c>
      <c r="Q93">
        <f>IF(A93&gt;=$H$10,SUM('Water levels-Utilities'!$D$191:$M$198)*'Summary of area'!$E$36*B93,0)</f>
        <v>0</v>
      </c>
      <c r="R93">
        <f>IF(A93=$H$10,SUM('Water levels-Transport (road)'!$D$160:$M$161)*'Summary of area'!$E$37*B93,0)</f>
        <v>0</v>
      </c>
      <c r="S93">
        <f>IF(A93&gt;=$H$10,SUM('Water levels-Transport (road)'!$D$162:$M$169)*'Summary of area'!$E$37*B93+SUM('Water levels-Transport (road)'!$D$215:$M$222)*'Summary of area'!$E$37*B93,0)</f>
        <v>0</v>
      </c>
      <c r="T93">
        <f>IF(A93=$H$10,SUM('Water levels-Transport (rail)'!$D$137:$M$138)*'Summary of area'!$E$38*Sheet1!B93,0)</f>
        <v>0</v>
      </c>
      <c r="U93">
        <f>IF(A93&gt;=$H$10,SUM('Water levels-Transport (rail)'!$D$139:$M$146)*'Summary of area'!$E$38*B93+SUM('Water levels-Transport (rail)'!$D$165:$M$172)*'Summary of area'!$E$38*B93,0)</f>
        <v>0</v>
      </c>
      <c r="V93">
        <f>IF(A93=$H$10,SUM('Food production'!$D$256:$M$257)*'Summary of area'!$E$39*Sheet1!B93,0)</f>
        <v>0</v>
      </c>
      <c r="W93">
        <f>IF(A93&gt;=$H$10,SUM('Food production'!$D$258:$M$265)*'Summary of area'!$E$39*Sheet1!B93,0)</f>
        <v>0</v>
      </c>
      <c r="X93">
        <f>IF(A93=$H$10,SUM('Energy (direct)'!$D$85:$M$86)*'Summary of area'!$E$40*B93,0)</f>
        <v>0</v>
      </c>
      <c r="Y93">
        <f>IF(A93&gt;=$H$10,SUM('Energy (direct)'!$D$87:$M$94)*'Summary of area'!$E$40*Sheet1!B93,0)</f>
        <v>0</v>
      </c>
      <c r="Z93">
        <f>IF(A93=$H$10,SUM('Energy (indirect)'!$D$158:$M$159)*'Summary of area'!$E$41*Sheet1!B93,0)</f>
        <v>0</v>
      </c>
      <c r="AA93">
        <f>IF(A93&gt;=$H$10,SUM('Energy (indirect)'!$D$160:$M$167)*'Summary of area'!$E$41*B93,0)</f>
        <v>0</v>
      </c>
      <c r="AB93">
        <f>IF(A93=$H$10,SUM('Designated biodiversity sites'!$D$123:$M$124)*'Summary of area'!$E$42*Sheet1!B93+'Biodiversity - non-designated'!O157*'Summary of area'!$E$43*Sheet1!B93,0)</f>
        <v>0</v>
      </c>
      <c r="AC93">
        <f>IF(A93&gt;=$H$10,SUM('Designated biodiversity sites'!$D$125:$M$132)*'Summary of area'!$E$42*Sheet1!B93+'Biodiversity - non-designated'!O157*'Summary of area'!$E$43*Sheet1!B93,0)</f>
        <v>0</v>
      </c>
      <c r="AD93">
        <f>IF(A93=$H$10,SUM('Water supply'!$D$144:$M$145)*'Summary of area'!$E$44*Sheet1!B93,0)</f>
        <v>0</v>
      </c>
      <c r="AE93">
        <f>IF(A93&gt;=$H$10,SUM('Water supply'!$D$146:$M$153)*'Summary of area'!$E$44*B93,0)</f>
        <v>0</v>
      </c>
      <c r="AF93">
        <f>IF(A93=$H$10,SUM(Heritage!$D$221:$M$222)*'Summary of area'!$E$46*B93,0)</f>
        <v>0</v>
      </c>
      <c r="AG93">
        <f>IF(A93&gt;=$H$10,SUM(Heritage!$D$223:$M$230)*'Summary of area'!$E$46*Sheet1!B93,0)</f>
        <v>0</v>
      </c>
      <c r="AH93">
        <f>IF(A93=$H$10,SUM('Recreation and tourism'!$D$109:$M$110)*'Summary of area'!$E$45*Sheet1!B93,0)</f>
        <v>0</v>
      </c>
      <c r="AI93">
        <f>IF(A93&gt;=$H$10,SUM('Recreation and tourism'!$D$111:$M$118)*'Summary of area'!$E$45*Sheet1!B93,0)</f>
        <v>0</v>
      </c>
    </row>
    <row r="94" spans="1:35" ht="15.75" thickBot="1">
      <c r="A94" s="134">
        <f t="shared" si="4"/>
        <v>79</v>
      </c>
      <c r="B94" s="108">
        <f t="shared" si="5"/>
        <v>0.08535302801487125</v>
      </c>
      <c r="C94" s="137">
        <f>SUM($B$15:B94)</f>
        <v>28.481963128022677</v>
      </c>
      <c r="D94" s="136"/>
      <c r="G94">
        <f>IF(A94&gt;=$H$10,Carbon!$F$33*'Summary of area'!$E$31*B94,0)</f>
        <v>0</v>
      </c>
      <c r="H94">
        <f>IF(A94=$H$10,SUM('Water levels-Residential'!$D$53:$M$54)*'Summary of area'!$E$32*B94,0)</f>
        <v>0</v>
      </c>
      <c r="I94">
        <f>IF(A94&gt;=$H$10,SUM('Water levels-Residential'!$D$55:$M$62)*'Summary of area'!$E$32*B94,0)</f>
        <v>0</v>
      </c>
      <c r="J94">
        <f>IF(A94=$H$10,SUM('Water levels-Business'!$D$87:$M$88)*'Summary of area'!$E$33*B94,0)</f>
        <v>0</v>
      </c>
      <c r="K94">
        <f>IF(A94&gt;=$H$10,SUM('Water levels-Business'!$D$89:$M$96)*'Summary of area'!$E$33*B94,0)</f>
        <v>0</v>
      </c>
      <c r="L94">
        <f>IF(A94=$H$10,SUM('Water levels-Social Infra'!$D$169:$M$170)*'Summary of area'!$E$34*B94,0)</f>
        <v>0</v>
      </c>
      <c r="M94">
        <f>IF(A94&gt;=$H$10,SUM('Water levels-Social Infra'!$D$171:$M$178)*'Summary of area'!$E$34*B94,0)</f>
        <v>0</v>
      </c>
      <c r="N94">
        <f>IF(A94=$H$10,SUM('Water levels-Emergency'!$D$152:$M$153)*'Summary of area'!$E$35*B94,0)</f>
        <v>0</v>
      </c>
      <c r="O94">
        <f>IF(A94&gt;=$H$10,SUM('Water levels-Emergency'!$D$154:$M$161)*'Summary of area'!$E$35*B94,0)</f>
        <v>0</v>
      </c>
      <c r="P94">
        <f>IF(A94=$H$10,SUM('Water levels-Utilities'!$D$189:$M$190)*'Summary of area'!$E$36*B94,0)</f>
        <v>0</v>
      </c>
      <c r="Q94">
        <f>IF(A94&gt;=$H$10,SUM('Water levels-Utilities'!$D$191:$M$198)*'Summary of area'!$E$36*B94,0)</f>
        <v>0</v>
      </c>
      <c r="R94">
        <f>IF(A94=$H$10,SUM('Water levels-Transport (road)'!$D$160:$M$161)*'Summary of area'!$E$37*B94,0)</f>
        <v>0</v>
      </c>
      <c r="S94">
        <f>IF(A94&gt;=$H$10,SUM('Water levels-Transport (road)'!$D$162:$M$169)*'Summary of area'!$E$37*B94+SUM('Water levels-Transport (road)'!$D$215:$M$222)*'Summary of area'!$E$37*B94,0)</f>
        <v>0</v>
      </c>
      <c r="T94">
        <f>IF(A94=$H$10,SUM('Water levels-Transport (rail)'!$D$137:$M$138)*'Summary of area'!$E$38*Sheet1!B94,0)</f>
        <v>0</v>
      </c>
      <c r="U94">
        <f>IF(A94&gt;=$H$10,SUM('Water levels-Transport (rail)'!$D$139:$M$146)*'Summary of area'!$E$38*B94+SUM('Water levels-Transport (rail)'!$D$165:$M$172)*'Summary of area'!$E$38*B94,0)</f>
        <v>0</v>
      </c>
      <c r="V94">
        <f>IF(A94=$H$10,SUM('Food production'!$D$256:$M$257)*'Summary of area'!$E$39*Sheet1!B94,0)</f>
        <v>0</v>
      </c>
      <c r="W94">
        <f>IF(A94&gt;=$H$10,SUM('Food production'!$D$258:$M$265)*'Summary of area'!$E$39*Sheet1!B94,0)</f>
        <v>0</v>
      </c>
      <c r="X94">
        <f>IF(A94=$H$10,SUM('Energy (direct)'!$D$85:$M$86)*'Summary of area'!$E$40*B94,0)</f>
        <v>0</v>
      </c>
      <c r="Y94">
        <f>IF(A94&gt;=$H$10,SUM('Energy (direct)'!$D$87:$M$94)*'Summary of area'!$E$40*Sheet1!B94,0)</f>
        <v>0</v>
      </c>
      <c r="Z94">
        <f>IF(A94=$H$10,SUM('Energy (indirect)'!$D$158:$M$159)*'Summary of area'!$E$41*Sheet1!B94,0)</f>
        <v>0</v>
      </c>
      <c r="AA94">
        <f>IF(A94&gt;=$H$10,SUM('Energy (indirect)'!$D$160:$M$167)*'Summary of area'!$E$41*B94,0)</f>
        <v>0</v>
      </c>
      <c r="AB94">
        <f>IF(A94=$H$10,SUM('Designated biodiversity sites'!$D$123:$M$124)*'Summary of area'!$E$42*Sheet1!B94+'Biodiversity - non-designated'!O158*'Summary of area'!$E$43*Sheet1!B94,0)</f>
        <v>0</v>
      </c>
      <c r="AC94">
        <f>IF(A94&gt;=$H$10,SUM('Designated biodiversity sites'!$D$125:$M$132)*'Summary of area'!$E$42*Sheet1!B94+'Biodiversity - non-designated'!O158*'Summary of area'!$E$43*Sheet1!B94,0)</f>
        <v>0</v>
      </c>
      <c r="AD94">
        <f>IF(A94=$H$10,SUM('Water supply'!$D$144:$M$145)*'Summary of area'!$E$44*Sheet1!B94,0)</f>
        <v>0</v>
      </c>
      <c r="AE94">
        <f>IF(A94&gt;=$H$10,SUM('Water supply'!$D$146:$M$153)*'Summary of area'!$E$44*B94,0)</f>
        <v>0</v>
      </c>
      <c r="AF94">
        <f>IF(A94=$H$10,SUM(Heritage!$D$221:$M$222)*'Summary of area'!$E$46*B94,0)</f>
        <v>0</v>
      </c>
      <c r="AG94">
        <f>IF(A94&gt;=$H$10,SUM(Heritage!$D$223:$M$230)*'Summary of area'!$E$46*Sheet1!B94,0)</f>
        <v>0</v>
      </c>
      <c r="AH94">
        <f>IF(A94=$H$10,SUM('Recreation and tourism'!$D$109:$M$110)*'Summary of area'!$E$45*Sheet1!B94,0)</f>
        <v>0</v>
      </c>
      <c r="AI94">
        <f>IF(A94&gt;=$H$10,SUM('Recreation and tourism'!$D$111:$M$118)*'Summary of area'!$E$45*Sheet1!B94,0)</f>
        <v>0</v>
      </c>
    </row>
    <row r="95" spans="1:35" ht="15.75" thickBot="1">
      <c r="A95" s="134">
        <f t="shared" si="4"/>
        <v>80</v>
      </c>
      <c r="B95" s="108">
        <f t="shared" si="5"/>
        <v>0.08327124684377685</v>
      </c>
      <c r="C95" s="137">
        <f>SUM($B$15:B95)</f>
        <v>28.565234374866453</v>
      </c>
      <c r="D95" s="136"/>
      <c r="G95">
        <f>IF(A95&gt;=$H$10,Carbon!$F$33*'Summary of area'!$E$31*B95,0)</f>
        <v>0</v>
      </c>
      <c r="H95">
        <f>IF(A95=$H$10,SUM('Water levels-Residential'!$D$53:$M$54)*'Summary of area'!$E$32*B95,0)</f>
        <v>0</v>
      </c>
      <c r="I95">
        <f>IF(A95&gt;=$H$10,SUM('Water levels-Residential'!$D$55:$M$62)*'Summary of area'!$E$32*B95,0)</f>
        <v>0</v>
      </c>
      <c r="J95">
        <f>IF(A95=$H$10,SUM('Water levels-Business'!$D$87:$M$88)*'Summary of area'!$E$33*B95,0)</f>
        <v>0</v>
      </c>
      <c r="K95">
        <f>IF(A95&gt;=$H$10,SUM('Water levels-Business'!$D$89:$M$96)*'Summary of area'!$E$33*B95,0)</f>
        <v>0</v>
      </c>
      <c r="L95">
        <f>IF(A95=$H$10,SUM('Water levels-Social Infra'!$D$169:$M$170)*'Summary of area'!$E$34*B95,0)</f>
        <v>0</v>
      </c>
      <c r="M95">
        <f>IF(A95&gt;=$H$10,SUM('Water levels-Social Infra'!$D$171:$M$178)*'Summary of area'!$E$34*B95,0)</f>
        <v>0</v>
      </c>
      <c r="N95">
        <f>IF(A95=$H$10,SUM('Water levels-Emergency'!$D$152:$M$153)*'Summary of area'!$E$35*B95,0)</f>
        <v>0</v>
      </c>
      <c r="O95">
        <f>IF(A95&gt;=$H$10,SUM('Water levels-Emergency'!$D$154:$M$161)*'Summary of area'!$E$35*B95,0)</f>
        <v>0</v>
      </c>
      <c r="P95">
        <f>IF(A95=$H$10,SUM('Water levels-Utilities'!$D$189:$M$190)*'Summary of area'!$E$36*B95,0)</f>
        <v>0</v>
      </c>
      <c r="Q95">
        <f>IF(A95&gt;=$H$10,SUM('Water levels-Utilities'!$D$191:$M$198)*'Summary of area'!$E$36*B95,0)</f>
        <v>0</v>
      </c>
      <c r="R95">
        <f>IF(A95=$H$10,SUM('Water levels-Transport (road)'!$D$160:$M$161)*'Summary of area'!$E$37*B95,0)</f>
        <v>0</v>
      </c>
      <c r="S95">
        <f>IF(A95&gt;=$H$10,SUM('Water levels-Transport (road)'!$D$162:$M$169)*'Summary of area'!$E$37*B95+SUM('Water levels-Transport (road)'!$D$215:$M$222)*'Summary of area'!$E$37*B95,0)</f>
        <v>0</v>
      </c>
      <c r="T95">
        <f>IF(A95=$H$10,SUM('Water levels-Transport (rail)'!$D$137:$M$138)*'Summary of area'!$E$38*Sheet1!B95,0)</f>
        <v>0</v>
      </c>
      <c r="U95">
        <f>IF(A95&gt;=$H$10,SUM('Water levels-Transport (rail)'!$D$139:$M$146)*'Summary of area'!$E$38*B95+SUM('Water levels-Transport (rail)'!$D$165:$M$172)*'Summary of area'!$E$38*B95,0)</f>
        <v>0</v>
      </c>
      <c r="V95">
        <f>IF(A95=$H$10,SUM('Food production'!$D$256:$M$257)*'Summary of area'!$E$39*Sheet1!B95,0)</f>
        <v>0</v>
      </c>
      <c r="W95">
        <f>IF(A95&gt;=$H$10,SUM('Food production'!$D$258:$M$265)*'Summary of area'!$E$39*Sheet1!B95,0)</f>
        <v>0</v>
      </c>
      <c r="X95">
        <f>IF(A95=$H$10,SUM('Energy (direct)'!$D$85:$M$86)*'Summary of area'!$E$40*B95,0)</f>
        <v>0</v>
      </c>
      <c r="Y95">
        <f>IF(A95&gt;=$H$10,SUM('Energy (direct)'!$D$87:$M$94)*'Summary of area'!$E$40*Sheet1!B95,0)</f>
        <v>0</v>
      </c>
      <c r="Z95">
        <f>IF(A95=$H$10,SUM('Energy (indirect)'!$D$158:$M$159)*'Summary of area'!$E$41*Sheet1!B95,0)</f>
        <v>0</v>
      </c>
      <c r="AA95">
        <f>IF(A95&gt;=$H$10,SUM('Energy (indirect)'!$D$160:$M$167)*'Summary of area'!$E$41*B95,0)</f>
        <v>0</v>
      </c>
      <c r="AB95">
        <f>IF(A95=$H$10,SUM('Designated biodiversity sites'!$D$123:$M$124)*'Summary of area'!$E$42*Sheet1!B95+'Biodiversity - non-designated'!O159*'Summary of area'!$E$43*Sheet1!B95,0)</f>
        <v>0</v>
      </c>
      <c r="AC95">
        <f>IF(A95&gt;=$H$10,SUM('Designated biodiversity sites'!$D$125:$M$132)*'Summary of area'!$E$42*Sheet1!B95+'Biodiversity - non-designated'!O159*'Summary of area'!$E$43*Sheet1!B95,0)</f>
        <v>0</v>
      </c>
      <c r="AD95">
        <f>IF(A95=$H$10,SUM('Water supply'!$D$144:$M$145)*'Summary of area'!$E$44*Sheet1!B95,0)</f>
        <v>0</v>
      </c>
      <c r="AE95">
        <f>IF(A95&gt;=$H$10,SUM('Water supply'!$D$146:$M$153)*'Summary of area'!$E$44*B95,0)</f>
        <v>0</v>
      </c>
      <c r="AF95">
        <f>IF(A95=$H$10,SUM(Heritage!$D$221:$M$222)*'Summary of area'!$E$46*B95,0)</f>
        <v>0</v>
      </c>
      <c r="AG95">
        <f>IF(A95&gt;=$H$10,SUM(Heritage!$D$223:$M$230)*'Summary of area'!$E$46*Sheet1!B95,0)</f>
        <v>0</v>
      </c>
      <c r="AH95">
        <f>IF(A95=$H$10,SUM('Recreation and tourism'!$D$109:$M$110)*'Summary of area'!$E$45*Sheet1!B95,0)</f>
        <v>0</v>
      </c>
      <c r="AI95">
        <f>IF(A95&gt;=$H$10,SUM('Recreation and tourism'!$D$111:$M$118)*'Summary of area'!$E$45*Sheet1!B95,0)</f>
        <v>0</v>
      </c>
    </row>
    <row r="96" spans="1:35" ht="15.75" thickBot="1">
      <c r="A96" s="134">
        <f t="shared" si="4"/>
        <v>81</v>
      </c>
      <c r="B96" s="108">
        <f t="shared" si="5"/>
        <v>0.08124024082319693</v>
      </c>
      <c r="C96" s="137">
        <f>SUM($B$15:B96)</f>
        <v>28.646474615689648</v>
      </c>
      <c r="D96" s="136"/>
      <c r="G96">
        <f>IF(A96&gt;=$H$10,Carbon!$F$33*'Summary of area'!$E$31*B96,0)</f>
        <v>0</v>
      </c>
      <c r="H96">
        <f>IF(A96=$H$10,SUM('Water levels-Residential'!$D$53:$M$54)*'Summary of area'!$E$32*B96,0)</f>
        <v>0</v>
      </c>
      <c r="I96">
        <f>IF(A96&gt;=$H$10,SUM('Water levels-Residential'!$D$55:$M$62)*'Summary of area'!$E$32*B96,0)</f>
        <v>0</v>
      </c>
      <c r="J96">
        <f>IF(A96=$H$10,SUM('Water levels-Business'!$D$87:$M$88)*'Summary of area'!$E$33*B96,0)</f>
        <v>0</v>
      </c>
      <c r="K96">
        <f>IF(A96&gt;=$H$10,SUM('Water levels-Business'!$D$89:$M$96)*'Summary of area'!$E$33*B96,0)</f>
        <v>0</v>
      </c>
      <c r="L96">
        <f>IF(A96=$H$10,SUM('Water levels-Social Infra'!$D$169:$M$170)*'Summary of area'!$E$34*B96,0)</f>
        <v>0</v>
      </c>
      <c r="M96">
        <f>IF(A96&gt;=$H$10,SUM('Water levels-Social Infra'!$D$171:$M$178)*'Summary of area'!$E$34*B96,0)</f>
        <v>0</v>
      </c>
      <c r="N96">
        <f>IF(A96=$H$10,SUM('Water levels-Emergency'!$D$152:$M$153)*'Summary of area'!$E$35*B96,0)</f>
        <v>0</v>
      </c>
      <c r="O96">
        <f>IF(A96&gt;=$H$10,SUM('Water levels-Emergency'!$D$154:$M$161)*'Summary of area'!$E$35*B96,0)</f>
        <v>0</v>
      </c>
      <c r="P96">
        <f>IF(A96=$H$10,SUM('Water levels-Utilities'!$D$189:$M$190)*'Summary of area'!$E$36*B96,0)</f>
        <v>0</v>
      </c>
      <c r="Q96">
        <f>IF(A96&gt;=$H$10,SUM('Water levels-Utilities'!$D$191:$M$198)*'Summary of area'!$E$36*B96,0)</f>
        <v>0</v>
      </c>
      <c r="R96">
        <f>IF(A96=$H$10,SUM('Water levels-Transport (road)'!$D$160:$M$161)*'Summary of area'!$E$37*B96,0)</f>
        <v>0</v>
      </c>
      <c r="S96">
        <f>IF(A96&gt;=$H$10,SUM('Water levels-Transport (road)'!$D$162:$M$169)*'Summary of area'!$E$37*B96+SUM('Water levels-Transport (road)'!$D$215:$M$222)*'Summary of area'!$E$37*B96,0)</f>
        <v>0</v>
      </c>
      <c r="T96">
        <f>IF(A96=$H$10,SUM('Water levels-Transport (rail)'!$D$137:$M$138)*'Summary of area'!$E$38*Sheet1!B96,0)</f>
        <v>0</v>
      </c>
      <c r="U96">
        <f>IF(A96&gt;=$H$10,SUM('Water levels-Transport (rail)'!$D$139:$M$146)*'Summary of area'!$E$38*B96+SUM('Water levels-Transport (rail)'!$D$165:$M$172)*'Summary of area'!$E$38*B96,0)</f>
        <v>0</v>
      </c>
      <c r="V96">
        <f>IF(A96=$H$10,SUM('Food production'!$D$256:$M$257)*'Summary of area'!$E$39*Sheet1!B96,0)</f>
        <v>0</v>
      </c>
      <c r="W96">
        <f>IF(A96&gt;=$H$10,SUM('Food production'!$D$258:$M$265)*'Summary of area'!$E$39*Sheet1!B96,0)</f>
        <v>0</v>
      </c>
      <c r="X96">
        <f>IF(A96=$H$10,SUM('Energy (direct)'!$D$85:$M$86)*'Summary of area'!$E$40*B96,0)</f>
        <v>0</v>
      </c>
      <c r="Y96">
        <f>IF(A96&gt;=$H$10,SUM('Energy (direct)'!$D$87:$M$94)*'Summary of area'!$E$40*Sheet1!B96,0)</f>
        <v>0</v>
      </c>
      <c r="Z96">
        <f>IF(A96=$H$10,SUM('Energy (indirect)'!$D$158:$M$159)*'Summary of area'!$E$41*Sheet1!B96,0)</f>
        <v>0</v>
      </c>
      <c r="AA96">
        <f>IF(A96&gt;=$H$10,SUM('Energy (indirect)'!$D$160:$M$167)*'Summary of area'!$E$41*B96,0)</f>
        <v>0</v>
      </c>
      <c r="AB96">
        <f>IF(A96=$H$10,SUM('Designated biodiversity sites'!$D$123:$M$124)*'Summary of area'!$E$42*Sheet1!B96+'Biodiversity - non-designated'!O160*'Summary of area'!$E$43*Sheet1!B96,0)</f>
        <v>0</v>
      </c>
      <c r="AC96">
        <f>IF(A96&gt;=$H$10,SUM('Designated biodiversity sites'!$D$125:$M$132)*'Summary of area'!$E$42*Sheet1!B96+'Biodiversity - non-designated'!O160*'Summary of area'!$E$43*Sheet1!B96,0)</f>
        <v>0</v>
      </c>
      <c r="AD96">
        <f>IF(A96=$H$10,SUM('Water supply'!$D$144:$M$145)*'Summary of area'!$E$44*Sheet1!B96,0)</f>
        <v>0</v>
      </c>
      <c r="AE96">
        <f>IF(A96&gt;=$H$10,SUM('Water supply'!$D$146:$M$153)*'Summary of area'!$E$44*B96,0)</f>
        <v>0</v>
      </c>
      <c r="AF96">
        <f>IF(A96=$H$10,SUM(Heritage!$D$221:$M$222)*'Summary of area'!$E$46*B96,0)</f>
        <v>0</v>
      </c>
      <c r="AG96">
        <f>IF(A96&gt;=$H$10,SUM(Heritage!$D$223:$M$230)*'Summary of area'!$E$46*Sheet1!B96,0)</f>
        <v>0</v>
      </c>
      <c r="AH96">
        <f>IF(A96=$H$10,SUM('Recreation and tourism'!$D$109:$M$110)*'Summary of area'!$E$45*Sheet1!B96,0)</f>
        <v>0</v>
      </c>
      <c r="AI96">
        <f>IF(A96&gt;=$H$10,SUM('Recreation and tourism'!$D$111:$M$118)*'Summary of area'!$E$45*Sheet1!B96,0)</f>
        <v>0</v>
      </c>
    </row>
    <row r="97" spans="1:35" ht="15.75" thickBot="1">
      <c r="A97" s="134">
        <f t="shared" si="4"/>
        <v>82</v>
      </c>
      <c r="B97" s="108">
        <f t="shared" si="5"/>
        <v>0.07925877153482629</v>
      </c>
      <c r="C97" s="137">
        <f>SUM($B$15:B97)</f>
        <v>28.725733387224473</v>
      </c>
      <c r="D97" s="136"/>
      <c r="G97">
        <f>IF(A97&gt;=$H$10,Carbon!$F$33*'Summary of area'!$E$31*B97,0)</f>
        <v>0</v>
      </c>
      <c r="H97">
        <f>IF(A97=$H$10,SUM('Water levels-Residential'!$D$53:$M$54)*'Summary of area'!$E$32*B97,0)</f>
        <v>0</v>
      </c>
      <c r="I97">
        <f>IF(A97&gt;=$H$10,SUM('Water levels-Residential'!$D$55:$M$62)*'Summary of area'!$E$32*B97,0)</f>
        <v>0</v>
      </c>
      <c r="J97">
        <f>IF(A97=$H$10,SUM('Water levels-Business'!$D$87:$M$88)*'Summary of area'!$E$33*B97,0)</f>
        <v>0</v>
      </c>
      <c r="K97">
        <f>IF(A97&gt;=$H$10,SUM('Water levels-Business'!$D$89:$M$96)*'Summary of area'!$E$33*B97,0)</f>
        <v>0</v>
      </c>
      <c r="L97">
        <f>IF(A97=$H$10,SUM('Water levels-Social Infra'!$D$169:$M$170)*'Summary of area'!$E$34*B97,0)</f>
        <v>0</v>
      </c>
      <c r="M97">
        <f>IF(A97&gt;=$H$10,SUM('Water levels-Social Infra'!$D$171:$M$178)*'Summary of area'!$E$34*B97,0)</f>
        <v>0</v>
      </c>
      <c r="N97">
        <f>IF(A97=$H$10,SUM('Water levels-Emergency'!$D$152:$M$153)*'Summary of area'!$E$35*B97,0)</f>
        <v>0</v>
      </c>
      <c r="O97">
        <f>IF(A97&gt;=$H$10,SUM('Water levels-Emergency'!$D$154:$M$161)*'Summary of area'!$E$35*B97,0)</f>
        <v>0</v>
      </c>
      <c r="P97">
        <f>IF(A97=$H$10,SUM('Water levels-Utilities'!$D$189:$M$190)*'Summary of area'!$E$36*B97,0)</f>
        <v>0</v>
      </c>
      <c r="Q97">
        <f>IF(A97&gt;=$H$10,SUM('Water levels-Utilities'!$D$191:$M$198)*'Summary of area'!$E$36*B97,0)</f>
        <v>0</v>
      </c>
      <c r="R97">
        <f>IF(A97=$H$10,SUM('Water levels-Transport (road)'!$D$160:$M$161)*'Summary of area'!$E$37*B97,0)</f>
        <v>0</v>
      </c>
      <c r="S97">
        <f>IF(A97&gt;=$H$10,SUM('Water levels-Transport (road)'!$D$162:$M$169)*'Summary of area'!$E$37*B97+SUM('Water levels-Transport (road)'!$D$215:$M$222)*'Summary of area'!$E$37*B97,0)</f>
        <v>0</v>
      </c>
      <c r="T97">
        <f>IF(A97=$H$10,SUM('Water levels-Transport (rail)'!$D$137:$M$138)*'Summary of area'!$E$38*Sheet1!B97,0)</f>
        <v>0</v>
      </c>
      <c r="U97">
        <f>IF(A97&gt;=$H$10,SUM('Water levels-Transport (rail)'!$D$139:$M$146)*'Summary of area'!$E$38*B97+SUM('Water levels-Transport (rail)'!$D$165:$M$172)*'Summary of area'!$E$38*B97,0)</f>
        <v>0</v>
      </c>
      <c r="V97">
        <f>IF(A97=$H$10,SUM('Food production'!$D$256:$M$257)*'Summary of area'!$E$39*Sheet1!B97,0)</f>
        <v>0</v>
      </c>
      <c r="W97">
        <f>IF(A97&gt;=$H$10,SUM('Food production'!$D$258:$M$265)*'Summary of area'!$E$39*Sheet1!B97,0)</f>
        <v>0</v>
      </c>
      <c r="X97">
        <f>IF(A97=$H$10,SUM('Energy (direct)'!$D$85:$M$86)*'Summary of area'!$E$40*B97,0)</f>
        <v>0</v>
      </c>
      <c r="Y97">
        <f>IF(A97&gt;=$H$10,SUM('Energy (direct)'!$D$87:$M$94)*'Summary of area'!$E$40*Sheet1!B97,0)</f>
        <v>0</v>
      </c>
      <c r="Z97">
        <f>IF(A97=$H$10,SUM('Energy (indirect)'!$D$158:$M$159)*'Summary of area'!$E$41*Sheet1!B97,0)</f>
        <v>0</v>
      </c>
      <c r="AA97">
        <f>IF(A97&gt;=$H$10,SUM('Energy (indirect)'!$D$160:$M$167)*'Summary of area'!$E$41*B97,0)</f>
        <v>0</v>
      </c>
      <c r="AB97">
        <f>IF(A97=$H$10,SUM('Designated biodiversity sites'!$D$123:$M$124)*'Summary of area'!$E$42*Sheet1!B97+'Biodiversity - non-designated'!O161*'Summary of area'!$E$43*Sheet1!B97,0)</f>
        <v>0</v>
      </c>
      <c r="AC97">
        <f>IF(A97&gt;=$H$10,SUM('Designated biodiversity sites'!$D$125:$M$132)*'Summary of area'!$E$42*Sheet1!B97+'Biodiversity - non-designated'!O161*'Summary of area'!$E$43*Sheet1!B97,0)</f>
        <v>0</v>
      </c>
      <c r="AD97">
        <f>IF(A97=$H$10,SUM('Water supply'!$D$144:$M$145)*'Summary of area'!$E$44*Sheet1!B97,0)</f>
        <v>0</v>
      </c>
      <c r="AE97">
        <f>IF(A97&gt;=$H$10,SUM('Water supply'!$D$146:$M$153)*'Summary of area'!$E$44*B97,0)</f>
        <v>0</v>
      </c>
      <c r="AF97">
        <f>IF(A97=$H$10,SUM(Heritage!$D$221:$M$222)*'Summary of area'!$E$46*B97,0)</f>
        <v>0</v>
      </c>
      <c r="AG97">
        <f>IF(A97&gt;=$H$10,SUM(Heritage!$D$223:$M$230)*'Summary of area'!$E$46*Sheet1!B97,0)</f>
        <v>0</v>
      </c>
      <c r="AH97">
        <f>IF(A97=$H$10,SUM('Recreation and tourism'!$D$109:$M$110)*'Summary of area'!$E$45*Sheet1!B97,0)</f>
        <v>0</v>
      </c>
      <c r="AI97">
        <f>IF(A97&gt;=$H$10,SUM('Recreation and tourism'!$D$111:$M$118)*'Summary of area'!$E$45*Sheet1!B97,0)</f>
        <v>0</v>
      </c>
    </row>
    <row r="98" spans="1:35" ht="15.75" thickBot="1">
      <c r="A98" s="134">
        <f t="shared" si="4"/>
        <v>83</v>
      </c>
      <c r="B98" s="108">
        <f t="shared" si="5"/>
        <v>0.07732563076568419</v>
      </c>
      <c r="C98" s="137">
        <f>SUM($B$15:B98)</f>
        <v>28.803059017990158</v>
      </c>
      <c r="D98" s="136"/>
      <c r="G98">
        <f>IF(A98&gt;=$H$10,Carbon!$F$33*'Summary of area'!$E$31*B98,0)</f>
        <v>0</v>
      </c>
      <c r="H98">
        <f>IF(A98=$H$10,SUM('Water levels-Residential'!$D$53:$M$54)*'Summary of area'!$E$32*B98,0)</f>
        <v>0</v>
      </c>
      <c r="I98">
        <f>IF(A98&gt;=$H$10,SUM('Water levels-Residential'!$D$55:$M$62)*'Summary of area'!$E$32*B98,0)</f>
        <v>0</v>
      </c>
      <c r="J98">
        <f>IF(A98=$H$10,SUM('Water levels-Business'!$D$87:$M$88)*'Summary of area'!$E$33*B98,0)</f>
        <v>0</v>
      </c>
      <c r="K98">
        <f>IF(A98&gt;=$H$10,SUM('Water levels-Business'!$D$89:$M$96)*'Summary of area'!$E$33*B98,0)</f>
        <v>0</v>
      </c>
      <c r="L98">
        <f>IF(A98=$H$10,SUM('Water levels-Social Infra'!$D$169:$M$170)*'Summary of area'!$E$34*B98,0)</f>
        <v>0</v>
      </c>
      <c r="M98">
        <f>IF(A98&gt;=$H$10,SUM('Water levels-Social Infra'!$D$171:$M$178)*'Summary of area'!$E$34*B98,0)</f>
        <v>0</v>
      </c>
      <c r="N98">
        <f>IF(A98=$H$10,SUM('Water levels-Emergency'!$D$152:$M$153)*'Summary of area'!$E$35*B98,0)</f>
        <v>0</v>
      </c>
      <c r="O98">
        <f>IF(A98&gt;=$H$10,SUM('Water levels-Emergency'!$D$154:$M$161)*'Summary of area'!$E$35*B98,0)</f>
        <v>0</v>
      </c>
      <c r="P98">
        <f>IF(A98=$H$10,SUM('Water levels-Utilities'!$D$189:$M$190)*'Summary of area'!$E$36*B98,0)</f>
        <v>0</v>
      </c>
      <c r="Q98">
        <f>IF(A98&gt;=$H$10,SUM('Water levels-Utilities'!$D$191:$M$198)*'Summary of area'!$E$36*B98,0)</f>
        <v>0</v>
      </c>
      <c r="R98">
        <f>IF(A98=$H$10,SUM('Water levels-Transport (road)'!$D$160:$M$161)*'Summary of area'!$E$37*B98,0)</f>
        <v>0</v>
      </c>
      <c r="S98">
        <f>IF(A98&gt;=$H$10,SUM('Water levels-Transport (road)'!$D$162:$M$169)*'Summary of area'!$E$37*B98+SUM('Water levels-Transport (road)'!$D$215:$M$222)*'Summary of area'!$E$37*B98,0)</f>
        <v>0</v>
      </c>
      <c r="T98">
        <f>IF(A98=$H$10,SUM('Water levels-Transport (rail)'!$D$137:$M$138)*'Summary of area'!$E$38*Sheet1!B98,0)</f>
        <v>0</v>
      </c>
      <c r="U98">
        <f>IF(A98&gt;=$H$10,SUM('Water levels-Transport (rail)'!$D$139:$M$146)*'Summary of area'!$E$38*B98+SUM('Water levels-Transport (rail)'!$D$165:$M$172)*'Summary of area'!$E$38*B98,0)</f>
        <v>0</v>
      </c>
      <c r="V98">
        <f>IF(A98=$H$10,SUM('Food production'!$D$256:$M$257)*'Summary of area'!$E$39*Sheet1!B98,0)</f>
        <v>0</v>
      </c>
      <c r="W98">
        <f>IF(A98&gt;=$H$10,SUM('Food production'!$D$258:$M$265)*'Summary of area'!$E$39*Sheet1!B98,0)</f>
        <v>0</v>
      </c>
      <c r="X98">
        <f>IF(A98=$H$10,SUM('Energy (direct)'!$D$85:$M$86)*'Summary of area'!$E$40*B98,0)</f>
        <v>0</v>
      </c>
      <c r="Y98">
        <f>IF(A98&gt;=$H$10,SUM('Energy (direct)'!$D$87:$M$94)*'Summary of area'!$E$40*Sheet1!B98,0)</f>
        <v>0</v>
      </c>
      <c r="Z98">
        <f>IF(A98=$H$10,SUM('Energy (indirect)'!$D$158:$M$159)*'Summary of area'!$E$41*Sheet1!B98,0)</f>
        <v>0</v>
      </c>
      <c r="AA98">
        <f>IF(A98&gt;=$H$10,SUM('Energy (indirect)'!$D$160:$M$167)*'Summary of area'!$E$41*B98,0)</f>
        <v>0</v>
      </c>
      <c r="AB98">
        <f>IF(A98=$H$10,SUM('Designated biodiversity sites'!$D$123:$M$124)*'Summary of area'!$E$42*Sheet1!B98+'Biodiversity - non-designated'!O162*'Summary of area'!$E$43*Sheet1!B98,0)</f>
        <v>0</v>
      </c>
      <c r="AC98">
        <f>IF(A98&gt;=$H$10,SUM('Designated biodiversity sites'!$D$125:$M$132)*'Summary of area'!$E$42*Sheet1!B98+'Biodiversity - non-designated'!O162*'Summary of area'!$E$43*Sheet1!B98,0)</f>
        <v>0</v>
      </c>
      <c r="AD98">
        <f>IF(A98=$H$10,SUM('Water supply'!$D$144:$M$145)*'Summary of area'!$E$44*Sheet1!B98,0)</f>
        <v>0</v>
      </c>
      <c r="AE98">
        <f>IF(A98&gt;=$H$10,SUM('Water supply'!$D$146:$M$153)*'Summary of area'!$E$44*B98,0)</f>
        <v>0</v>
      </c>
      <c r="AF98">
        <f>IF(A98=$H$10,SUM(Heritage!$D$221:$M$222)*'Summary of area'!$E$46*B98,0)</f>
        <v>0</v>
      </c>
      <c r="AG98">
        <f>IF(A98&gt;=$H$10,SUM(Heritage!$D$223:$M$230)*'Summary of area'!$E$46*Sheet1!B98,0)</f>
        <v>0</v>
      </c>
      <c r="AH98">
        <f>IF(A98=$H$10,SUM('Recreation and tourism'!$D$109:$M$110)*'Summary of area'!$E$45*Sheet1!B98,0)</f>
        <v>0</v>
      </c>
      <c r="AI98">
        <f>IF(A98&gt;=$H$10,SUM('Recreation and tourism'!$D$111:$M$118)*'Summary of area'!$E$45*Sheet1!B98,0)</f>
        <v>0</v>
      </c>
    </row>
    <row r="99" spans="1:35" ht="15.75" thickBot="1">
      <c r="A99" s="134">
        <f t="shared" si="4"/>
        <v>84</v>
      </c>
      <c r="B99" s="108">
        <f t="shared" si="5"/>
        <v>0.07543963977139921</v>
      </c>
      <c r="C99" s="137">
        <f>SUM($B$15:B99)</f>
        <v>28.878498657761558</v>
      </c>
      <c r="D99" s="136"/>
      <c r="G99">
        <f>IF(A99&gt;=$H$10,Carbon!$F$33*'Summary of area'!$E$31*B99,0)</f>
        <v>0</v>
      </c>
      <c r="H99">
        <f>IF(A99=$H$10,SUM('Water levels-Residential'!$D$53:$M$54)*'Summary of area'!$E$32*B99,0)</f>
        <v>0</v>
      </c>
      <c r="I99">
        <f>IF(A99&gt;=$H$10,SUM('Water levels-Residential'!$D$55:$M$62)*'Summary of area'!$E$32*B99,0)</f>
        <v>0</v>
      </c>
      <c r="J99">
        <f>IF(A99=$H$10,SUM('Water levels-Business'!$D$87:$M$88)*'Summary of area'!$E$33*B99,0)</f>
        <v>0</v>
      </c>
      <c r="K99">
        <f>IF(A99&gt;=$H$10,SUM('Water levels-Business'!$D$89:$M$96)*'Summary of area'!$E$33*B99,0)</f>
        <v>0</v>
      </c>
      <c r="L99">
        <f>IF(A99=$H$10,SUM('Water levels-Social Infra'!$D$169:$M$170)*'Summary of area'!$E$34*B99,0)</f>
        <v>0</v>
      </c>
      <c r="M99">
        <f>IF(A99&gt;=$H$10,SUM('Water levels-Social Infra'!$D$171:$M$178)*'Summary of area'!$E$34*B99,0)</f>
        <v>0</v>
      </c>
      <c r="N99">
        <f>IF(A99=$H$10,SUM('Water levels-Emergency'!$D$152:$M$153)*'Summary of area'!$E$35*B99,0)</f>
        <v>0</v>
      </c>
      <c r="O99">
        <f>IF(A99&gt;=$H$10,SUM('Water levels-Emergency'!$D$154:$M$161)*'Summary of area'!$E$35*B99,0)</f>
        <v>0</v>
      </c>
      <c r="P99">
        <f>IF(A99=$H$10,SUM('Water levels-Utilities'!$D$189:$M$190)*'Summary of area'!$E$36*B99,0)</f>
        <v>0</v>
      </c>
      <c r="Q99">
        <f>IF(A99&gt;=$H$10,SUM('Water levels-Utilities'!$D$191:$M$198)*'Summary of area'!$E$36*B99,0)</f>
        <v>0</v>
      </c>
      <c r="R99">
        <f>IF(A99=$H$10,SUM('Water levels-Transport (road)'!$D$160:$M$161)*'Summary of area'!$E$37*B99,0)</f>
        <v>0</v>
      </c>
      <c r="S99">
        <f>IF(A99&gt;=$H$10,SUM('Water levels-Transport (road)'!$D$162:$M$169)*'Summary of area'!$E$37*B99+SUM('Water levels-Transport (road)'!$D$215:$M$222)*'Summary of area'!$E$37*B99,0)</f>
        <v>0</v>
      </c>
      <c r="T99">
        <f>IF(A99=$H$10,SUM('Water levels-Transport (rail)'!$D$137:$M$138)*'Summary of area'!$E$38*Sheet1!B99,0)</f>
        <v>0</v>
      </c>
      <c r="U99">
        <f>IF(A99&gt;=$H$10,SUM('Water levels-Transport (rail)'!$D$139:$M$146)*'Summary of area'!$E$38*B99+SUM('Water levels-Transport (rail)'!$D$165:$M$172)*'Summary of area'!$E$38*B99,0)</f>
        <v>0</v>
      </c>
      <c r="V99">
        <f>IF(A99=$H$10,SUM('Food production'!$D$256:$M$257)*'Summary of area'!$E$39*Sheet1!B99,0)</f>
        <v>0</v>
      </c>
      <c r="W99">
        <f>IF(A99&gt;=$H$10,SUM('Food production'!$D$258:$M$265)*'Summary of area'!$E$39*Sheet1!B99,0)</f>
        <v>0</v>
      </c>
      <c r="X99">
        <f>IF(A99=$H$10,SUM('Energy (direct)'!$D$85:$M$86)*'Summary of area'!$E$40*B99,0)</f>
        <v>0</v>
      </c>
      <c r="Y99">
        <f>IF(A99&gt;=$H$10,SUM('Energy (direct)'!$D$87:$M$94)*'Summary of area'!$E$40*Sheet1!B99,0)</f>
        <v>0</v>
      </c>
      <c r="Z99">
        <f>IF(A99=$H$10,SUM('Energy (indirect)'!$D$158:$M$159)*'Summary of area'!$E$41*Sheet1!B99,0)</f>
        <v>0</v>
      </c>
      <c r="AA99">
        <f>IF(A99&gt;=$H$10,SUM('Energy (indirect)'!$D$160:$M$167)*'Summary of area'!$E$41*B99,0)</f>
        <v>0</v>
      </c>
      <c r="AB99">
        <f>IF(A99=$H$10,SUM('Designated biodiversity sites'!$D$123:$M$124)*'Summary of area'!$E$42*Sheet1!B99+'Biodiversity - non-designated'!O163*'Summary of area'!$E$43*Sheet1!B99,0)</f>
        <v>0</v>
      </c>
      <c r="AC99">
        <f>IF(A99&gt;=$H$10,SUM('Designated biodiversity sites'!$D$125:$M$132)*'Summary of area'!$E$42*Sheet1!B99+'Biodiversity - non-designated'!O163*'Summary of area'!$E$43*Sheet1!B99,0)</f>
        <v>0</v>
      </c>
      <c r="AD99">
        <f>IF(A99=$H$10,SUM('Water supply'!$D$144:$M$145)*'Summary of area'!$E$44*Sheet1!B99,0)</f>
        <v>0</v>
      </c>
      <c r="AE99">
        <f>IF(A99&gt;=$H$10,SUM('Water supply'!$D$146:$M$153)*'Summary of area'!$E$44*B99,0)</f>
        <v>0</v>
      </c>
      <c r="AF99">
        <f>IF(A99=$H$10,SUM(Heritage!$D$221:$M$222)*'Summary of area'!$E$46*B99,0)</f>
        <v>0</v>
      </c>
      <c r="AG99">
        <f>IF(A99&gt;=$H$10,SUM(Heritage!$D$223:$M$230)*'Summary of area'!$E$46*Sheet1!B99,0)</f>
        <v>0</v>
      </c>
      <c r="AH99">
        <f>IF(A99=$H$10,SUM('Recreation and tourism'!$D$109:$M$110)*'Summary of area'!$E$45*Sheet1!B99,0)</f>
        <v>0</v>
      </c>
      <c r="AI99">
        <f>IF(A99&gt;=$H$10,SUM('Recreation and tourism'!$D$111:$M$118)*'Summary of area'!$E$45*Sheet1!B99,0)</f>
        <v>0</v>
      </c>
    </row>
    <row r="100" spans="1:35" ht="15.75" thickBot="1">
      <c r="A100" s="134">
        <f t="shared" si="4"/>
        <v>85</v>
      </c>
      <c r="B100" s="108">
        <f t="shared" si="5"/>
        <v>0.07359964855746265</v>
      </c>
      <c r="C100" s="137">
        <f>SUM($B$15:B100)</f>
        <v>28.95209830631902</v>
      </c>
      <c r="D100" s="136"/>
      <c r="G100">
        <f>IF(A100&gt;=$H$10,Carbon!$F$33*'Summary of area'!$E$31*B100,0)</f>
        <v>0</v>
      </c>
      <c r="H100">
        <f>IF(A100=$H$10,SUM('Water levels-Residential'!$D$53:$M$54)*'Summary of area'!$E$32*B100,0)</f>
        <v>0</v>
      </c>
      <c r="I100">
        <f>IF(A100&gt;=$H$10,SUM('Water levels-Residential'!$D$55:$M$62)*'Summary of area'!$E$32*B100,0)</f>
        <v>0</v>
      </c>
      <c r="J100">
        <f>IF(A100=$H$10,SUM('Water levels-Business'!$D$87:$M$88)*'Summary of area'!$E$33*B100,0)</f>
        <v>0</v>
      </c>
      <c r="K100">
        <f>IF(A100&gt;=$H$10,SUM('Water levels-Business'!$D$89:$M$96)*'Summary of area'!$E$33*B100,0)</f>
        <v>0</v>
      </c>
      <c r="L100">
        <f>IF(A100=$H$10,SUM('Water levels-Social Infra'!$D$169:$M$170)*'Summary of area'!$E$34*B100,0)</f>
        <v>0</v>
      </c>
      <c r="M100">
        <f>IF(A100&gt;=$H$10,SUM('Water levels-Social Infra'!$D$171:$M$178)*'Summary of area'!$E$34*B100,0)</f>
        <v>0</v>
      </c>
      <c r="N100">
        <f>IF(A100=$H$10,SUM('Water levels-Emergency'!$D$152:$M$153)*'Summary of area'!$E$35*B100,0)</f>
        <v>0</v>
      </c>
      <c r="O100">
        <f>IF(A100&gt;=$H$10,SUM('Water levels-Emergency'!$D$154:$M$161)*'Summary of area'!$E$35*B100,0)</f>
        <v>0</v>
      </c>
      <c r="P100">
        <f>IF(A100=$H$10,SUM('Water levels-Utilities'!$D$189:$M$190)*'Summary of area'!$E$36*B100,0)</f>
        <v>0</v>
      </c>
      <c r="Q100">
        <f>IF(A100&gt;=$H$10,SUM('Water levels-Utilities'!$D$191:$M$198)*'Summary of area'!$E$36*B100,0)</f>
        <v>0</v>
      </c>
      <c r="R100">
        <f>IF(A100=$H$10,SUM('Water levels-Transport (road)'!$D$160:$M$161)*'Summary of area'!$E$37*B100,0)</f>
        <v>0</v>
      </c>
      <c r="S100">
        <f>IF(A100&gt;=$H$10,SUM('Water levels-Transport (road)'!$D$162:$M$169)*'Summary of area'!$E$37*B100+SUM('Water levels-Transport (road)'!$D$215:$M$222)*'Summary of area'!$E$37*B100,0)</f>
        <v>0</v>
      </c>
      <c r="T100">
        <f>IF(A100=$H$10,SUM('Water levels-Transport (rail)'!$D$137:$M$138)*'Summary of area'!$E$38*Sheet1!B100,0)</f>
        <v>0</v>
      </c>
      <c r="U100">
        <f>IF(A100&gt;=$H$10,SUM('Water levels-Transport (rail)'!$D$139:$M$146)*'Summary of area'!$E$38*B100+SUM('Water levels-Transport (rail)'!$D$165:$M$172)*'Summary of area'!$E$38*B100,0)</f>
        <v>0</v>
      </c>
      <c r="V100">
        <f>IF(A100=$H$10,SUM('Food production'!$D$256:$M$257)*'Summary of area'!$E$39*Sheet1!B100,0)</f>
        <v>0</v>
      </c>
      <c r="W100">
        <f>IF(A100&gt;=$H$10,SUM('Food production'!$D$258:$M$265)*'Summary of area'!$E$39*Sheet1!B100,0)</f>
        <v>0</v>
      </c>
      <c r="X100">
        <f>IF(A100=$H$10,SUM('Energy (direct)'!$D$85:$M$86)*'Summary of area'!$E$40*B100,0)</f>
        <v>0</v>
      </c>
      <c r="Y100">
        <f>IF(A100&gt;=$H$10,SUM('Energy (direct)'!$D$87:$M$94)*'Summary of area'!$E$40*Sheet1!B100,0)</f>
        <v>0</v>
      </c>
      <c r="Z100">
        <f>IF(A100=$H$10,SUM('Energy (indirect)'!$D$158:$M$159)*'Summary of area'!$E$41*Sheet1!B100,0)</f>
        <v>0</v>
      </c>
      <c r="AA100">
        <f>IF(A100&gt;=$H$10,SUM('Energy (indirect)'!$D$160:$M$167)*'Summary of area'!$E$41*B100,0)</f>
        <v>0</v>
      </c>
      <c r="AB100">
        <f>IF(A100=$H$10,SUM('Designated biodiversity sites'!$D$123:$M$124)*'Summary of area'!$E$42*Sheet1!B100+'Biodiversity - non-designated'!O164*'Summary of area'!$E$43*Sheet1!B100,0)</f>
        <v>0</v>
      </c>
      <c r="AC100">
        <f>IF(A100&gt;=$H$10,SUM('Designated biodiversity sites'!$D$125:$M$132)*'Summary of area'!$E$42*Sheet1!B100+'Biodiversity - non-designated'!O164*'Summary of area'!$E$43*Sheet1!B100,0)</f>
        <v>0</v>
      </c>
      <c r="AD100">
        <f>IF(A100=$H$10,SUM('Water supply'!$D$144:$M$145)*'Summary of area'!$E$44*Sheet1!B100,0)</f>
        <v>0</v>
      </c>
      <c r="AE100">
        <f>IF(A100&gt;=$H$10,SUM('Water supply'!$D$146:$M$153)*'Summary of area'!$E$44*B100,0)</f>
        <v>0</v>
      </c>
      <c r="AF100">
        <f>IF(A100=$H$10,SUM(Heritage!$D$221:$M$222)*'Summary of area'!$E$46*B100,0)</f>
        <v>0</v>
      </c>
      <c r="AG100">
        <f>IF(A100&gt;=$H$10,SUM(Heritage!$D$223:$M$230)*'Summary of area'!$E$46*Sheet1!B100,0)</f>
        <v>0</v>
      </c>
      <c r="AH100">
        <f>IF(A100=$H$10,SUM('Recreation and tourism'!$D$109:$M$110)*'Summary of area'!$E$45*Sheet1!B100,0)</f>
        <v>0</v>
      </c>
      <c r="AI100">
        <f>IF(A100&gt;=$H$10,SUM('Recreation and tourism'!$D$111:$M$118)*'Summary of area'!$E$45*Sheet1!B100,0)</f>
        <v>0</v>
      </c>
    </row>
    <row r="101" spans="1:35" ht="15.75" thickBot="1">
      <c r="A101" s="134">
        <f t="shared" si="4"/>
        <v>86</v>
      </c>
      <c r="B101" s="108">
        <f t="shared" si="5"/>
        <v>0.07180453517801234</v>
      </c>
      <c r="C101" s="137">
        <f>SUM($B$15:B101)</f>
        <v>29.023902841497033</v>
      </c>
      <c r="D101" s="136"/>
      <c r="G101">
        <f>IF(A101&gt;=$H$10,Carbon!$F$33*'Summary of area'!$E$31*B101,0)</f>
        <v>0</v>
      </c>
      <c r="H101">
        <f>IF(A101=$H$10,SUM('Water levels-Residential'!$D$53:$M$54)*'Summary of area'!$E$32*B101,0)</f>
        <v>0</v>
      </c>
      <c r="I101">
        <f>IF(A101&gt;=$H$10,SUM('Water levels-Residential'!$D$55:$M$62)*'Summary of area'!$E$32*B101,0)</f>
        <v>0</v>
      </c>
      <c r="J101">
        <f>IF(A101=$H$10,SUM('Water levels-Business'!$D$87:$M$88)*'Summary of area'!$E$33*B101,0)</f>
        <v>0</v>
      </c>
      <c r="K101">
        <f>IF(A101&gt;=$H$10,SUM('Water levels-Business'!$D$89:$M$96)*'Summary of area'!$E$33*B101,0)</f>
        <v>0</v>
      </c>
      <c r="L101">
        <f>IF(A101=$H$10,SUM('Water levels-Social Infra'!$D$169:$M$170)*'Summary of area'!$E$34*B101,0)</f>
        <v>0</v>
      </c>
      <c r="M101">
        <f>IF(A101&gt;=$H$10,SUM('Water levels-Social Infra'!$D$171:$M$178)*'Summary of area'!$E$34*B101,0)</f>
        <v>0</v>
      </c>
      <c r="N101">
        <f>IF(A101=$H$10,SUM('Water levels-Emergency'!$D$152:$M$153)*'Summary of area'!$E$35*B101,0)</f>
        <v>0</v>
      </c>
      <c r="O101">
        <f>IF(A101&gt;=$H$10,SUM('Water levels-Emergency'!$D$154:$M$161)*'Summary of area'!$E$35*B101,0)</f>
        <v>0</v>
      </c>
      <c r="P101">
        <f>IF(A101=$H$10,SUM('Water levels-Utilities'!$D$189:$M$190)*'Summary of area'!$E$36*B101,0)</f>
        <v>0</v>
      </c>
      <c r="Q101">
        <f>IF(A101&gt;=$H$10,SUM('Water levels-Utilities'!$D$191:$M$198)*'Summary of area'!$E$36*B101,0)</f>
        <v>0</v>
      </c>
      <c r="R101">
        <f>IF(A101=$H$10,SUM('Water levels-Transport (road)'!$D$160:$M$161)*'Summary of area'!$E$37*B101,0)</f>
        <v>0</v>
      </c>
      <c r="S101">
        <f>IF(A101&gt;=$H$10,SUM('Water levels-Transport (road)'!$D$162:$M$169)*'Summary of area'!$E$37*B101+SUM('Water levels-Transport (road)'!$D$215:$M$222)*'Summary of area'!$E$37*B101,0)</f>
        <v>0</v>
      </c>
      <c r="T101">
        <f>IF(A101=$H$10,SUM('Water levels-Transport (rail)'!$D$137:$M$138)*'Summary of area'!$E$38*Sheet1!B101,0)</f>
        <v>0</v>
      </c>
      <c r="U101">
        <f>IF(A101&gt;=$H$10,SUM('Water levels-Transport (rail)'!$D$139:$M$146)*'Summary of area'!$E$38*B101+SUM('Water levels-Transport (rail)'!$D$165:$M$172)*'Summary of area'!$E$38*B101,0)</f>
        <v>0</v>
      </c>
      <c r="V101">
        <f>IF(A101=$H$10,SUM('Food production'!$D$256:$M$257)*'Summary of area'!$E$39*Sheet1!B101,0)</f>
        <v>0</v>
      </c>
      <c r="W101">
        <f>IF(A101&gt;=$H$10,SUM('Food production'!$D$258:$M$265)*'Summary of area'!$E$39*Sheet1!B101,0)</f>
        <v>0</v>
      </c>
      <c r="X101">
        <f>IF(A101=$H$10,SUM('Energy (direct)'!$D$85:$M$86)*'Summary of area'!$E$40*B101,0)</f>
        <v>0</v>
      </c>
      <c r="Y101">
        <f>IF(A101&gt;=$H$10,SUM('Energy (direct)'!$D$87:$M$94)*'Summary of area'!$E$40*Sheet1!B101,0)</f>
        <v>0</v>
      </c>
      <c r="Z101">
        <f>IF(A101=$H$10,SUM('Energy (indirect)'!$D$158:$M$159)*'Summary of area'!$E$41*Sheet1!B101,0)</f>
        <v>0</v>
      </c>
      <c r="AA101">
        <f>IF(A101&gt;=$H$10,SUM('Energy (indirect)'!$D$160:$M$167)*'Summary of area'!$E$41*B101,0)</f>
        <v>0</v>
      </c>
      <c r="AB101">
        <f>IF(A101=$H$10,SUM('Designated biodiversity sites'!$D$123:$M$124)*'Summary of area'!$E$42*Sheet1!B101+'Biodiversity - non-designated'!O165*'Summary of area'!$E$43*Sheet1!B101,0)</f>
        <v>0</v>
      </c>
      <c r="AC101">
        <f>IF(A101&gt;=$H$10,SUM('Designated biodiversity sites'!$D$125:$M$132)*'Summary of area'!$E$42*Sheet1!B101+'Biodiversity - non-designated'!O165*'Summary of area'!$E$43*Sheet1!B101,0)</f>
        <v>0</v>
      </c>
      <c r="AD101">
        <f>IF(A101=$H$10,SUM('Water supply'!$D$144:$M$145)*'Summary of area'!$E$44*Sheet1!B101,0)</f>
        <v>0</v>
      </c>
      <c r="AE101">
        <f>IF(A101&gt;=$H$10,SUM('Water supply'!$D$146:$M$153)*'Summary of area'!$E$44*B101,0)</f>
        <v>0</v>
      </c>
      <c r="AF101">
        <f>IF(A101=$H$10,SUM(Heritage!$D$221:$M$222)*'Summary of area'!$E$46*B101,0)</f>
        <v>0</v>
      </c>
      <c r="AG101">
        <f>IF(A101&gt;=$H$10,SUM(Heritage!$D$223:$M$230)*'Summary of area'!$E$46*Sheet1!B101,0)</f>
        <v>0</v>
      </c>
      <c r="AH101">
        <f>IF(A101=$H$10,SUM('Recreation and tourism'!$D$109:$M$110)*'Summary of area'!$E$45*Sheet1!B101,0)</f>
        <v>0</v>
      </c>
      <c r="AI101">
        <f>IF(A101&gt;=$H$10,SUM('Recreation and tourism'!$D$111:$M$118)*'Summary of area'!$E$45*Sheet1!B101,0)</f>
        <v>0</v>
      </c>
    </row>
    <row r="102" spans="1:35" ht="15.75" thickBot="1">
      <c r="A102" s="134">
        <f t="shared" si="4"/>
        <v>87</v>
      </c>
      <c r="B102" s="108">
        <f t="shared" si="5"/>
        <v>0.07005320505171937</v>
      </c>
      <c r="C102" s="137">
        <f>SUM($B$15:B102)</f>
        <v>29.093956046548755</v>
      </c>
      <c r="D102" s="136"/>
      <c r="G102">
        <f>IF(A102&gt;=$H$10,Carbon!$F$33*'Summary of area'!$E$31*B102,0)</f>
        <v>0</v>
      </c>
      <c r="H102">
        <f>IF(A102=$H$10,SUM('Water levels-Residential'!$D$53:$M$54)*'Summary of area'!$E$32*B102,0)</f>
        <v>0</v>
      </c>
      <c r="I102">
        <f>IF(A102&gt;=$H$10,SUM('Water levels-Residential'!$D$55:$M$62)*'Summary of area'!$E$32*B102,0)</f>
        <v>0</v>
      </c>
      <c r="J102">
        <f>IF(A102=$H$10,SUM('Water levels-Business'!$D$87:$M$88)*'Summary of area'!$E$33*B102,0)</f>
        <v>0</v>
      </c>
      <c r="K102">
        <f>IF(A102&gt;=$H$10,SUM('Water levels-Business'!$D$89:$M$96)*'Summary of area'!$E$33*B102,0)</f>
        <v>0</v>
      </c>
      <c r="L102">
        <f>IF(A102=$H$10,SUM('Water levels-Social Infra'!$D$169:$M$170)*'Summary of area'!$E$34*B102,0)</f>
        <v>0</v>
      </c>
      <c r="M102">
        <f>IF(A102&gt;=$H$10,SUM('Water levels-Social Infra'!$D$171:$M$178)*'Summary of area'!$E$34*B102,0)</f>
        <v>0</v>
      </c>
      <c r="N102">
        <f>IF(A102=$H$10,SUM('Water levels-Emergency'!$D$152:$M$153)*'Summary of area'!$E$35*B102,0)</f>
        <v>0</v>
      </c>
      <c r="O102">
        <f>IF(A102&gt;=$H$10,SUM('Water levels-Emergency'!$D$154:$M$161)*'Summary of area'!$E$35*B102,0)</f>
        <v>0</v>
      </c>
      <c r="P102">
        <f>IF(A102=$H$10,SUM('Water levels-Utilities'!$D$189:$M$190)*'Summary of area'!$E$36*B102,0)</f>
        <v>0</v>
      </c>
      <c r="Q102">
        <f>IF(A102&gt;=$H$10,SUM('Water levels-Utilities'!$D$191:$M$198)*'Summary of area'!$E$36*B102,0)</f>
        <v>0</v>
      </c>
      <c r="R102">
        <f>IF(A102=$H$10,SUM('Water levels-Transport (road)'!$D$160:$M$161)*'Summary of area'!$E$37*B102,0)</f>
        <v>0</v>
      </c>
      <c r="S102">
        <f>IF(A102&gt;=$H$10,SUM('Water levels-Transport (road)'!$D$162:$M$169)*'Summary of area'!$E$37*B102+SUM('Water levels-Transport (road)'!$D$215:$M$222)*'Summary of area'!$E$37*B102,0)</f>
        <v>0</v>
      </c>
      <c r="T102">
        <f>IF(A102=$H$10,SUM('Water levels-Transport (rail)'!$D$137:$M$138)*'Summary of area'!$E$38*Sheet1!B102,0)</f>
        <v>0</v>
      </c>
      <c r="U102">
        <f>IF(A102&gt;=$H$10,SUM('Water levels-Transport (rail)'!$D$139:$M$146)*'Summary of area'!$E$38*B102+SUM('Water levels-Transport (rail)'!$D$165:$M$172)*'Summary of area'!$E$38*B102,0)</f>
        <v>0</v>
      </c>
      <c r="V102">
        <f>IF(A102=$H$10,SUM('Food production'!$D$256:$M$257)*'Summary of area'!$E$39*Sheet1!B102,0)</f>
        <v>0</v>
      </c>
      <c r="W102">
        <f>IF(A102&gt;=$H$10,SUM('Food production'!$D$258:$M$265)*'Summary of area'!$E$39*Sheet1!B102,0)</f>
        <v>0</v>
      </c>
      <c r="X102">
        <f>IF(A102=$H$10,SUM('Energy (direct)'!$D$85:$M$86)*'Summary of area'!$E$40*B102,0)</f>
        <v>0</v>
      </c>
      <c r="Y102">
        <f>IF(A102&gt;=$H$10,SUM('Energy (direct)'!$D$87:$M$94)*'Summary of area'!$E$40*Sheet1!B102,0)</f>
        <v>0</v>
      </c>
      <c r="Z102">
        <f>IF(A102=$H$10,SUM('Energy (indirect)'!$D$158:$M$159)*'Summary of area'!$E$41*Sheet1!B102,0)</f>
        <v>0</v>
      </c>
      <c r="AA102">
        <f>IF(A102&gt;=$H$10,SUM('Energy (indirect)'!$D$160:$M$167)*'Summary of area'!$E$41*B102,0)</f>
        <v>0</v>
      </c>
      <c r="AB102">
        <f>IF(A102=$H$10,SUM('Designated biodiversity sites'!$D$123:$M$124)*'Summary of area'!$E$42*Sheet1!B102+'Biodiversity - non-designated'!O166*'Summary of area'!$E$43*Sheet1!B102,0)</f>
        <v>0</v>
      </c>
      <c r="AC102">
        <f>IF(A102&gt;=$H$10,SUM('Designated biodiversity sites'!$D$125:$M$132)*'Summary of area'!$E$42*Sheet1!B102+'Biodiversity - non-designated'!O166*'Summary of area'!$E$43*Sheet1!B102,0)</f>
        <v>0</v>
      </c>
      <c r="AD102">
        <f>IF(A102=$H$10,SUM('Water supply'!$D$144:$M$145)*'Summary of area'!$E$44*Sheet1!B102,0)</f>
        <v>0</v>
      </c>
      <c r="AE102">
        <f>IF(A102&gt;=$H$10,SUM('Water supply'!$D$146:$M$153)*'Summary of area'!$E$44*B102,0)</f>
        <v>0</v>
      </c>
      <c r="AF102">
        <f>IF(A102=$H$10,SUM(Heritage!$D$221:$M$222)*'Summary of area'!$E$46*B102,0)</f>
        <v>0</v>
      </c>
      <c r="AG102">
        <f>IF(A102&gt;=$H$10,SUM(Heritage!$D$223:$M$230)*'Summary of area'!$E$46*Sheet1!B102,0)</f>
        <v>0</v>
      </c>
      <c r="AH102">
        <f>IF(A102=$H$10,SUM('Recreation and tourism'!$D$109:$M$110)*'Summary of area'!$E$45*Sheet1!B102,0)</f>
        <v>0</v>
      </c>
      <c r="AI102">
        <f>IF(A102&gt;=$H$10,SUM('Recreation and tourism'!$D$111:$M$118)*'Summary of area'!$E$45*Sheet1!B102,0)</f>
        <v>0</v>
      </c>
    </row>
    <row r="103" spans="1:35" ht="15.75" thickBot="1">
      <c r="A103" s="134">
        <f t="shared" si="4"/>
        <v>88</v>
      </c>
      <c r="B103" s="108">
        <f t="shared" si="5"/>
        <v>0.06834459029436037</v>
      </c>
      <c r="C103" s="137">
        <f>SUM($B$15:B103)</f>
        <v>29.162300636843113</v>
      </c>
      <c r="D103" s="136"/>
      <c r="G103">
        <f>IF(A103&gt;=$H$10,Carbon!$F$33*'Summary of area'!$E$31*B103,0)</f>
        <v>0</v>
      </c>
      <c r="H103">
        <f>IF(A103=$H$10,SUM('Water levels-Residential'!$D$53:$M$54)*'Summary of area'!$E$32*B103,0)</f>
        <v>0</v>
      </c>
      <c r="I103">
        <f>IF(A103&gt;=$H$10,SUM('Water levels-Residential'!$D$55:$M$62)*'Summary of area'!$E$32*B103,0)</f>
        <v>0</v>
      </c>
      <c r="J103">
        <f>IF(A103=$H$10,SUM('Water levels-Business'!$D$87:$M$88)*'Summary of area'!$E$33*B103,0)</f>
        <v>0</v>
      </c>
      <c r="K103">
        <f>IF(A103&gt;=$H$10,SUM('Water levels-Business'!$D$89:$M$96)*'Summary of area'!$E$33*B103,0)</f>
        <v>0</v>
      </c>
      <c r="L103">
        <f>IF(A103=$H$10,SUM('Water levels-Social Infra'!$D$169:$M$170)*'Summary of area'!$E$34*B103,0)</f>
        <v>0</v>
      </c>
      <c r="M103">
        <f>IF(A103&gt;=$H$10,SUM('Water levels-Social Infra'!$D$171:$M$178)*'Summary of area'!$E$34*B103,0)</f>
        <v>0</v>
      </c>
      <c r="N103">
        <f>IF(A103=$H$10,SUM('Water levels-Emergency'!$D$152:$M$153)*'Summary of area'!$E$35*B103,0)</f>
        <v>0</v>
      </c>
      <c r="O103">
        <f>IF(A103&gt;=$H$10,SUM('Water levels-Emergency'!$D$154:$M$161)*'Summary of area'!$E$35*B103,0)</f>
        <v>0</v>
      </c>
      <c r="P103">
        <f>IF(A103=$H$10,SUM('Water levels-Utilities'!$D$189:$M$190)*'Summary of area'!$E$36*B103,0)</f>
        <v>0</v>
      </c>
      <c r="Q103">
        <f>IF(A103&gt;=$H$10,SUM('Water levels-Utilities'!$D$191:$M$198)*'Summary of area'!$E$36*B103,0)</f>
        <v>0</v>
      </c>
      <c r="R103">
        <f>IF(A103=$H$10,SUM('Water levels-Transport (road)'!$D$160:$M$161)*'Summary of area'!$E$37*B103,0)</f>
        <v>0</v>
      </c>
      <c r="S103">
        <f>IF(A103&gt;=$H$10,SUM('Water levels-Transport (road)'!$D$162:$M$169)*'Summary of area'!$E$37*B103+SUM('Water levels-Transport (road)'!$D$215:$M$222)*'Summary of area'!$E$37*B103,0)</f>
        <v>0</v>
      </c>
      <c r="T103">
        <f>IF(A103=$H$10,SUM('Water levels-Transport (rail)'!$D$137:$M$138)*'Summary of area'!$E$38*Sheet1!B103,0)</f>
        <v>0</v>
      </c>
      <c r="U103">
        <f>IF(A103&gt;=$H$10,SUM('Water levels-Transport (rail)'!$D$139:$M$146)*'Summary of area'!$E$38*B103+SUM('Water levels-Transport (rail)'!$D$165:$M$172)*'Summary of area'!$E$38*B103,0)</f>
        <v>0</v>
      </c>
      <c r="V103">
        <f>IF(A103=$H$10,SUM('Food production'!$D$256:$M$257)*'Summary of area'!$E$39*Sheet1!B103,0)</f>
        <v>0</v>
      </c>
      <c r="W103">
        <f>IF(A103&gt;=$H$10,SUM('Food production'!$D$258:$M$265)*'Summary of area'!$E$39*Sheet1!B103,0)</f>
        <v>0</v>
      </c>
      <c r="X103">
        <f>IF(A103=$H$10,SUM('Energy (direct)'!$D$85:$M$86)*'Summary of area'!$E$40*B103,0)</f>
        <v>0</v>
      </c>
      <c r="Y103">
        <f>IF(A103&gt;=$H$10,SUM('Energy (direct)'!$D$87:$M$94)*'Summary of area'!$E$40*Sheet1!B103,0)</f>
        <v>0</v>
      </c>
      <c r="Z103">
        <f>IF(A103=$H$10,SUM('Energy (indirect)'!$D$158:$M$159)*'Summary of area'!$E$41*Sheet1!B103,0)</f>
        <v>0</v>
      </c>
      <c r="AA103">
        <f>IF(A103&gt;=$H$10,SUM('Energy (indirect)'!$D$160:$M$167)*'Summary of area'!$E$41*B103,0)</f>
        <v>0</v>
      </c>
      <c r="AB103">
        <f>IF(A103=$H$10,SUM('Designated biodiversity sites'!$D$123:$M$124)*'Summary of area'!$E$42*Sheet1!B103+'Biodiversity - non-designated'!O167*'Summary of area'!$E$43*Sheet1!B103,0)</f>
        <v>0</v>
      </c>
      <c r="AC103">
        <f>IF(A103&gt;=$H$10,SUM('Designated biodiversity sites'!$D$125:$M$132)*'Summary of area'!$E$42*Sheet1!B103+'Biodiversity - non-designated'!O167*'Summary of area'!$E$43*Sheet1!B103,0)</f>
        <v>0</v>
      </c>
      <c r="AD103">
        <f>IF(A103=$H$10,SUM('Water supply'!$D$144:$M$145)*'Summary of area'!$E$44*Sheet1!B103,0)</f>
        <v>0</v>
      </c>
      <c r="AE103">
        <f>IF(A103&gt;=$H$10,SUM('Water supply'!$D$146:$M$153)*'Summary of area'!$E$44*B103,0)</f>
        <v>0</v>
      </c>
      <c r="AF103">
        <f>IF(A103=$H$10,SUM(Heritage!$D$221:$M$222)*'Summary of area'!$E$46*B103,0)</f>
        <v>0</v>
      </c>
      <c r="AG103">
        <f>IF(A103&gt;=$H$10,SUM(Heritage!$D$223:$M$230)*'Summary of area'!$E$46*Sheet1!B103,0)</f>
        <v>0</v>
      </c>
      <c r="AH103">
        <f>IF(A103=$H$10,SUM('Recreation and tourism'!$D$109:$M$110)*'Summary of area'!$E$45*Sheet1!B103,0)</f>
        <v>0</v>
      </c>
      <c r="AI103">
        <f>IF(A103&gt;=$H$10,SUM('Recreation and tourism'!$D$111:$M$118)*'Summary of area'!$E$45*Sheet1!B103,0)</f>
        <v>0</v>
      </c>
    </row>
    <row r="104" spans="1:35" ht="15.75" thickBot="1">
      <c r="A104" s="134">
        <f t="shared" si="4"/>
        <v>89</v>
      </c>
      <c r="B104" s="108">
        <f t="shared" si="5"/>
        <v>0.06667764906766865</v>
      </c>
      <c r="C104" s="137">
        <f>SUM($B$15:B104)</f>
        <v>29.22897828591078</v>
      </c>
      <c r="D104" s="136"/>
      <c r="G104">
        <f>IF(A104&gt;=$H$10,Carbon!$F$33*'Summary of area'!$E$31*B104,0)</f>
        <v>0</v>
      </c>
      <c r="H104">
        <f>IF(A104=$H$10,SUM('Water levels-Residential'!$D$53:$M$54)*'Summary of area'!$E$32*B104,0)</f>
        <v>0</v>
      </c>
      <c r="I104">
        <f>IF(A104&gt;=$H$10,SUM('Water levels-Residential'!$D$55:$M$62)*'Summary of area'!$E$32*B104,0)</f>
        <v>0</v>
      </c>
      <c r="J104">
        <f>IF(A104=$H$10,SUM('Water levels-Business'!$D$87:$M$88)*'Summary of area'!$E$33*B104,0)</f>
        <v>0</v>
      </c>
      <c r="K104">
        <f>IF(A104&gt;=$H$10,SUM('Water levels-Business'!$D$89:$M$96)*'Summary of area'!$E$33*B104,0)</f>
        <v>0</v>
      </c>
      <c r="L104">
        <f>IF(A104=$H$10,SUM('Water levels-Social Infra'!$D$169:$M$170)*'Summary of area'!$E$34*B104,0)</f>
        <v>0</v>
      </c>
      <c r="M104">
        <f>IF(A104&gt;=$H$10,SUM('Water levels-Social Infra'!$D$171:$M$178)*'Summary of area'!$E$34*B104,0)</f>
        <v>0</v>
      </c>
      <c r="N104">
        <f>IF(A104=$H$10,SUM('Water levels-Emergency'!$D$152:$M$153)*'Summary of area'!$E$35*B104,0)</f>
        <v>0</v>
      </c>
      <c r="O104">
        <f>IF(A104&gt;=$H$10,SUM('Water levels-Emergency'!$D$154:$M$161)*'Summary of area'!$E$35*B104,0)</f>
        <v>0</v>
      </c>
      <c r="P104">
        <f>IF(A104=$H$10,SUM('Water levels-Utilities'!$D$189:$M$190)*'Summary of area'!$E$36*B104,0)</f>
        <v>0</v>
      </c>
      <c r="Q104">
        <f>IF(A104&gt;=$H$10,SUM('Water levels-Utilities'!$D$191:$M$198)*'Summary of area'!$E$36*B104,0)</f>
        <v>0</v>
      </c>
      <c r="R104">
        <f>IF(A104=$H$10,SUM('Water levels-Transport (road)'!$D$160:$M$161)*'Summary of area'!$E$37*B104,0)</f>
        <v>0</v>
      </c>
      <c r="S104">
        <f>IF(A104&gt;=$H$10,SUM('Water levels-Transport (road)'!$D$162:$M$169)*'Summary of area'!$E$37*B104+SUM('Water levels-Transport (road)'!$D$215:$M$222)*'Summary of area'!$E$37*B104,0)</f>
        <v>0</v>
      </c>
      <c r="T104">
        <f>IF(A104=$H$10,SUM('Water levels-Transport (rail)'!$D$137:$M$138)*'Summary of area'!$E$38*Sheet1!B104,0)</f>
        <v>0</v>
      </c>
      <c r="U104">
        <f>IF(A104&gt;=$H$10,SUM('Water levels-Transport (rail)'!$D$139:$M$146)*'Summary of area'!$E$38*B104+SUM('Water levels-Transport (rail)'!$D$165:$M$172)*'Summary of area'!$E$38*B104,0)</f>
        <v>0</v>
      </c>
      <c r="V104">
        <f>IF(A104=$H$10,SUM('Food production'!$D$256:$M$257)*'Summary of area'!$E$39*Sheet1!B104,0)</f>
        <v>0</v>
      </c>
      <c r="W104">
        <f>IF(A104&gt;=$H$10,SUM('Food production'!$D$258:$M$265)*'Summary of area'!$E$39*Sheet1!B104,0)</f>
        <v>0</v>
      </c>
      <c r="X104">
        <f>IF(A104=$H$10,SUM('Energy (direct)'!$D$85:$M$86)*'Summary of area'!$E$40*B104,0)</f>
        <v>0</v>
      </c>
      <c r="Y104">
        <f>IF(A104&gt;=$H$10,SUM('Energy (direct)'!$D$87:$M$94)*'Summary of area'!$E$40*Sheet1!B104,0)</f>
        <v>0</v>
      </c>
      <c r="Z104">
        <f>IF(A104=$H$10,SUM('Energy (indirect)'!$D$158:$M$159)*'Summary of area'!$E$41*Sheet1!B104,0)</f>
        <v>0</v>
      </c>
      <c r="AA104">
        <f>IF(A104&gt;=$H$10,SUM('Energy (indirect)'!$D$160:$M$167)*'Summary of area'!$E$41*B104,0)</f>
        <v>0</v>
      </c>
      <c r="AB104">
        <f>IF(A104=$H$10,SUM('Designated biodiversity sites'!$D$123:$M$124)*'Summary of area'!$E$42*Sheet1!B104+'Biodiversity - non-designated'!O168*'Summary of area'!$E$43*Sheet1!B104,0)</f>
        <v>0</v>
      </c>
      <c r="AC104">
        <f>IF(A104&gt;=$H$10,SUM('Designated biodiversity sites'!$D$125:$M$132)*'Summary of area'!$E$42*Sheet1!B104+'Biodiversity - non-designated'!O168*'Summary of area'!$E$43*Sheet1!B104,0)</f>
        <v>0</v>
      </c>
      <c r="AD104">
        <f>IF(A104=$H$10,SUM('Water supply'!$D$144:$M$145)*'Summary of area'!$E$44*Sheet1!B104,0)</f>
        <v>0</v>
      </c>
      <c r="AE104">
        <f>IF(A104&gt;=$H$10,SUM('Water supply'!$D$146:$M$153)*'Summary of area'!$E$44*B104,0)</f>
        <v>0</v>
      </c>
      <c r="AF104">
        <f>IF(A104=$H$10,SUM(Heritage!$D$221:$M$222)*'Summary of area'!$E$46*B104,0)</f>
        <v>0</v>
      </c>
      <c r="AG104">
        <f>IF(A104&gt;=$H$10,SUM(Heritage!$D$223:$M$230)*'Summary of area'!$E$46*Sheet1!B104,0)</f>
        <v>0</v>
      </c>
      <c r="AH104">
        <f>IF(A104=$H$10,SUM('Recreation and tourism'!$D$109:$M$110)*'Summary of area'!$E$45*Sheet1!B104,0)</f>
        <v>0</v>
      </c>
      <c r="AI104">
        <f>IF(A104&gt;=$H$10,SUM('Recreation and tourism'!$D$111:$M$118)*'Summary of area'!$E$45*Sheet1!B104,0)</f>
        <v>0</v>
      </c>
    </row>
    <row r="105" spans="1:35" ht="15.75" thickBot="1">
      <c r="A105" s="134">
        <f t="shared" si="4"/>
        <v>90</v>
      </c>
      <c r="B105" s="108">
        <f t="shared" si="5"/>
        <v>0.06505136494406699</v>
      </c>
      <c r="C105" s="137">
        <f>SUM($B$15:B105)</f>
        <v>29.29402965085485</v>
      </c>
      <c r="D105" s="136"/>
      <c r="G105">
        <f>IF(A105&gt;=$H$10,Carbon!$F$33*'Summary of area'!$E$31*B105,0)</f>
        <v>0</v>
      </c>
      <c r="H105">
        <f>IF(A105=$H$10,SUM('Water levels-Residential'!$D$53:$M$54)*'Summary of area'!$E$32*B105,0)</f>
        <v>0</v>
      </c>
      <c r="I105">
        <f>IF(A105&gt;=$H$10,SUM('Water levels-Residential'!$D$55:$M$62)*'Summary of area'!$E$32*B105,0)</f>
        <v>0</v>
      </c>
      <c r="J105">
        <f>IF(A105=$H$10,SUM('Water levels-Business'!$D$87:$M$88)*'Summary of area'!$E$33*B105,0)</f>
        <v>0</v>
      </c>
      <c r="K105">
        <f>IF(A105&gt;=$H$10,SUM('Water levels-Business'!$D$89:$M$96)*'Summary of area'!$E$33*B105,0)</f>
        <v>0</v>
      </c>
      <c r="L105">
        <f>IF(A105=$H$10,SUM('Water levels-Social Infra'!$D$169:$M$170)*'Summary of area'!$E$34*B105,0)</f>
        <v>0</v>
      </c>
      <c r="M105">
        <f>IF(A105&gt;=$H$10,SUM('Water levels-Social Infra'!$D$171:$M$178)*'Summary of area'!$E$34*B105,0)</f>
        <v>0</v>
      </c>
      <c r="N105">
        <f>IF(A105=$H$10,SUM('Water levels-Emergency'!$D$152:$M$153)*'Summary of area'!$E$35*B105,0)</f>
        <v>0</v>
      </c>
      <c r="O105">
        <f>IF(A105&gt;=$H$10,SUM('Water levels-Emergency'!$D$154:$M$161)*'Summary of area'!$E$35*B105,0)</f>
        <v>0</v>
      </c>
      <c r="P105">
        <f>IF(A105=$H$10,SUM('Water levels-Utilities'!$D$189:$M$190)*'Summary of area'!$E$36*B105,0)</f>
        <v>0</v>
      </c>
      <c r="Q105">
        <f>IF(A105&gt;=$H$10,SUM('Water levels-Utilities'!$D$191:$M$198)*'Summary of area'!$E$36*B105,0)</f>
        <v>0</v>
      </c>
      <c r="R105">
        <f>IF(A105=$H$10,SUM('Water levels-Transport (road)'!$D$160:$M$161)*'Summary of area'!$E$37*B105,0)</f>
        <v>0</v>
      </c>
      <c r="S105">
        <f>IF(A105&gt;=$H$10,SUM('Water levels-Transport (road)'!$D$162:$M$169)*'Summary of area'!$E$37*B105+SUM('Water levels-Transport (road)'!$D$215:$M$222)*'Summary of area'!$E$37*B105,0)</f>
        <v>0</v>
      </c>
      <c r="T105">
        <f>IF(A105=$H$10,SUM('Water levels-Transport (rail)'!$D$137:$M$138)*'Summary of area'!$E$38*Sheet1!B105,0)</f>
        <v>0</v>
      </c>
      <c r="U105">
        <f>IF(A105&gt;=$H$10,SUM('Water levels-Transport (rail)'!$D$139:$M$146)*'Summary of area'!$E$38*B105+SUM('Water levels-Transport (rail)'!$D$165:$M$172)*'Summary of area'!$E$38*B105,0)</f>
        <v>0</v>
      </c>
      <c r="V105">
        <f>IF(A105=$H$10,SUM('Food production'!$D$256:$M$257)*'Summary of area'!$E$39*Sheet1!B105,0)</f>
        <v>0</v>
      </c>
      <c r="W105">
        <f>IF(A105&gt;=$H$10,SUM('Food production'!$D$258:$M$265)*'Summary of area'!$E$39*Sheet1!B105,0)</f>
        <v>0</v>
      </c>
      <c r="X105">
        <f>IF(A105=$H$10,SUM('Energy (direct)'!$D$85:$M$86)*'Summary of area'!$E$40*B105,0)</f>
        <v>0</v>
      </c>
      <c r="Y105">
        <f>IF(A105&gt;=$H$10,SUM('Energy (direct)'!$D$87:$M$94)*'Summary of area'!$E$40*Sheet1!B105,0)</f>
        <v>0</v>
      </c>
      <c r="Z105">
        <f>IF(A105=$H$10,SUM('Energy (indirect)'!$D$158:$M$159)*'Summary of area'!$E$41*Sheet1!B105,0)</f>
        <v>0</v>
      </c>
      <c r="AA105">
        <f>IF(A105&gt;=$H$10,SUM('Energy (indirect)'!$D$160:$M$167)*'Summary of area'!$E$41*B105,0)</f>
        <v>0</v>
      </c>
      <c r="AB105">
        <f>IF(A105=$H$10,SUM('Designated biodiversity sites'!$D$123:$M$124)*'Summary of area'!$E$42*Sheet1!B105+'Biodiversity - non-designated'!O169*'Summary of area'!$E$43*Sheet1!B105,0)</f>
        <v>0</v>
      </c>
      <c r="AC105">
        <f>IF(A105&gt;=$H$10,SUM('Designated biodiversity sites'!$D$125:$M$132)*'Summary of area'!$E$42*Sheet1!B105+'Biodiversity - non-designated'!O169*'Summary of area'!$E$43*Sheet1!B105,0)</f>
        <v>0</v>
      </c>
      <c r="AD105">
        <f>IF(A105=$H$10,SUM('Water supply'!$D$144:$M$145)*'Summary of area'!$E$44*Sheet1!B105,0)</f>
        <v>0</v>
      </c>
      <c r="AE105">
        <f>IF(A105&gt;=$H$10,SUM('Water supply'!$D$146:$M$153)*'Summary of area'!$E$44*B105,0)</f>
        <v>0</v>
      </c>
      <c r="AF105">
        <f>IF(A105=$H$10,SUM(Heritage!$D$221:$M$222)*'Summary of area'!$E$46*B105,0)</f>
        <v>0</v>
      </c>
      <c r="AG105">
        <f>IF(A105&gt;=$H$10,SUM(Heritage!$D$223:$M$230)*'Summary of area'!$E$46*Sheet1!B105,0)</f>
        <v>0</v>
      </c>
      <c r="AH105">
        <f>IF(A105=$H$10,SUM('Recreation and tourism'!$D$109:$M$110)*'Summary of area'!$E$45*Sheet1!B105,0)</f>
        <v>0</v>
      </c>
      <c r="AI105">
        <f>IF(A105&gt;=$H$10,SUM('Recreation and tourism'!$D$111:$M$118)*'Summary of area'!$E$45*Sheet1!B105,0)</f>
        <v>0</v>
      </c>
    </row>
    <row r="106" spans="1:35" ht="15.75" thickBot="1">
      <c r="A106" s="134">
        <f t="shared" si="4"/>
        <v>91</v>
      </c>
      <c r="B106" s="108">
        <f t="shared" si="5"/>
        <v>0.06346474628689464</v>
      </c>
      <c r="C106" s="137">
        <f>SUM($B$15:B106)</f>
        <v>29.357494397141743</v>
      </c>
      <c r="D106" s="136"/>
      <c r="G106">
        <f>IF(A106&gt;=$H$10,Carbon!$F$33*'Summary of area'!$E$31*B106,0)</f>
        <v>0</v>
      </c>
      <c r="H106">
        <f>IF(A106=$H$10,SUM('Water levels-Residential'!$D$53:$M$54)*'Summary of area'!$E$32*B106,0)</f>
        <v>0</v>
      </c>
      <c r="I106">
        <f>IF(A106&gt;=$H$10,SUM('Water levels-Residential'!$D$55:$M$62)*'Summary of area'!$E$32*B106,0)</f>
        <v>0</v>
      </c>
      <c r="J106">
        <f>IF(A106=$H$10,SUM('Water levels-Business'!$D$87:$M$88)*'Summary of area'!$E$33*B106,0)</f>
        <v>0</v>
      </c>
      <c r="K106">
        <f>IF(A106&gt;=$H$10,SUM('Water levels-Business'!$D$89:$M$96)*'Summary of area'!$E$33*B106,0)</f>
        <v>0</v>
      </c>
      <c r="L106">
        <f>IF(A106=$H$10,SUM('Water levels-Social Infra'!$D$169:$M$170)*'Summary of area'!$E$34*B106,0)</f>
        <v>0</v>
      </c>
      <c r="M106">
        <f>IF(A106&gt;=$H$10,SUM('Water levels-Social Infra'!$D$171:$M$178)*'Summary of area'!$E$34*B106,0)</f>
        <v>0</v>
      </c>
      <c r="N106">
        <f>IF(A106=$H$10,SUM('Water levels-Emergency'!$D$152:$M$153)*'Summary of area'!$E$35*B106,0)</f>
        <v>0</v>
      </c>
      <c r="O106">
        <f>IF(A106&gt;=$H$10,SUM('Water levels-Emergency'!$D$154:$M$161)*'Summary of area'!$E$35*B106,0)</f>
        <v>0</v>
      </c>
      <c r="P106">
        <f>IF(A106=$H$10,SUM('Water levels-Utilities'!$D$189:$M$190)*'Summary of area'!$E$36*B106,0)</f>
        <v>0</v>
      </c>
      <c r="Q106">
        <f>IF(A106&gt;=$H$10,SUM('Water levels-Utilities'!$D$191:$M$198)*'Summary of area'!$E$36*B106,0)</f>
        <v>0</v>
      </c>
      <c r="R106">
        <f>IF(A106=$H$10,SUM('Water levels-Transport (road)'!$D$160:$M$161)*'Summary of area'!$E$37*B106,0)</f>
        <v>0</v>
      </c>
      <c r="S106">
        <f>IF(A106&gt;=$H$10,SUM('Water levels-Transport (road)'!$D$162:$M$169)*'Summary of area'!$E$37*B106+SUM('Water levels-Transport (road)'!$D$215:$M$222)*'Summary of area'!$E$37*B106,0)</f>
        <v>0</v>
      </c>
      <c r="T106">
        <f>IF(A106=$H$10,SUM('Water levels-Transport (rail)'!$D$137:$M$138)*'Summary of area'!$E$38*Sheet1!B106,0)</f>
        <v>0</v>
      </c>
      <c r="U106">
        <f>IF(A106&gt;=$H$10,SUM('Water levels-Transport (rail)'!$D$139:$M$146)*'Summary of area'!$E$38*B106+SUM('Water levels-Transport (rail)'!$D$165:$M$172)*'Summary of area'!$E$38*B106,0)</f>
        <v>0</v>
      </c>
      <c r="V106">
        <f>IF(A106=$H$10,SUM('Food production'!$D$256:$M$257)*'Summary of area'!$E$39*Sheet1!B106,0)</f>
        <v>0</v>
      </c>
      <c r="W106">
        <f>IF(A106&gt;=$H$10,SUM('Food production'!$D$258:$M$265)*'Summary of area'!$E$39*Sheet1!B106,0)</f>
        <v>0</v>
      </c>
      <c r="X106">
        <f>IF(A106=$H$10,SUM('Energy (direct)'!$D$85:$M$86)*'Summary of area'!$E$40*B106,0)</f>
        <v>0</v>
      </c>
      <c r="Y106">
        <f>IF(A106&gt;=$H$10,SUM('Energy (direct)'!$D$87:$M$94)*'Summary of area'!$E$40*Sheet1!B106,0)</f>
        <v>0</v>
      </c>
      <c r="Z106">
        <f>IF(A106=$H$10,SUM('Energy (indirect)'!$D$158:$M$159)*'Summary of area'!$E$41*Sheet1!B106,0)</f>
        <v>0</v>
      </c>
      <c r="AA106">
        <f>IF(A106&gt;=$H$10,SUM('Energy (indirect)'!$D$160:$M$167)*'Summary of area'!$E$41*B106,0)</f>
        <v>0</v>
      </c>
      <c r="AB106">
        <f>IF(A106=$H$10,SUM('Designated biodiversity sites'!$D$123:$M$124)*'Summary of area'!$E$42*Sheet1!B106+'Biodiversity - non-designated'!O170*'Summary of area'!$E$43*Sheet1!B106,0)</f>
        <v>0</v>
      </c>
      <c r="AC106">
        <f>IF(A106&gt;=$H$10,SUM('Designated biodiversity sites'!$D$125:$M$132)*'Summary of area'!$E$42*Sheet1!B106+'Biodiversity - non-designated'!O170*'Summary of area'!$E$43*Sheet1!B106,0)</f>
        <v>0</v>
      </c>
      <c r="AD106">
        <f>IF(A106=$H$10,SUM('Water supply'!$D$144:$M$145)*'Summary of area'!$E$44*Sheet1!B106,0)</f>
        <v>0</v>
      </c>
      <c r="AE106">
        <f>IF(A106&gt;=$H$10,SUM('Water supply'!$D$146:$M$153)*'Summary of area'!$E$44*B106,0)</f>
        <v>0</v>
      </c>
      <c r="AF106">
        <f>IF(A106=$H$10,SUM(Heritage!$D$221:$M$222)*'Summary of area'!$E$46*B106,0)</f>
        <v>0</v>
      </c>
      <c r="AG106">
        <f>IF(A106&gt;=$H$10,SUM(Heritage!$D$223:$M$230)*'Summary of area'!$E$46*Sheet1!B106,0)</f>
        <v>0</v>
      </c>
      <c r="AH106">
        <f>IF(A106=$H$10,SUM('Recreation and tourism'!$D$109:$M$110)*'Summary of area'!$E$45*Sheet1!B106,0)</f>
        <v>0</v>
      </c>
      <c r="AI106">
        <f>IF(A106&gt;=$H$10,SUM('Recreation and tourism'!$D$111:$M$118)*'Summary of area'!$E$45*Sheet1!B106,0)</f>
        <v>0</v>
      </c>
    </row>
    <row r="107" spans="1:35" ht="15.75" thickBot="1">
      <c r="A107" s="134">
        <f t="shared" si="4"/>
        <v>92</v>
      </c>
      <c r="B107" s="108">
        <f t="shared" si="5"/>
        <v>0.06191682564575087</v>
      </c>
      <c r="C107" s="137">
        <f>SUM($B$15:B107)</f>
        <v>29.41941122278749</v>
      </c>
      <c r="D107" s="136"/>
      <c r="G107">
        <f>IF(A107&gt;=$H$10,Carbon!$F$33*'Summary of area'!$E$31*B107,0)</f>
        <v>0</v>
      </c>
      <c r="H107">
        <f>IF(A107=$H$10,SUM('Water levels-Residential'!$D$53:$M$54)*'Summary of area'!$E$32*B107,0)</f>
        <v>0</v>
      </c>
      <c r="I107">
        <f>IF(A107&gt;=$H$10,SUM('Water levels-Residential'!$D$55:$M$62)*'Summary of area'!$E$32*B107,0)</f>
        <v>0</v>
      </c>
      <c r="J107">
        <f>IF(A107=$H$10,SUM('Water levels-Business'!$D$87:$M$88)*'Summary of area'!$E$33*B107,0)</f>
        <v>0</v>
      </c>
      <c r="K107">
        <f>IF(A107&gt;=$H$10,SUM('Water levels-Business'!$D$89:$M$96)*'Summary of area'!$E$33*B107,0)</f>
        <v>0</v>
      </c>
      <c r="L107">
        <f>IF(A107=$H$10,SUM('Water levels-Social Infra'!$D$169:$M$170)*'Summary of area'!$E$34*B107,0)</f>
        <v>0</v>
      </c>
      <c r="M107">
        <f>IF(A107&gt;=$H$10,SUM('Water levels-Social Infra'!$D$171:$M$178)*'Summary of area'!$E$34*B107,0)</f>
        <v>0</v>
      </c>
      <c r="N107">
        <f>IF(A107=$H$10,SUM('Water levels-Emergency'!$D$152:$M$153)*'Summary of area'!$E$35*B107,0)</f>
        <v>0</v>
      </c>
      <c r="O107">
        <f>IF(A107&gt;=$H$10,SUM('Water levels-Emergency'!$D$154:$M$161)*'Summary of area'!$E$35*B107,0)</f>
        <v>0</v>
      </c>
      <c r="P107">
        <f>IF(A107=$H$10,SUM('Water levels-Utilities'!$D$189:$M$190)*'Summary of area'!$E$36*B107,0)</f>
        <v>0</v>
      </c>
      <c r="Q107">
        <f>IF(A107&gt;=$H$10,SUM('Water levels-Utilities'!$D$191:$M$198)*'Summary of area'!$E$36*B107,0)</f>
        <v>0</v>
      </c>
      <c r="R107">
        <f>IF(A107=$H$10,SUM('Water levels-Transport (road)'!$D$160:$M$161)*'Summary of area'!$E$37*B107,0)</f>
        <v>0</v>
      </c>
      <c r="S107">
        <f>IF(A107&gt;=$H$10,SUM('Water levels-Transport (road)'!$D$162:$M$169)*'Summary of area'!$E$37*B107+SUM('Water levels-Transport (road)'!$D$215:$M$222)*'Summary of area'!$E$37*B107,0)</f>
        <v>0</v>
      </c>
      <c r="T107">
        <f>IF(A107=$H$10,SUM('Water levels-Transport (rail)'!$D$137:$M$138)*'Summary of area'!$E$38*Sheet1!B107,0)</f>
        <v>0</v>
      </c>
      <c r="U107">
        <f>IF(A107&gt;=$H$10,SUM('Water levels-Transport (rail)'!$D$139:$M$146)*'Summary of area'!$E$38*B107+SUM('Water levels-Transport (rail)'!$D$165:$M$172)*'Summary of area'!$E$38*B107,0)</f>
        <v>0</v>
      </c>
      <c r="V107">
        <f>IF(A107=$H$10,SUM('Food production'!$D$256:$M$257)*'Summary of area'!$E$39*Sheet1!B107,0)</f>
        <v>0</v>
      </c>
      <c r="W107">
        <f>IF(A107&gt;=$H$10,SUM('Food production'!$D$258:$M$265)*'Summary of area'!$E$39*Sheet1!B107,0)</f>
        <v>0</v>
      </c>
      <c r="X107">
        <f>IF(A107=$H$10,SUM('Energy (direct)'!$D$85:$M$86)*'Summary of area'!$E$40*B107,0)</f>
        <v>0</v>
      </c>
      <c r="Y107">
        <f>IF(A107&gt;=$H$10,SUM('Energy (direct)'!$D$87:$M$94)*'Summary of area'!$E$40*Sheet1!B107,0)</f>
        <v>0</v>
      </c>
      <c r="Z107">
        <f>IF(A107=$H$10,SUM('Energy (indirect)'!$D$158:$M$159)*'Summary of area'!$E$41*Sheet1!B107,0)</f>
        <v>0</v>
      </c>
      <c r="AA107">
        <f>IF(A107&gt;=$H$10,SUM('Energy (indirect)'!$D$160:$M$167)*'Summary of area'!$E$41*B107,0)</f>
        <v>0</v>
      </c>
      <c r="AB107">
        <f>IF(A107=$H$10,SUM('Designated biodiversity sites'!$D$123:$M$124)*'Summary of area'!$E$42*Sheet1!B107+'Biodiversity - non-designated'!O171*'Summary of area'!$E$43*Sheet1!B107,0)</f>
        <v>0</v>
      </c>
      <c r="AC107">
        <f>IF(A107&gt;=$H$10,SUM('Designated biodiversity sites'!$D$125:$M$132)*'Summary of area'!$E$42*Sheet1!B107+'Biodiversity - non-designated'!O171*'Summary of area'!$E$43*Sheet1!B107,0)</f>
        <v>0</v>
      </c>
      <c r="AD107">
        <f>IF(A107=$H$10,SUM('Water supply'!$D$144:$M$145)*'Summary of area'!$E$44*Sheet1!B107,0)</f>
        <v>0</v>
      </c>
      <c r="AE107">
        <f>IF(A107&gt;=$H$10,SUM('Water supply'!$D$146:$M$153)*'Summary of area'!$E$44*B107,0)</f>
        <v>0</v>
      </c>
      <c r="AF107">
        <f>IF(A107=$H$10,SUM(Heritage!$D$221:$M$222)*'Summary of area'!$E$46*B107,0)</f>
        <v>0</v>
      </c>
      <c r="AG107">
        <f>IF(A107&gt;=$H$10,SUM(Heritage!$D$223:$M$230)*'Summary of area'!$E$46*Sheet1!B107,0)</f>
        <v>0</v>
      </c>
      <c r="AH107">
        <f>IF(A107=$H$10,SUM('Recreation and tourism'!$D$109:$M$110)*'Summary of area'!$E$45*Sheet1!B107,0)</f>
        <v>0</v>
      </c>
      <c r="AI107">
        <f>IF(A107&gt;=$H$10,SUM('Recreation and tourism'!$D$111:$M$118)*'Summary of area'!$E$45*Sheet1!B107,0)</f>
        <v>0</v>
      </c>
    </row>
    <row r="108" spans="1:35" ht="15.75" thickBot="1">
      <c r="A108" s="134">
        <f t="shared" si="4"/>
        <v>93</v>
      </c>
      <c r="B108" s="108">
        <f t="shared" si="5"/>
        <v>0.06040665916658622</v>
      </c>
      <c r="C108" s="137">
        <f>SUM($B$15:B108)</f>
        <v>29.479817881954077</v>
      </c>
      <c r="D108" s="136"/>
      <c r="G108">
        <f>IF(A108&gt;=$H$10,Carbon!$F$33*'Summary of area'!$E$31*B108,0)</f>
        <v>0</v>
      </c>
      <c r="H108">
        <f>IF(A108=$H$10,SUM('Water levels-Residential'!$D$53:$M$54)*'Summary of area'!$E$32*B108,0)</f>
        <v>0</v>
      </c>
      <c r="I108">
        <f>IF(A108&gt;=$H$10,SUM('Water levels-Residential'!$D$55:$M$62)*'Summary of area'!$E$32*B108,0)</f>
        <v>0</v>
      </c>
      <c r="J108">
        <f>IF(A108=$H$10,SUM('Water levels-Business'!$D$87:$M$88)*'Summary of area'!$E$33*B108,0)</f>
        <v>0</v>
      </c>
      <c r="K108">
        <f>IF(A108&gt;=$H$10,SUM('Water levels-Business'!$D$89:$M$96)*'Summary of area'!$E$33*B108,0)</f>
        <v>0</v>
      </c>
      <c r="L108">
        <f>IF(A108=$H$10,SUM('Water levels-Social Infra'!$D$169:$M$170)*'Summary of area'!$E$34*B108,0)</f>
        <v>0</v>
      </c>
      <c r="M108">
        <f>IF(A108&gt;=$H$10,SUM('Water levels-Social Infra'!$D$171:$M$178)*'Summary of area'!$E$34*B108,0)</f>
        <v>0</v>
      </c>
      <c r="N108">
        <f>IF(A108=$H$10,SUM('Water levels-Emergency'!$D$152:$M$153)*'Summary of area'!$E$35*B108,0)</f>
        <v>0</v>
      </c>
      <c r="O108">
        <f>IF(A108&gt;=$H$10,SUM('Water levels-Emergency'!$D$154:$M$161)*'Summary of area'!$E$35*B108,0)</f>
        <v>0</v>
      </c>
      <c r="P108">
        <f>IF(A108=$H$10,SUM('Water levels-Utilities'!$D$189:$M$190)*'Summary of area'!$E$36*B108,0)</f>
        <v>0</v>
      </c>
      <c r="Q108">
        <f>IF(A108&gt;=$H$10,SUM('Water levels-Utilities'!$D$191:$M$198)*'Summary of area'!$E$36*B108,0)</f>
        <v>0</v>
      </c>
      <c r="R108">
        <f>IF(A108=$H$10,SUM('Water levels-Transport (road)'!$D$160:$M$161)*'Summary of area'!$E$37*B108,0)</f>
        <v>0</v>
      </c>
      <c r="S108">
        <f>IF(A108&gt;=$H$10,SUM('Water levels-Transport (road)'!$D$162:$M$169)*'Summary of area'!$E$37*B108+SUM('Water levels-Transport (road)'!$D$215:$M$222)*'Summary of area'!$E$37*B108,0)</f>
        <v>0</v>
      </c>
      <c r="T108">
        <f>IF(A108=$H$10,SUM('Water levels-Transport (rail)'!$D$137:$M$138)*'Summary of area'!$E$38*Sheet1!B108,0)</f>
        <v>0</v>
      </c>
      <c r="U108">
        <f>IF(A108&gt;=$H$10,SUM('Water levels-Transport (rail)'!$D$139:$M$146)*'Summary of area'!$E$38*B108+SUM('Water levels-Transport (rail)'!$D$165:$M$172)*'Summary of area'!$E$38*B108,0)</f>
        <v>0</v>
      </c>
      <c r="V108">
        <f>IF(A108=$H$10,SUM('Food production'!$D$256:$M$257)*'Summary of area'!$E$39*Sheet1!B108,0)</f>
        <v>0</v>
      </c>
      <c r="W108">
        <f>IF(A108&gt;=$H$10,SUM('Food production'!$D$258:$M$265)*'Summary of area'!$E$39*Sheet1!B108,0)</f>
        <v>0</v>
      </c>
      <c r="X108">
        <f>IF(A108=$H$10,SUM('Energy (direct)'!$D$85:$M$86)*'Summary of area'!$E$40*B108,0)</f>
        <v>0</v>
      </c>
      <c r="Y108">
        <f>IF(A108&gt;=$H$10,SUM('Energy (direct)'!$D$87:$M$94)*'Summary of area'!$E$40*Sheet1!B108,0)</f>
        <v>0</v>
      </c>
      <c r="Z108">
        <f>IF(A108=$H$10,SUM('Energy (indirect)'!$D$158:$M$159)*'Summary of area'!$E$41*Sheet1!B108,0)</f>
        <v>0</v>
      </c>
      <c r="AA108">
        <f>IF(A108&gt;=$H$10,SUM('Energy (indirect)'!$D$160:$M$167)*'Summary of area'!$E$41*B108,0)</f>
        <v>0</v>
      </c>
      <c r="AB108">
        <f>IF(A108=$H$10,SUM('Designated biodiversity sites'!$D$123:$M$124)*'Summary of area'!$E$42*Sheet1!B108+'Biodiversity - non-designated'!O172*'Summary of area'!$E$43*Sheet1!B108,0)</f>
        <v>0</v>
      </c>
      <c r="AC108">
        <f>IF(A108&gt;=$H$10,SUM('Designated biodiversity sites'!$D$125:$M$132)*'Summary of area'!$E$42*Sheet1!B108+'Biodiversity - non-designated'!O172*'Summary of area'!$E$43*Sheet1!B108,0)</f>
        <v>0</v>
      </c>
      <c r="AD108">
        <f>IF(A108=$H$10,SUM('Water supply'!$D$144:$M$145)*'Summary of area'!$E$44*Sheet1!B108,0)</f>
        <v>0</v>
      </c>
      <c r="AE108">
        <f>IF(A108&gt;=$H$10,SUM('Water supply'!$D$146:$M$153)*'Summary of area'!$E$44*B108,0)</f>
        <v>0</v>
      </c>
      <c r="AF108">
        <f>IF(A108=$H$10,SUM(Heritage!$D$221:$M$222)*'Summary of area'!$E$46*B108,0)</f>
        <v>0</v>
      </c>
      <c r="AG108">
        <f>IF(A108&gt;=$H$10,SUM(Heritage!$D$223:$M$230)*'Summary of area'!$E$46*Sheet1!B108,0)</f>
        <v>0</v>
      </c>
      <c r="AH108">
        <f>IF(A108=$H$10,SUM('Recreation and tourism'!$D$109:$M$110)*'Summary of area'!$E$45*Sheet1!B108,0)</f>
        <v>0</v>
      </c>
      <c r="AI108">
        <f>IF(A108&gt;=$H$10,SUM('Recreation and tourism'!$D$111:$M$118)*'Summary of area'!$E$45*Sheet1!B108,0)</f>
        <v>0</v>
      </c>
    </row>
    <row r="109" spans="1:35" ht="15.75" thickBot="1">
      <c r="A109" s="134">
        <f t="shared" si="4"/>
        <v>94</v>
      </c>
      <c r="B109" s="108">
        <f t="shared" si="5"/>
        <v>0.05893332601618168</v>
      </c>
      <c r="C109" s="137">
        <f>SUM($B$15:B109)</f>
        <v>29.538751207970257</v>
      </c>
      <c r="D109" s="136"/>
      <c r="G109">
        <f>IF(A109&gt;=$H$10,Carbon!$F$33*'Summary of area'!$E$31*B109,0)</f>
        <v>0</v>
      </c>
      <c r="H109">
        <f>IF(A109=$H$10,SUM('Water levels-Residential'!$D$53:$M$54)*'Summary of area'!$E$32*B109,0)</f>
        <v>0</v>
      </c>
      <c r="I109">
        <f>IF(A109&gt;=$H$10,SUM('Water levels-Residential'!$D$55:$M$62)*'Summary of area'!$E$32*B109,0)</f>
        <v>0</v>
      </c>
      <c r="J109">
        <f>IF(A109=$H$10,SUM('Water levels-Business'!$D$87:$M$88)*'Summary of area'!$E$33*B109,0)</f>
        <v>0</v>
      </c>
      <c r="K109">
        <f>IF(A109&gt;=$H$10,SUM('Water levels-Business'!$D$89:$M$96)*'Summary of area'!$E$33*B109,0)</f>
        <v>0</v>
      </c>
      <c r="L109">
        <f>IF(A109=$H$10,SUM('Water levels-Social Infra'!$D$169:$M$170)*'Summary of area'!$E$34*B109,0)</f>
        <v>0</v>
      </c>
      <c r="M109">
        <f>IF(A109&gt;=$H$10,SUM('Water levels-Social Infra'!$D$171:$M$178)*'Summary of area'!$E$34*B109,0)</f>
        <v>0</v>
      </c>
      <c r="N109">
        <f>IF(A109=$H$10,SUM('Water levels-Emergency'!$D$152:$M$153)*'Summary of area'!$E$35*B109,0)</f>
        <v>0</v>
      </c>
      <c r="O109">
        <f>IF(A109&gt;=$H$10,SUM('Water levels-Emergency'!$D$154:$M$161)*'Summary of area'!$E$35*B109,0)</f>
        <v>0</v>
      </c>
      <c r="P109">
        <f>IF(A109=$H$10,SUM('Water levels-Utilities'!$D$189:$M$190)*'Summary of area'!$E$36*B109,0)</f>
        <v>0</v>
      </c>
      <c r="Q109">
        <f>IF(A109&gt;=$H$10,SUM('Water levels-Utilities'!$D$191:$M$198)*'Summary of area'!$E$36*B109,0)</f>
        <v>0</v>
      </c>
      <c r="R109">
        <f>IF(A109=$H$10,SUM('Water levels-Transport (road)'!$D$160:$M$161)*'Summary of area'!$E$37*B109,0)</f>
        <v>0</v>
      </c>
      <c r="S109">
        <f>IF(A109&gt;=$H$10,SUM('Water levels-Transport (road)'!$D$162:$M$169)*'Summary of area'!$E$37*B109+SUM('Water levels-Transport (road)'!$D$215:$M$222)*'Summary of area'!$E$37*B109,0)</f>
        <v>0</v>
      </c>
      <c r="T109">
        <f>IF(A109=$H$10,SUM('Water levels-Transport (rail)'!$D$137:$M$138)*'Summary of area'!$E$38*Sheet1!B109,0)</f>
        <v>0</v>
      </c>
      <c r="U109">
        <f>IF(A109&gt;=$H$10,SUM('Water levels-Transport (rail)'!$D$139:$M$146)*'Summary of area'!$E$38*B109+SUM('Water levels-Transport (rail)'!$D$165:$M$172)*'Summary of area'!$E$38*B109,0)</f>
        <v>0</v>
      </c>
      <c r="V109">
        <f>IF(A109=$H$10,SUM('Food production'!$D$256:$M$257)*'Summary of area'!$E$39*Sheet1!B109,0)</f>
        <v>0</v>
      </c>
      <c r="W109">
        <f>IF(A109&gt;=$H$10,SUM('Food production'!$D$258:$M$265)*'Summary of area'!$E$39*Sheet1!B109,0)</f>
        <v>0</v>
      </c>
      <c r="X109">
        <f>IF(A109=$H$10,SUM('Energy (direct)'!$D$85:$M$86)*'Summary of area'!$E$40*B109,0)</f>
        <v>0</v>
      </c>
      <c r="Y109">
        <f>IF(A109&gt;=$H$10,SUM('Energy (direct)'!$D$87:$M$94)*'Summary of area'!$E$40*Sheet1!B109,0)</f>
        <v>0</v>
      </c>
      <c r="Z109">
        <f>IF(A109=$H$10,SUM('Energy (indirect)'!$D$158:$M$159)*'Summary of area'!$E$41*Sheet1!B109,0)</f>
        <v>0</v>
      </c>
      <c r="AA109">
        <f>IF(A109&gt;=$H$10,SUM('Energy (indirect)'!$D$160:$M$167)*'Summary of area'!$E$41*B109,0)</f>
        <v>0</v>
      </c>
      <c r="AB109">
        <f>IF(A109=$H$10,SUM('Designated biodiversity sites'!$D$123:$M$124)*'Summary of area'!$E$42*Sheet1!B109+'Biodiversity - non-designated'!O173*'Summary of area'!$E$43*Sheet1!B109,0)</f>
        <v>0</v>
      </c>
      <c r="AC109">
        <f>IF(A109&gt;=$H$10,SUM('Designated biodiversity sites'!$D$125:$M$132)*'Summary of area'!$E$42*Sheet1!B109+'Biodiversity - non-designated'!O173*'Summary of area'!$E$43*Sheet1!B109,0)</f>
        <v>0</v>
      </c>
      <c r="AD109">
        <f>IF(A109=$H$10,SUM('Water supply'!$D$144:$M$145)*'Summary of area'!$E$44*Sheet1!B109,0)</f>
        <v>0</v>
      </c>
      <c r="AE109">
        <f>IF(A109&gt;=$H$10,SUM('Water supply'!$D$146:$M$153)*'Summary of area'!$E$44*B109,0)</f>
        <v>0</v>
      </c>
      <c r="AF109">
        <f>IF(A109=$H$10,SUM(Heritage!$D$221:$M$222)*'Summary of area'!$E$46*B109,0)</f>
        <v>0</v>
      </c>
      <c r="AG109">
        <f>IF(A109&gt;=$H$10,SUM(Heritage!$D$223:$M$230)*'Summary of area'!$E$46*Sheet1!B109,0)</f>
        <v>0</v>
      </c>
      <c r="AH109">
        <f>IF(A109=$H$10,SUM('Recreation and tourism'!$D$109:$M$110)*'Summary of area'!$E$45*Sheet1!B109,0)</f>
        <v>0</v>
      </c>
      <c r="AI109">
        <f>IF(A109&gt;=$H$10,SUM('Recreation and tourism'!$D$111:$M$118)*'Summary of area'!$E$45*Sheet1!B109,0)</f>
        <v>0</v>
      </c>
    </row>
    <row r="110" spans="1:35" ht="15.75" thickBot="1">
      <c r="A110" s="134">
        <f t="shared" si="4"/>
        <v>95</v>
      </c>
      <c r="B110" s="108">
        <f t="shared" si="5"/>
        <v>0.05749592782066506</v>
      </c>
      <c r="C110" s="137">
        <f>SUM($B$15:B110)</f>
        <v>29.59624713579092</v>
      </c>
      <c r="D110" s="136"/>
      <c r="G110">
        <f>IF(A110&gt;=$H$10,Carbon!$F$33*'Summary of area'!$E$31*B110,0)</f>
        <v>0</v>
      </c>
      <c r="H110">
        <f>IF(A110=$H$10,SUM('Water levels-Residential'!$D$53:$M$54)*'Summary of area'!$E$32*B110,0)</f>
        <v>0</v>
      </c>
      <c r="I110">
        <f>IF(A110&gt;=$H$10,SUM('Water levels-Residential'!$D$55:$M$62)*'Summary of area'!$E$32*B110,0)</f>
        <v>0</v>
      </c>
      <c r="J110">
        <f>IF(A110=$H$10,SUM('Water levels-Business'!$D$87:$M$88)*'Summary of area'!$E$33*B110,0)</f>
        <v>0</v>
      </c>
      <c r="K110">
        <f>IF(A110&gt;=$H$10,SUM('Water levels-Business'!$D$89:$M$96)*'Summary of area'!$E$33*B110,0)</f>
        <v>0</v>
      </c>
      <c r="L110">
        <f>IF(A110=$H$10,SUM('Water levels-Social Infra'!$D$169:$M$170)*'Summary of area'!$E$34*B110,0)</f>
        <v>0</v>
      </c>
      <c r="M110">
        <f>IF(A110&gt;=$H$10,SUM('Water levels-Social Infra'!$D$171:$M$178)*'Summary of area'!$E$34*B110,0)</f>
        <v>0</v>
      </c>
      <c r="N110">
        <f>IF(A110=$H$10,SUM('Water levels-Emergency'!$D$152:$M$153)*'Summary of area'!$E$35*B110,0)</f>
        <v>0</v>
      </c>
      <c r="O110">
        <f>IF(A110&gt;=$H$10,SUM('Water levels-Emergency'!$D$154:$M$161)*'Summary of area'!$E$35*B110,0)</f>
        <v>0</v>
      </c>
      <c r="P110">
        <f>IF(A110=$H$10,SUM('Water levels-Utilities'!$D$189:$M$190)*'Summary of area'!$E$36*B110,0)</f>
        <v>0</v>
      </c>
      <c r="Q110">
        <f>IF(A110&gt;=$H$10,SUM('Water levels-Utilities'!$D$191:$M$198)*'Summary of area'!$E$36*B110,0)</f>
        <v>0</v>
      </c>
      <c r="R110">
        <f>IF(A110=$H$10,SUM('Water levels-Transport (road)'!$D$160:$M$161)*'Summary of area'!$E$37*B110,0)</f>
        <v>0</v>
      </c>
      <c r="S110">
        <f>IF(A110&gt;=$H$10,SUM('Water levels-Transport (road)'!$D$162:$M$169)*'Summary of area'!$E$37*B110+SUM('Water levels-Transport (road)'!$D$215:$M$222)*'Summary of area'!$E$37*B110,0)</f>
        <v>0</v>
      </c>
      <c r="T110">
        <f>IF(A110=$H$10,SUM('Water levels-Transport (rail)'!$D$137:$M$138)*'Summary of area'!$E$38*Sheet1!B110,0)</f>
        <v>0</v>
      </c>
      <c r="U110">
        <f>IF(A110&gt;=$H$10,SUM('Water levels-Transport (rail)'!$D$139:$M$146)*'Summary of area'!$E$38*B110+SUM('Water levels-Transport (rail)'!$D$165:$M$172)*'Summary of area'!$E$38*B110,0)</f>
        <v>0</v>
      </c>
      <c r="V110">
        <f>IF(A110=$H$10,SUM('Food production'!$D$256:$M$257)*'Summary of area'!$E$39*Sheet1!B110,0)</f>
        <v>0</v>
      </c>
      <c r="W110">
        <f>IF(A110&gt;=$H$10,SUM('Food production'!$D$258:$M$265)*'Summary of area'!$E$39*Sheet1!B110,0)</f>
        <v>0</v>
      </c>
      <c r="X110">
        <f>IF(A110=$H$10,SUM('Energy (direct)'!$D$85:$M$86)*'Summary of area'!$E$40*B110,0)</f>
        <v>0</v>
      </c>
      <c r="Y110">
        <f>IF(A110&gt;=$H$10,SUM('Energy (direct)'!$D$87:$M$94)*'Summary of area'!$E$40*Sheet1!B110,0)</f>
        <v>0</v>
      </c>
      <c r="Z110">
        <f>IF(A110=$H$10,SUM('Energy (indirect)'!$D$158:$M$159)*'Summary of area'!$E$41*Sheet1!B110,0)</f>
        <v>0</v>
      </c>
      <c r="AA110">
        <f>IF(A110&gt;=$H$10,SUM('Energy (indirect)'!$D$160:$M$167)*'Summary of area'!$E$41*B110,0)</f>
        <v>0</v>
      </c>
      <c r="AB110">
        <f>IF(A110=$H$10,SUM('Designated biodiversity sites'!$D$123:$M$124)*'Summary of area'!$E$42*Sheet1!B110+'Biodiversity - non-designated'!O173*'Summary of area'!$E$43*Sheet1!B110,0)</f>
        <v>0</v>
      </c>
      <c r="AC110">
        <f>IF(A110&gt;=$H$10,SUM('Designated biodiversity sites'!$D$125:$M$132)*'Summary of area'!$E$42*Sheet1!B110+'Biodiversity - non-designated'!O173*'Summary of area'!$E$43*Sheet1!B110,0)</f>
        <v>0</v>
      </c>
      <c r="AD110">
        <f>IF(A110=$H$10,SUM('Water supply'!$D$144:$M$145)*'Summary of area'!$E$44*Sheet1!B110,0)</f>
        <v>0</v>
      </c>
      <c r="AE110">
        <f>IF(A110&gt;=$H$10,SUM('Water supply'!$D$146:$M$153)*'Summary of area'!$E$44*B110,0)</f>
        <v>0</v>
      </c>
      <c r="AF110">
        <f>IF(A110=$H$10,SUM(Heritage!$D$221:$M$222)*'Summary of area'!$E$46*B110,0)</f>
        <v>0</v>
      </c>
      <c r="AG110">
        <f>IF(A110&gt;=$H$10,SUM(Heritage!$D$223:$M$230)*'Summary of area'!$E$46*Sheet1!B110,0)</f>
        <v>0</v>
      </c>
      <c r="AH110">
        <f>IF(A110=$H$10,SUM('Recreation and tourism'!$D$109:$M$110)*'Summary of area'!$E$45*Sheet1!B110,0)</f>
        <v>0</v>
      </c>
      <c r="AI110">
        <f>IF(A110&gt;=$H$10,SUM('Recreation and tourism'!$D$111:$M$118)*'Summary of area'!$E$45*Sheet1!B110,0)</f>
        <v>0</v>
      </c>
    </row>
    <row r="111" spans="1:35" ht="15.75" thickBot="1">
      <c r="A111" s="134">
        <f t="shared" si="4"/>
        <v>96</v>
      </c>
      <c r="B111" s="108">
        <f t="shared" si="5"/>
        <v>0.05609358811772201</v>
      </c>
      <c r="C111" s="137">
        <f>SUM($B$15:B111)</f>
        <v>29.652340723908644</v>
      </c>
      <c r="D111" s="136"/>
      <c r="G111">
        <f>IF(A111&gt;=$H$10,Carbon!$F$33*'Summary of area'!$E$31*B111,0)</f>
        <v>0</v>
      </c>
      <c r="H111">
        <f>IF(A111=$H$10,SUM('Water levels-Residential'!$D$53:$M$54)*'Summary of area'!$E$32*B111,0)</f>
        <v>0</v>
      </c>
      <c r="I111">
        <f>IF(A111&gt;=$H$10,SUM('Water levels-Residential'!$D$55:$M$62)*'Summary of area'!$E$32*B111,0)</f>
        <v>0</v>
      </c>
      <c r="J111">
        <f>IF(A111=$H$10,SUM('Water levels-Business'!$D$87:$M$88)*'Summary of area'!$E$33*B111,0)</f>
        <v>0</v>
      </c>
      <c r="K111">
        <f>IF(A111&gt;=$H$10,SUM('Water levels-Business'!$D$89:$M$96)*'Summary of area'!$E$33*B111,0)</f>
        <v>0</v>
      </c>
      <c r="L111">
        <f>IF(A111=$H$10,SUM('Water levels-Social Infra'!$D$169:$M$170)*'Summary of area'!$E$34*B111,0)</f>
        <v>0</v>
      </c>
      <c r="M111">
        <f>IF(A111&gt;=$H$10,SUM('Water levels-Social Infra'!$D$171:$M$178)*'Summary of area'!$E$34*B111,0)</f>
        <v>0</v>
      </c>
      <c r="N111">
        <f>IF(A111=$H$10,SUM('Water levels-Emergency'!$D$152:$M$153)*'Summary of area'!$E$35*B111,0)</f>
        <v>0</v>
      </c>
      <c r="O111">
        <f>IF(A111&gt;=$H$10,SUM('Water levels-Emergency'!$D$154:$M$161)*'Summary of area'!$E$35*B111,0)</f>
        <v>0</v>
      </c>
      <c r="P111">
        <f>IF(A111=$H$10,SUM('Water levels-Utilities'!$D$189:$M$190)*'Summary of area'!$E$36*B111,0)</f>
        <v>0</v>
      </c>
      <c r="Q111">
        <f>IF(A111&gt;=$H$10,SUM('Water levels-Utilities'!$D$191:$M$198)*'Summary of area'!$E$36*B111,0)</f>
        <v>0</v>
      </c>
      <c r="R111">
        <f>IF(A111=$H$10,SUM('Water levels-Transport (road)'!$D$160:$M$161)*'Summary of area'!$E$37*B111,0)</f>
        <v>0</v>
      </c>
      <c r="S111">
        <f>IF(A111&gt;=$H$10,SUM('Water levels-Transport (road)'!$D$162:$M$169)*'Summary of area'!$E$37*B111+SUM('Water levels-Transport (road)'!$D$215:$M$222)*'Summary of area'!$E$37*B111,0)</f>
        <v>0</v>
      </c>
      <c r="T111">
        <f>IF(A111=$H$10,SUM('Water levels-Transport (rail)'!$D$137:$M$138)*'Summary of area'!$E$38*Sheet1!B111,0)</f>
        <v>0</v>
      </c>
      <c r="U111">
        <f>IF(A111&gt;=$H$10,SUM('Water levels-Transport (rail)'!$D$139:$M$146)*'Summary of area'!$E$38*B111+SUM('Water levels-Transport (rail)'!$D$165:$M$172)*'Summary of area'!$E$38*B111,0)</f>
        <v>0</v>
      </c>
      <c r="V111">
        <f>IF(A111=$H$10,SUM('Food production'!$D$256:$M$257)*'Summary of area'!$E$39*Sheet1!B111,0)</f>
        <v>0</v>
      </c>
      <c r="W111">
        <f>IF(A111&gt;=$H$10,SUM('Food production'!$D$258:$M$265)*'Summary of area'!$E$39*Sheet1!B111,0)</f>
        <v>0</v>
      </c>
      <c r="X111">
        <f>IF(A111=$H$10,SUM('Energy (direct)'!$D$85:$M$86)*'Summary of area'!$E$40*B111,0)</f>
        <v>0</v>
      </c>
      <c r="Y111">
        <f>IF(A111&gt;=$H$10,SUM('Energy (direct)'!$D$87:$M$94)*'Summary of area'!$E$40*Sheet1!B111,0)</f>
        <v>0</v>
      </c>
      <c r="Z111">
        <f>IF(A111=$H$10,SUM('Energy (indirect)'!$D$158:$M$159)*'Summary of area'!$E$41*Sheet1!B111,0)</f>
        <v>0</v>
      </c>
      <c r="AA111">
        <f>IF(A111&gt;=$H$10,SUM('Energy (indirect)'!$D$160:$M$167)*'Summary of area'!$E$41*B111,0)</f>
        <v>0</v>
      </c>
      <c r="AB111">
        <f>IF(A111=$H$10,SUM('Designated biodiversity sites'!$D$123:$M$124)*'Summary of area'!$E$42*Sheet1!B111+'Biodiversity - non-designated'!O175*'Summary of area'!$E$43*Sheet1!B111,0)</f>
        <v>0</v>
      </c>
      <c r="AC111">
        <f>IF(A111&gt;=$H$10,SUM('Designated biodiversity sites'!$D$125:$M$132)*'Summary of area'!$E$42*Sheet1!B111+'Biodiversity - non-designated'!O175*'Summary of area'!$E$43*Sheet1!B111,0)</f>
        <v>0</v>
      </c>
      <c r="AD111">
        <f>IF(A111=$H$10,SUM('Water supply'!$D$144:$M$145)*'Summary of area'!$E$44*Sheet1!B111,0)</f>
        <v>0</v>
      </c>
      <c r="AE111">
        <f>IF(A111&gt;=$H$10,SUM('Water supply'!$D$146:$M$153)*'Summary of area'!$E$44*B111,0)</f>
        <v>0</v>
      </c>
      <c r="AF111">
        <f>IF(A111=$H$10,SUM(Heritage!$D$221:$M$222)*'Summary of area'!$E$46*B111,0)</f>
        <v>0</v>
      </c>
      <c r="AG111">
        <f>IF(A111&gt;=$H$10,SUM(Heritage!$D$223:$M$230)*'Summary of area'!$E$46*Sheet1!B111,0)</f>
        <v>0</v>
      </c>
      <c r="AH111">
        <f>IF(A111=$H$10,SUM('Recreation and tourism'!$D$109:$M$110)*'Summary of area'!$E$45*Sheet1!B111,0)</f>
        <v>0</v>
      </c>
      <c r="AI111">
        <f>IF(A111&gt;=$H$10,SUM('Recreation and tourism'!$D$111:$M$118)*'Summary of area'!$E$45*Sheet1!B111,0)</f>
        <v>0</v>
      </c>
    </row>
    <row r="112" spans="1:35" ht="15.75" thickBot="1">
      <c r="A112" s="134">
        <f t="shared" si="4"/>
        <v>97</v>
      </c>
      <c r="B112" s="108">
        <f t="shared" si="5"/>
        <v>0.05472545182216782</v>
      </c>
      <c r="C112" s="137">
        <f>SUM($B$15:B112)</f>
        <v>29.707066175730812</v>
      </c>
      <c r="D112" s="136"/>
      <c r="G112">
        <f>IF(A112&gt;=$H$10,Carbon!$F$33*'Summary of area'!$E$31*B112,0)</f>
        <v>0</v>
      </c>
      <c r="H112">
        <f>IF(A112=$H$10,SUM('Water levels-Residential'!$D$53:$M$54)*'Summary of area'!$E$32*B112,0)</f>
        <v>0</v>
      </c>
      <c r="I112">
        <f>IF(A112&gt;=$H$10,SUM('Water levels-Residential'!$D$55:$M$62)*'Summary of area'!$E$32*B112,0)</f>
        <v>0</v>
      </c>
      <c r="J112">
        <f>IF(A112=$H$10,SUM('Water levels-Business'!$D$87:$M$88)*'Summary of area'!$E$33*B112,0)</f>
        <v>0</v>
      </c>
      <c r="K112">
        <f>IF(A112&gt;=$H$10,SUM('Water levels-Business'!$D$89:$M$96)*'Summary of area'!$E$33*B112,0)</f>
        <v>0</v>
      </c>
      <c r="L112">
        <f>IF(A112=$H$10,SUM('Water levels-Social Infra'!$D$169:$M$170)*'Summary of area'!$E$34*B112,0)</f>
        <v>0</v>
      </c>
      <c r="M112">
        <f>IF(A112&gt;=$H$10,SUM('Water levels-Social Infra'!$D$171:$M$178)*'Summary of area'!$E$34*B112,0)</f>
        <v>0</v>
      </c>
      <c r="N112">
        <f>IF(A112=$H$10,SUM('Water levels-Emergency'!$D$152:$M$153)*'Summary of area'!$E$35*B112,0)</f>
        <v>0</v>
      </c>
      <c r="O112">
        <f>IF(A112&gt;=$H$10,SUM('Water levels-Emergency'!$D$154:$M$161)*'Summary of area'!$E$35*B112,0)</f>
        <v>0</v>
      </c>
      <c r="P112">
        <f>IF(A112=$H$10,SUM('Water levels-Utilities'!$D$189:$M$190)*'Summary of area'!$E$36*B112,0)</f>
        <v>0</v>
      </c>
      <c r="Q112">
        <f>IF(A112&gt;=$H$10,SUM('Water levels-Utilities'!$D$191:$M$198)*'Summary of area'!$E$36*B112,0)</f>
        <v>0</v>
      </c>
      <c r="R112">
        <f>IF(A112=$H$10,SUM('Water levels-Transport (road)'!$D$160:$M$161)*'Summary of area'!$E$37*B112,0)</f>
        <v>0</v>
      </c>
      <c r="S112">
        <f>IF(A112&gt;=$H$10,SUM('Water levels-Transport (road)'!$D$162:$M$169)*'Summary of area'!$E$37*B112+SUM('Water levels-Transport (road)'!$D$215:$M$222)*'Summary of area'!$E$37*B112,0)</f>
        <v>0</v>
      </c>
      <c r="T112">
        <f>IF(A112=$H$10,SUM('Water levels-Transport (rail)'!$D$137:$M$138)*'Summary of area'!$E$38*Sheet1!B112,0)</f>
        <v>0</v>
      </c>
      <c r="U112">
        <f>IF(A112&gt;=$H$10,SUM('Water levels-Transport (rail)'!$D$139:$M$146)*'Summary of area'!$E$38*B112+SUM('Water levels-Transport (rail)'!$D$165:$M$172)*'Summary of area'!$E$38*B112,0)</f>
        <v>0</v>
      </c>
      <c r="V112">
        <f>IF(A112=$H$10,SUM('Food production'!$D$256:$M$257)*'Summary of area'!$E$39*Sheet1!B112,0)</f>
        <v>0</v>
      </c>
      <c r="W112">
        <f>IF(A112&gt;=$H$10,SUM('Food production'!$D$258:$M$265)*'Summary of area'!$E$39*Sheet1!B112,0)</f>
        <v>0</v>
      </c>
      <c r="X112">
        <f>IF(A112=$H$10,SUM('Energy (direct)'!$D$85:$M$86)*'Summary of area'!$E$40*B112,0)</f>
        <v>0</v>
      </c>
      <c r="Y112">
        <f>IF(A112&gt;=$H$10,SUM('Energy (direct)'!$D$87:$M$94)*'Summary of area'!$E$40*Sheet1!B112,0)</f>
        <v>0</v>
      </c>
      <c r="Z112">
        <f>IF(A112=$H$10,SUM('Energy (indirect)'!$D$158:$M$159)*'Summary of area'!$E$41*Sheet1!B112,0)</f>
        <v>0</v>
      </c>
      <c r="AA112">
        <f>IF(A112&gt;=$H$10,SUM('Energy (indirect)'!$D$160:$M$167)*'Summary of area'!$E$41*B112,0)</f>
        <v>0</v>
      </c>
      <c r="AB112">
        <f>IF(A112=$H$10,SUM('Designated biodiversity sites'!$D$123:$M$124)*'Summary of area'!$E$42*Sheet1!B112+'Biodiversity - non-designated'!O176*'Summary of area'!$E$43*Sheet1!B112,0)</f>
        <v>0</v>
      </c>
      <c r="AC112">
        <f>IF(A112&gt;=$H$10,SUM('Designated biodiversity sites'!$D$125:$M$132)*'Summary of area'!$E$42*Sheet1!B112+'Biodiversity - non-designated'!O176*'Summary of area'!$E$43*Sheet1!B112,0)</f>
        <v>0</v>
      </c>
      <c r="AD112">
        <f>IF(A112=$H$10,SUM('Water supply'!$D$144:$M$145)*'Summary of area'!$E$44*Sheet1!B112,0)</f>
        <v>0</v>
      </c>
      <c r="AE112">
        <f>IF(A112&gt;=$H$10,SUM('Water supply'!$D$146:$M$153)*'Summary of area'!$E$44*B112,0)</f>
        <v>0</v>
      </c>
      <c r="AF112">
        <f>IF(A112=$H$10,SUM(Heritage!$D$221:$M$222)*'Summary of area'!$E$46*B112,0)</f>
        <v>0</v>
      </c>
      <c r="AG112">
        <f>IF(A112&gt;=$H$10,SUM(Heritage!$D$223:$M$230)*'Summary of area'!$E$46*Sheet1!B112,0)</f>
        <v>0</v>
      </c>
      <c r="AH112">
        <f>IF(A112=$H$10,SUM('Recreation and tourism'!$D$109:$M$110)*'Summary of area'!$E$45*Sheet1!B112,0)</f>
        <v>0</v>
      </c>
      <c r="AI112">
        <f>IF(A112&gt;=$H$10,SUM('Recreation and tourism'!$D$111:$M$118)*'Summary of area'!$E$45*Sheet1!B112,0)</f>
        <v>0</v>
      </c>
    </row>
    <row r="113" spans="1:35" ht="15.75" thickBot="1">
      <c r="A113" s="134">
        <f t="shared" si="4"/>
        <v>98</v>
      </c>
      <c r="B113" s="108">
        <f t="shared" si="5"/>
        <v>0.05339068470455398</v>
      </c>
      <c r="C113" s="137">
        <f>SUM($B$15:B113)</f>
        <v>29.760456860435365</v>
      </c>
      <c r="D113" s="136"/>
      <c r="G113">
        <f>IF(A113&gt;=$H$10,Carbon!$F$33*'Summary of area'!$E$31*B113,0)</f>
        <v>0</v>
      </c>
      <c r="H113">
        <f>IF(A113=$H$10,SUM('Water levels-Residential'!$D$53:$M$54)*'Summary of area'!$E$32*B113,0)</f>
        <v>0</v>
      </c>
      <c r="I113">
        <f>IF(A113&gt;=$H$10,SUM('Water levels-Residential'!$D$55:$M$62)*'Summary of area'!$E$32*B113,0)</f>
        <v>0</v>
      </c>
      <c r="J113">
        <f>IF(A113=$H$10,SUM('Water levels-Business'!$D$87:$M$88)*'Summary of area'!$E$33*B113,0)</f>
        <v>0</v>
      </c>
      <c r="K113">
        <f>IF(A113&gt;=$H$10,SUM('Water levels-Business'!$D$89:$M$96)*'Summary of area'!$E$33*B113,0)</f>
        <v>0</v>
      </c>
      <c r="L113">
        <f>IF(A113=$H$10,SUM('Water levels-Social Infra'!$D$169:$M$170)*'Summary of area'!$E$34*B113,0)</f>
        <v>0</v>
      </c>
      <c r="M113">
        <f>IF(A113&gt;=$H$10,SUM('Water levels-Social Infra'!$D$171:$M$178)*'Summary of area'!$E$34*B113,0)</f>
        <v>0</v>
      </c>
      <c r="N113">
        <f>IF(A113=$H$10,SUM('Water levels-Emergency'!$D$152:$M$153)*'Summary of area'!$E$35*B113,0)</f>
        <v>0</v>
      </c>
      <c r="O113">
        <f>IF(A113&gt;=$H$10,SUM('Water levels-Emergency'!$D$154:$M$161)*'Summary of area'!$E$35*B113,0)</f>
        <v>0</v>
      </c>
      <c r="P113">
        <f>IF(A113=$H$10,SUM('Water levels-Utilities'!$D$189:$M$190)*'Summary of area'!$E$36*B113,0)</f>
        <v>0</v>
      </c>
      <c r="Q113">
        <f>IF(A113&gt;=$H$10,SUM('Water levels-Utilities'!$D$191:$M$198)*'Summary of area'!$E$36*B113,0)</f>
        <v>0</v>
      </c>
      <c r="R113">
        <f>IF(A113=$H$10,SUM('Water levels-Transport (road)'!$D$160:$M$161)*'Summary of area'!$E$37*B113,0)</f>
        <v>0</v>
      </c>
      <c r="S113">
        <f>IF(A113&gt;=$H$10,SUM('Water levels-Transport (road)'!$D$162:$M$169)*'Summary of area'!$E$37*B113+SUM('Water levels-Transport (road)'!$D$215:$M$222)*'Summary of area'!$E$37*B113,0)</f>
        <v>0</v>
      </c>
      <c r="T113">
        <f>IF(A113=$H$10,SUM('Water levels-Transport (rail)'!$D$137:$M$138)*'Summary of area'!$E$38*Sheet1!B113,0)</f>
        <v>0</v>
      </c>
      <c r="U113">
        <f>IF(A113&gt;=$H$10,SUM('Water levels-Transport (rail)'!$D$139:$M$146)*'Summary of area'!$E$38*B113+SUM('Water levels-Transport (rail)'!$D$165:$M$172)*'Summary of area'!$E$38*B113,0)</f>
        <v>0</v>
      </c>
      <c r="V113">
        <f>IF(A113=$H$10,SUM('Food production'!$D$256:$M$257)*'Summary of area'!$E$39*Sheet1!B113,0)</f>
        <v>0</v>
      </c>
      <c r="W113">
        <f>IF(A113&gt;=$H$10,SUM('Food production'!$D$258:$M$265)*'Summary of area'!$E$39*Sheet1!B113,0)</f>
        <v>0</v>
      </c>
      <c r="X113">
        <f>IF(A113=$H$10,SUM('Energy (direct)'!$D$85:$M$86)*'Summary of area'!$E$40*B113,0)</f>
        <v>0</v>
      </c>
      <c r="Y113">
        <f>IF(A113&gt;=$H$10,SUM('Energy (direct)'!$D$87:$M$94)*'Summary of area'!$E$40*Sheet1!B113,0)</f>
        <v>0</v>
      </c>
      <c r="Z113">
        <f>IF(A113=$H$10,SUM('Energy (indirect)'!$D$158:$M$159)*'Summary of area'!$E$41*Sheet1!B113,0)</f>
        <v>0</v>
      </c>
      <c r="AA113">
        <f>IF(A113&gt;=$H$10,SUM('Energy (indirect)'!$D$160:$M$167)*'Summary of area'!$E$41*B113,0)</f>
        <v>0</v>
      </c>
      <c r="AB113">
        <f>IF(A113=$H$10,SUM('Designated biodiversity sites'!$D$123:$M$124)*'Summary of area'!$E$42*Sheet1!B113+'Biodiversity - non-designated'!O177*'Summary of area'!$E$43*Sheet1!B113,0)</f>
        <v>0</v>
      </c>
      <c r="AC113">
        <f>IF(A113&gt;=$H$10,SUM('Designated biodiversity sites'!$D$125:$M$132)*'Summary of area'!$E$42*Sheet1!B113+'Biodiversity - non-designated'!O177*'Summary of area'!$E$43*Sheet1!B113,0)</f>
        <v>0</v>
      </c>
      <c r="AD113">
        <f>IF(A113=$H$10,SUM('Water supply'!$D$144:$M$145)*'Summary of area'!$E$44*Sheet1!B113,0)</f>
        <v>0</v>
      </c>
      <c r="AE113">
        <f>IF(A113&gt;=$H$10,SUM('Water supply'!$D$146:$M$153)*'Summary of area'!$E$44*B113,0)</f>
        <v>0</v>
      </c>
      <c r="AF113">
        <f>IF(A113=$H$10,SUM(Heritage!$D$221:$M$222)*'Summary of area'!$E$46*B113,0)</f>
        <v>0</v>
      </c>
      <c r="AG113">
        <f>IF(A113&gt;=$H$10,SUM(Heritage!$D$223:$M$230)*'Summary of area'!$E$46*Sheet1!B113,0)</f>
        <v>0</v>
      </c>
      <c r="AH113">
        <f>IF(A113=$H$10,SUM('Recreation and tourism'!$D$109:$M$110)*'Summary of area'!$E$45*Sheet1!B113,0)</f>
        <v>0</v>
      </c>
      <c r="AI113">
        <f>IF(A113&gt;=$H$10,SUM('Recreation and tourism'!$D$111:$M$118)*'Summary of area'!$E$45*Sheet1!B113,0)</f>
        <v>0</v>
      </c>
    </row>
    <row r="114" spans="1:35" ht="15.75" thickBot="1">
      <c r="A114" s="134">
        <f t="shared" si="4"/>
        <v>99</v>
      </c>
      <c r="B114" s="108">
        <f t="shared" si="5"/>
        <v>0.05208847288249169</v>
      </c>
      <c r="C114" s="137">
        <f>SUM($B$15:B114)</f>
        <v>29.812545333317857</v>
      </c>
      <c r="D114" s="136"/>
      <c r="G114">
        <f>IF(A114&gt;=$H$10,Carbon!$F$33*'Summary of area'!$E$31*B114,0)</f>
        <v>0</v>
      </c>
      <c r="H114">
        <f>IF(A114=$H$10,SUM('Water levels-Residential'!$D$53:$M$54)*'Summary of area'!$E$32*B114,0)</f>
        <v>0</v>
      </c>
      <c r="I114">
        <f>IF(A114&gt;=$H$10,SUM('Water levels-Residential'!$D$55:$M$62)*'Summary of area'!$E$32*B114,0)</f>
        <v>0</v>
      </c>
      <c r="J114">
        <f>IF(A114=$H$10,SUM('Water levels-Business'!$D$87:$M$88)*'Summary of area'!$E$33*B114,0)</f>
        <v>0</v>
      </c>
      <c r="K114">
        <f>IF(A114&gt;=$H$10,SUM('Water levels-Business'!$D$89:$M$96)*'Summary of area'!$E$33*B114,0)</f>
        <v>0</v>
      </c>
      <c r="L114">
        <f>IF(A114=$H$10,SUM('Water levels-Social Infra'!$D$169:$M$170)*'Summary of area'!$E$34*B114,0)</f>
        <v>0</v>
      </c>
      <c r="M114">
        <f>IF(A114&gt;=$H$10,SUM('Water levels-Social Infra'!$D$171:$M$178)*'Summary of area'!$E$34*B114,0)</f>
        <v>0</v>
      </c>
      <c r="N114">
        <f>IF(A114=$H$10,SUM('Water levels-Emergency'!$D$152:$M$153)*'Summary of area'!$E$35*B114,0)</f>
        <v>0</v>
      </c>
      <c r="O114">
        <f>IF(A114&gt;=$H$10,SUM('Water levels-Emergency'!$D$154:$M$161)*'Summary of area'!$E$35*B114,0)</f>
        <v>0</v>
      </c>
      <c r="P114">
        <f>IF(A114=$H$10,SUM('Water levels-Utilities'!$D$189:$M$190)*'Summary of area'!$E$36*B114,0)</f>
        <v>0</v>
      </c>
      <c r="Q114">
        <f>IF(A114&gt;=$H$10,SUM('Water levels-Utilities'!$D$191:$M$198)*'Summary of area'!$E$36*B114,0)</f>
        <v>0</v>
      </c>
      <c r="R114">
        <f>IF(A114=$H$10,SUM('Water levels-Transport (road)'!$D$160:$M$161)*'Summary of area'!$E$37*B114,0)</f>
        <v>0</v>
      </c>
      <c r="S114">
        <f>IF(A114&gt;=$H$10,SUM('Water levels-Transport (road)'!$D$162:$M$169)*'Summary of area'!$E$37*B114+SUM('Water levels-Transport (road)'!$D$215:$M$222)*'Summary of area'!$E$37*B114,0)</f>
        <v>0</v>
      </c>
      <c r="T114">
        <f>IF(A114=$H$10,SUM('Water levels-Transport (rail)'!$D$137:$M$138)*'Summary of area'!$E$38*Sheet1!B114,0)</f>
        <v>0</v>
      </c>
      <c r="U114">
        <f>IF(A114&gt;=$H$10,SUM('Water levels-Transport (rail)'!$D$139:$M$146)*'Summary of area'!$E$38*B114+SUM('Water levels-Transport (rail)'!$D$165:$M$172)*'Summary of area'!$E$38*B114,0)</f>
        <v>0</v>
      </c>
      <c r="V114">
        <f>IF(A114=$H$10,SUM('Food production'!$D$256:$M$257)*'Summary of area'!$E$39*Sheet1!B114,0)</f>
        <v>0</v>
      </c>
      <c r="W114">
        <f>IF(A114&gt;=$H$10,SUM('Food production'!$D$258:$M$265)*'Summary of area'!$E$39*Sheet1!B114,0)</f>
        <v>0</v>
      </c>
      <c r="X114">
        <f>IF(A114=$H$10,SUM('Energy (direct)'!$D$85:$M$86)*'Summary of area'!$E$40*B114,0)</f>
        <v>0</v>
      </c>
      <c r="Y114">
        <f>IF(A114&gt;=$H$10,SUM('Energy (direct)'!$D$87:$M$94)*'Summary of area'!$E$40*Sheet1!B114,0)</f>
        <v>0</v>
      </c>
      <c r="Z114">
        <f>IF(A114=$H$10,SUM('Energy (indirect)'!$D$158:$M$159)*'Summary of area'!$E$41*Sheet1!B114,0)</f>
        <v>0</v>
      </c>
      <c r="AA114">
        <f>IF(A114&gt;=$H$10,SUM('Energy (indirect)'!$D$160:$M$167)*'Summary of area'!$E$41*B114,0)</f>
        <v>0</v>
      </c>
      <c r="AB114">
        <f>IF(A114=$H$10,SUM('Designated biodiversity sites'!$D$123:$M$124)*'Summary of area'!$E$42*Sheet1!B114+'Biodiversity - non-designated'!O178*'Summary of area'!$E$43*Sheet1!B114,0)</f>
        <v>0</v>
      </c>
      <c r="AC114">
        <f>IF(A114&gt;=$H$10,SUM('Designated biodiversity sites'!$D$125:$M$132)*'Summary of area'!$E$42*Sheet1!B114+'Biodiversity - non-designated'!O178*'Summary of area'!$E$43*Sheet1!B114,0)</f>
        <v>0</v>
      </c>
      <c r="AD114">
        <f>IF(A114=$H$10,SUM('Water supply'!$D$144:$M$145)*'Summary of area'!$E$44*Sheet1!B114,0)</f>
        <v>0</v>
      </c>
      <c r="AE114">
        <f>IF(A114&gt;=$H$10,SUM('Water supply'!$D$146:$M$153)*'Summary of area'!$E$44*B114,0)</f>
        <v>0</v>
      </c>
      <c r="AF114">
        <f>IF(A114=$H$10,SUM(Heritage!$D$221:$M$222)*'Summary of area'!$E$46*B114,0)</f>
        <v>0</v>
      </c>
      <c r="AG114">
        <f>IF(A114&gt;=$H$10,SUM(Heritage!$D$223:$M$230)*'Summary of area'!$E$46*Sheet1!B114,0)</f>
        <v>0</v>
      </c>
      <c r="AH114">
        <f>IF(A114=$H$10,SUM('Recreation and tourism'!$D$109:$M$110)*'Summary of area'!$E$45*Sheet1!B114,0)</f>
        <v>0</v>
      </c>
      <c r="AI114">
        <f>IF(A114&gt;=$H$10,SUM('Recreation and tourism'!$D$111:$M$118)*'Summary of area'!$E$45*Sheet1!B114,0)</f>
        <v>0</v>
      </c>
    </row>
    <row r="115" spans="1:4" ht="15">
      <c r="A115" s="109"/>
      <c r="B115" s="110"/>
      <c r="C115" s="110"/>
      <c r="D115" s="110"/>
    </row>
    <row r="116" spans="1:35" ht="15.75" thickBot="1">
      <c r="A116" s="132"/>
      <c r="B116" s="133"/>
      <c r="C116" s="133"/>
      <c r="D116" s="133"/>
      <c r="G116">
        <f>SUM(G15:G114)</f>
        <v>0</v>
      </c>
      <c r="H116">
        <f aca="true" t="shared" si="6" ref="H116:AI116">SUM(H15:H114)</f>
        <v>0</v>
      </c>
      <c r="I116">
        <f t="shared" si="6"/>
        <v>0</v>
      </c>
      <c r="J116">
        <f t="shared" si="6"/>
        <v>0</v>
      </c>
      <c r="K116">
        <f t="shared" si="6"/>
        <v>0</v>
      </c>
      <c r="L116">
        <f t="shared" si="6"/>
        <v>0</v>
      </c>
      <c r="M116">
        <f t="shared" si="6"/>
        <v>0</v>
      </c>
      <c r="N116">
        <f t="shared" si="6"/>
        <v>0</v>
      </c>
      <c r="O116">
        <f t="shared" si="6"/>
        <v>0</v>
      </c>
      <c r="P116">
        <f t="shared" si="6"/>
        <v>0</v>
      </c>
      <c r="Q116">
        <f t="shared" si="6"/>
        <v>0</v>
      </c>
      <c r="R116">
        <f t="shared" si="6"/>
        <v>0</v>
      </c>
      <c r="S116">
        <f t="shared" si="6"/>
        <v>0</v>
      </c>
      <c r="T116">
        <f t="shared" si="6"/>
        <v>0</v>
      </c>
      <c r="U116">
        <f t="shared" si="6"/>
        <v>0</v>
      </c>
      <c r="V116">
        <f t="shared" si="6"/>
        <v>0</v>
      </c>
      <c r="W116">
        <f t="shared" si="6"/>
        <v>0</v>
      </c>
      <c r="X116">
        <f t="shared" si="6"/>
        <v>0</v>
      </c>
      <c r="Y116">
        <f t="shared" si="6"/>
        <v>0</v>
      </c>
      <c r="Z116">
        <f t="shared" si="6"/>
        <v>0</v>
      </c>
      <c r="AA116">
        <f t="shared" si="6"/>
        <v>0</v>
      </c>
      <c r="AB116">
        <f t="shared" si="6"/>
        <v>0</v>
      </c>
      <c r="AC116">
        <f t="shared" si="6"/>
        <v>0</v>
      </c>
      <c r="AD116">
        <f t="shared" si="6"/>
        <v>0</v>
      </c>
      <c r="AE116">
        <f t="shared" si="6"/>
        <v>0</v>
      </c>
      <c r="AF116">
        <f t="shared" si="6"/>
        <v>0</v>
      </c>
      <c r="AG116">
        <f t="shared" si="6"/>
        <v>0</v>
      </c>
      <c r="AH116">
        <f t="shared" si="6"/>
        <v>0</v>
      </c>
      <c r="AI116">
        <f t="shared" si="6"/>
        <v>0</v>
      </c>
    </row>
  </sheetData>
  <mergeCells count="2">
    <mergeCell ref="A3:D3"/>
    <mergeCell ref="A5:D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T1666"/>
  <sheetViews>
    <sheetView zoomScale="85" zoomScaleNormal="85" workbookViewId="0" topLeftCell="A1"/>
  </sheetViews>
  <sheetFormatPr defaultColWidth="9.140625" defaultRowHeight="15"/>
  <cols>
    <col min="1" max="1" width="20.00390625" style="14" customWidth="1"/>
    <col min="2" max="2" width="15.8515625" style="14" customWidth="1"/>
    <col min="3" max="3" width="9.140625" style="14" customWidth="1"/>
    <col min="4" max="4" width="55.57421875" style="17" customWidth="1"/>
    <col min="5" max="7" width="39.7109375" style="17" customWidth="1"/>
    <col min="8" max="8" width="39.7109375" style="271" customWidth="1"/>
    <col min="9" max="696" width="9.140625" style="272" customWidth="1"/>
    <col min="697" max="16384" width="9.140625" style="16" customWidth="1"/>
  </cols>
  <sheetData>
    <row r="1" spans="1:8" ht="31.5" customHeight="1" thickBot="1">
      <c r="A1" s="14" t="s">
        <v>39</v>
      </c>
      <c r="B1" s="15">
        <f>'Summary of area'!C3</f>
        <v>0</v>
      </c>
      <c r="C1" s="15"/>
      <c r="D1" s="18" t="s">
        <v>46</v>
      </c>
      <c r="E1" s="18" t="s">
        <v>103</v>
      </c>
      <c r="F1" s="18" t="s">
        <v>104</v>
      </c>
      <c r="G1" s="18" t="s">
        <v>105</v>
      </c>
      <c r="H1" s="18"/>
    </row>
    <row r="2" spans="1:8" ht="72" customHeight="1" thickBot="1">
      <c r="A2" s="1" t="s">
        <v>17</v>
      </c>
      <c r="B2" s="1" t="s">
        <v>18</v>
      </c>
      <c r="C2" s="8" t="s">
        <v>41</v>
      </c>
      <c r="D2" s="13" t="s">
        <v>56</v>
      </c>
      <c r="E2" s="13" t="s">
        <v>63</v>
      </c>
      <c r="F2" s="13" t="s">
        <v>57</v>
      </c>
      <c r="G2" s="11" t="s">
        <v>60</v>
      </c>
      <c r="H2" s="360" t="s">
        <v>805</v>
      </c>
    </row>
    <row r="3" spans="1:8" ht="26.25" thickBot="1">
      <c r="A3" s="2"/>
      <c r="B3" s="2"/>
      <c r="C3" s="23" t="s">
        <v>42</v>
      </c>
      <c r="D3" s="7" t="s">
        <v>55</v>
      </c>
      <c r="E3" s="7" t="s">
        <v>62</v>
      </c>
      <c r="F3" s="7" t="s">
        <v>58</v>
      </c>
      <c r="G3" s="262" t="s">
        <v>556</v>
      </c>
      <c r="H3" s="361" t="s">
        <v>804</v>
      </c>
    </row>
    <row r="4" spans="1:8" ht="26.25" thickBot="1">
      <c r="A4" s="3" t="s">
        <v>0</v>
      </c>
      <c r="B4" s="4"/>
      <c r="C4" s="4"/>
      <c r="D4" s="5"/>
      <c r="E4" s="140"/>
      <c r="F4" s="14"/>
      <c r="G4" s="14"/>
      <c r="H4" s="362"/>
    </row>
    <row r="5" spans="1:696" s="61" customFormat="1" ht="12.75" customHeight="1">
      <c r="A5" s="606" t="s">
        <v>1</v>
      </c>
      <c r="B5" s="608" t="s">
        <v>19</v>
      </c>
      <c r="C5" s="608" t="s">
        <v>52</v>
      </c>
      <c r="D5" s="605"/>
      <c r="E5" s="640"/>
      <c r="F5" s="618"/>
      <c r="G5" s="628"/>
      <c r="H5" s="628"/>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c r="IW5" s="272"/>
      <c r="IX5" s="272"/>
      <c r="IY5" s="272"/>
      <c r="IZ5" s="272"/>
      <c r="JA5" s="272"/>
      <c r="JB5" s="272"/>
      <c r="JC5" s="272"/>
      <c r="JD5" s="272"/>
      <c r="JE5" s="272"/>
      <c r="JF5" s="272"/>
      <c r="JG5" s="272"/>
      <c r="JH5" s="272"/>
      <c r="JI5" s="272"/>
      <c r="JJ5" s="272"/>
      <c r="JK5" s="272"/>
      <c r="JL5" s="272"/>
      <c r="JM5" s="272"/>
      <c r="JN5" s="272"/>
      <c r="JO5" s="272"/>
      <c r="JP5" s="272"/>
      <c r="JQ5" s="272"/>
      <c r="JR5" s="272"/>
      <c r="JS5" s="272"/>
      <c r="JT5" s="272"/>
      <c r="JU5" s="272"/>
      <c r="JV5" s="272"/>
      <c r="JW5" s="272"/>
      <c r="JX5" s="272"/>
      <c r="JY5" s="272"/>
      <c r="JZ5" s="272"/>
      <c r="KA5" s="272"/>
      <c r="KB5" s="272"/>
      <c r="KC5" s="272"/>
      <c r="KD5" s="272"/>
      <c r="KE5" s="272"/>
      <c r="KF5" s="272"/>
      <c r="KG5" s="272"/>
      <c r="KH5" s="272"/>
      <c r="KI5" s="272"/>
      <c r="KJ5" s="272"/>
      <c r="KK5" s="272"/>
      <c r="KL5" s="272"/>
      <c r="KM5" s="272"/>
      <c r="KN5" s="272"/>
      <c r="KO5" s="272"/>
      <c r="KP5" s="272"/>
      <c r="KQ5" s="272"/>
      <c r="KR5" s="272"/>
      <c r="KS5" s="272"/>
      <c r="KT5" s="272"/>
      <c r="KU5" s="272"/>
      <c r="KV5" s="272"/>
      <c r="KW5" s="272"/>
      <c r="KX5" s="272"/>
      <c r="KY5" s="272"/>
      <c r="KZ5" s="272"/>
      <c r="LA5" s="272"/>
      <c r="LB5" s="272"/>
      <c r="LC5" s="272"/>
      <c r="LD5" s="272"/>
      <c r="LE5" s="272"/>
      <c r="LF5" s="272"/>
      <c r="LG5" s="272"/>
      <c r="LH5" s="272"/>
      <c r="LI5" s="272"/>
      <c r="LJ5" s="272"/>
      <c r="LK5" s="272"/>
      <c r="LL5" s="272"/>
      <c r="LM5" s="272"/>
      <c r="LN5" s="272"/>
      <c r="LO5" s="272"/>
      <c r="LP5" s="272"/>
      <c r="LQ5" s="272"/>
      <c r="LR5" s="272"/>
      <c r="LS5" s="272"/>
      <c r="LT5" s="272"/>
      <c r="LU5" s="272"/>
      <c r="LV5" s="272"/>
      <c r="LW5" s="272"/>
      <c r="LX5" s="272"/>
      <c r="LY5" s="272"/>
      <c r="LZ5" s="272"/>
      <c r="MA5" s="272"/>
      <c r="MB5" s="272"/>
      <c r="MC5" s="272"/>
      <c r="MD5" s="272"/>
      <c r="ME5" s="272"/>
      <c r="MF5" s="272"/>
      <c r="MG5" s="272"/>
      <c r="MH5" s="272"/>
      <c r="MI5" s="272"/>
      <c r="MJ5" s="272"/>
      <c r="MK5" s="272"/>
      <c r="ML5" s="272"/>
      <c r="MM5" s="272"/>
      <c r="MN5" s="272"/>
      <c r="MO5" s="272"/>
      <c r="MP5" s="272"/>
      <c r="MQ5" s="272"/>
      <c r="MR5" s="272"/>
      <c r="MS5" s="272"/>
      <c r="MT5" s="272"/>
      <c r="MU5" s="272"/>
      <c r="MV5" s="272"/>
      <c r="MW5" s="272"/>
      <c r="MX5" s="272"/>
      <c r="MY5" s="272"/>
      <c r="MZ5" s="272"/>
      <c r="NA5" s="272"/>
      <c r="NB5" s="272"/>
      <c r="NC5" s="272"/>
      <c r="ND5" s="272"/>
      <c r="NE5" s="272"/>
      <c r="NF5" s="272"/>
      <c r="NG5" s="272"/>
      <c r="NH5" s="272"/>
      <c r="NI5" s="272"/>
      <c r="NJ5" s="272"/>
      <c r="NK5" s="272"/>
      <c r="NL5" s="272"/>
      <c r="NM5" s="272"/>
      <c r="NN5" s="272"/>
      <c r="NO5" s="272"/>
      <c r="NP5" s="272"/>
      <c r="NQ5" s="272"/>
      <c r="NR5" s="272"/>
      <c r="NS5" s="272"/>
      <c r="NT5" s="272"/>
      <c r="NU5" s="272"/>
      <c r="NV5" s="272"/>
      <c r="NW5" s="272"/>
      <c r="NX5" s="272"/>
      <c r="NY5" s="272"/>
      <c r="NZ5" s="272"/>
      <c r="OA5" s="272"/>
      <c r="OB5" s="272"/>
      <c r="OC5" s="272"/>
      <c r="OD5" s="272"/>
      <c r="OE5" s="272"/>
      <c r="OF5" s="272"/>
      <c r="OG5" s="272"/>
      <c r="OH5" s="272"/>
      <c r="OI5" s="272"/>
      <c r="OJ5" s="272"/>
      <c r="OK5" s="272"/>
      <c r="OL5" s="272"/>
      <c r="OM5" s="272"/>
      <c r="ON5" s="272"/>
      <c r="OO5" s="272"/>
      <c r="OP5" s="272"/>
      <c r="OQ5" s="272"/>
      <c r="OR5" s="272"/>
      <c r="OS5" s="272"/>
      <c r="OT5" s="272"/>
      <c r="OU5" s="272"/>
      <c r="OV5" s="272"/>
      <c r="OW5" s="272"/>
      <c r="OX5" s="272"/>
      <c r="OY5" s="272"/>
      <c r="OZ5" s="272"/>
      <c r="PA5" s="272"/>
      <c r="PB5" s="272"/>
      <c r="PC5" s="272"/>
      <c r="PD5" s="272"/>
      <c r="PE5" s="272"/>
      <c r="PF5" s="272"/>
      <c r="PG5" s="272"/>
      <c r="PH5" s="272"/>
      <c r="PI5" s="272"/>
      <c r="PJ5" s="272"/>
      <c r="PK5" s="272"/>
      <c r="PL5" s="272"/>
      <c r="PM5" s="272"/>
      <c r="PN5" s="272"/>
      <c r="PO5" s="272"/>
      <c r="PP5" s="272"/>
      <c r="PQ5" s="272"/>
      <c r="PR5" s="272"/>
      <c r="PS5" s="272"/>
      <c r="PT5" s="272"/>
      <c r="PU5" s="272"/>
      <c r="PV5" s="272"/>
      <c r="PW5" s="272"/>
      <c r="PX5" s="272"/>
      <c r="PY5" s="272"/>
      <c r="PZ5" s="272"/>
      <c r="QA5" s="272"/>
      <c r="QB5" s="272"/>
      <c r="QC5" s="272"/>
      <c r="QD5" s="272"/>
      <c r="QE5" s="272"/>
      <c r="QF5" s="272"/>
      <c r="QG5" s="272"/>
      <c r="QH5" s="272"/>
      <c r="QI5" s="272"/>
      <c r="QJ5" s="272"/>
      <c r="QK5" s="272"/>
      <c r="QL5" s="272"/>
      <c r="QM5" s="272"/>
      <c r="QN5" s="272"/>
      <c r="QO5" s="272"/>
      <c r="QP5" s="272"/>
      <c r="QQ5" s="272"/>
      <c r="QR5" s="272"/>
      <c r="QS5" s="272"/>
      <c r="QT5" s="272"/>
      <c r="QU5" s="272"/>
      <c r="QV5" s="272"/>
      <c r="QW5" s="272"/>
      <c r="QX5" s="272"/>
      <c r="QY5" s="272"/>
      <c r="QZ5" s="272"/>
      <c r="RA5" s="272"/>
      <c r="RB5" s="272"/>
      <c r="RC5" s="272"/>
      <c r="RD5" s="272"/>
      <c r="RE5" s="272"/>
      <c r="RF5" s="272"/>
      <c r="RG5" s="272"/>
      <c r="RH5" s="272"/>
      <c r="RI5" s="272"/>
      <c r="RJ5" s="272"/>
      <c r="RK5" s="272"/>
      <c r="RL5" s="272"/>
      <c r="RM5" s="272"/>
      <c r="RN5" s="272"/>
      <c r="RO5" s="272"/>
      <c r="RP5" s="272"/>
      <c r="RQ5" s="272"/>
      <c r="RR5" s="272"/>
      <c r="RS5" s="272"/>
      <c r="RT5" s="272"/>
      <c r="RU5" s="272"/>
      <c r="RV5" s="272"/>
      <c r="RW5" s="272"/>
      <c r="RX5" s="272"/>
      <c r="RY5" s="272"/>
      <c r="RZ5" s="272"/>
      <c r="SA5" s="272"/>
      <c r="SB5" s="272"/>
      <c r="SC5" s="272"/>
      <c r="SD5" s="272"/>
      <c r="SE5" s="272"/>
      <c r="SF5" s="272"/>
      <c r="SG5" s="272"/>
      <c r="SH5" s="272"/>
      <c r="SI5" s="272"/>
      <c r="SJ5" s="272"/>
      <c r="SK5" s="272"/>
      <c r="SL5" s="272"/>
      <c r="SM5" s="272"/>
      <c r="SN5" s="272"/>
      <c r="SO5" s="272"/>
      <c r="SP5" s="272"/>
      <c r="SQ5" s="272"/>
      <c r="SR5" s="272"/>
      <c r="SS5" s="272"/>
      <c r="ST5" s="272"/>
      <c r="SU5" s="272"/>
      <c r="SV5" s="272"/>
      <c r="SW5" s="272"/>
      <c r="SX5" s="272"/>
      <c r="SY5" s="272"/>
      <c r="SZ5" s="272"/>
      <c r="TA5" s="272"/>
      <c r="TB5" s="272"/>
      <c r="TC5" s="272"/>
      <c r="TD5" s="272"/>
      <c r="TE5" s="272"/>
      <c r="TF5" s="272"/>
      <c r="TG5" s="272"/>
      <c r="TH5" s="272"/>
      <c r="TI5" s="272"/>
      <c r="TJ5" s="272"/>
      <c r="TK5" s="272"/>
      <c r="TL5" s="272"/>
      <c r="TM5" s="272"/>
      <c r="TN5" s="272"/>
      <c r="TO5" s="272"/>
      <c r="TP5" s="272"/>
      <c r="TQ5" s="272"/>
      <c r="TR5" s="272"/>
      <c r="TS5" s="272"/>
      <c r="TT5" s="272"/>
      <c r="TU5" s="272"/>
      <c r="TV5" s="272"/>
      <c r="TW5" s="272"/>
      <c r="TX5" s="272"/>
      <c r="TY5" s="272"/>
      <c r="TZ5" s="272"/>
      <c r="UA5" s="272"/>
      <c r="UB5" s="272"/>
      <c r="UC5" s="272"/>
      <c r="UD5" s="272"/>
      <c r="UE5" s="272"/>
      <c r="UF5" s="272"/>
      <c r="UG5" s="272"/>
      <c r="UH5" s="272"/>
      <c r="UI5" s="272"/>
      <c r="UJ5" s="272"/>
      <c r="UK5" s="272"/>
      <c r="UL5" s="272"/>
      <c r="UM5" s="272"/>
      <c r="UN5" s="272"/>
      <c r="UO5" s="272"/>
      <c r="UP5" s="272"/>
      <c r="UQ5" s="272"/>
      <c r="UR5" s="272"/>
      <c r="US5" s="272"/>
      <c r="UT5" s="272"/>
      <c r="UU5" s="272"/>
      <c r="UV5" s="272"/>
      <c r="UW5" s="272"/>
      <c r="UX5" s="272"/>
      <c r="UY5" s="272"/>
      <c r="UZ5" s="272"/>
      <c r="VA5" s="272"/>
      <c r="VB5" s="272"/>
      <c r="VC5" s="272"/>
      <c r="VD5" s="272"/>
      <c r="VE5" s="272"/>
      <c r="VF5" s="272"/>
      <c r="VG5" s="272"/>
      <c r="VH5" s="272"/>
      <c r="VI5" s="272"/>
      <c r="VJ5" s="272"/>
      <c r="VK5" s="272"/>
      <c r="VL5" s="272"/>
      <c r="VM5" s="272"/>
      <c r="VN5" s="272"/>
      <c r="VO5" s="272"/>
      <c r="VP5" s="272"/>
      <c r="VQ5" s="272"/>
      <c r="VR5" s="272"/>
      <c r="VS5" s="272"/>
      <c r="VT5" s="272"/>
      <c r="VU5" s="272"/>
      <c r="VV5" s="272"/>
      <c r="VW5" s="272"/>
      <c r="VX5" s="272"/>
      <c r="VY5" s="272"/>
      <c r="VZ5" s="272"/>
      <c r="WA5" s="272"/>
      <c r="WB5" s="272"/>
      <c r="WC5" s="272"/>
      <c r="WD5" s="272"/>
      <c r="WE5" s="272"/>
      <c r="WF5" s="272"/>
      <c r="WG5" s="272"/>
      <c r="WH5" s="272"/>
      <c r="WI5" s="272"/>
      <c r="WJ5" s="272"/>
      <c r="WK5" s="272"/>
      <c r="WL5" s="272"/>
      <c r="WM5" s="272"/>
      <c r="WN5" s="272"/>
      <c r="WO5" s="272"/>
      <c r="WP5" s="272"/>
      <c r="WQ5" s="272"/>
      <c r="WR5" s="272"/>
      <c r="WS5" s="272"/>
      <c r="WT5" s="272"/>
      <c r="WU5" s="272"/>
      <c r="WV5" s="272"/>
      <c r="WW5" s="272"/>
      <c r="WX5" s="272"/>
      <c r="WY5" s="272"/>
      <c r="WZ5" s="272"/>
      <c r="XA5" s="272"/>
      <c r="XB5" s="272"/>
      <c r="XC5" s="272"/>
      <c r="XD5" s="272"/>
      <c r="XE5" s="272"/>
      <c r="XF5" s="272"/>
      <c r="XG5" s="272"/>
      <c r="XH5" s="272"/>
      <c r="XI5" s="272"/>
      <c r="XJ5" s="272"/>
      <c r="XK5" s="272"/>
      <c r="XL5" s="272"/>
      <c r="XM5" s="272"/>
      <c r="XN5" s="272"/>
      <c r="XO5" s="272"/>
      <c r="XP5" s="272"/>
      <c r="XQ5" s="272"/>
      <c r="XR5" s="272"/>
      <c r="XS5" s="272"/>
      <c r="XT5" s="272"/>
      <c r="XU5" s="272"/>
      <c r="XV5" s="272"/>
      <c r="XW5" s="272"/>
      <c r="XX5" s="272"/>
      <c r="XY5" s="272"/>
      <c r="XZ5" s="272"/>
      <c r="YA5" s="272"/>
      <c r="YB5" s="272"/>
      <c r="YC5" s="272"/>
      <c r="YD5" s="272"/>
      <c r="YE5" s="272"/>
      <c r="YF5" s="272"/>
      <c r="YG5" s="272"/>
      <c r="YH5" s="272"/>
      <c r="YI5" s="272"/>
      <c r="YJ5" s="272"/>
      <c r="YK5" s="272"/>
      <c r="YL5" s="272"/>
      <c r="YM5" s="272"/>
      <c r="YN5" s="272"/>
      <c r="YO5" s="272"/>
      <c r="YP5" s="272"/>
      <c r="YQ5" s="272"/>
      <c r="YR5" s="272"/>
      <c r="YS5" s="272"/>
      <c r="YT5" s="272"/>
      <c r="YU5" s="272"/>
      <c r="YV5" s="272"/>
      <c r="YW5" s="272"/>
      <c r="YX5" s="272"/>
      <c r="YY5" s="272"/>
      <c r="YZ5" s="272"/>
      <c r="ZA5" s="272"/>
      <c r="ZB5" s="272"/>
      <c r="ZC5" s="272"/>
      <c r="ZD5" s="272"/>
      <c r="ZE5" s="272"/>
      <c r="ZF5" s="272"/>
      <c r="ZG5" s="272"/>
      <c r="ZH5" s="272"/>
      <c r="ZI5" s="272"/>
      <c r="ZJ5" s="272"/>
      <c r="ZK5" s="272"/>
      <c r="ZL5" s="272"/>
      <c r="ZM5" s="272"/>
      <c r="ZN5" s="272"/>
      <c r="ZO5" s="272"/>
      <c r="ZP5" s="272"/>
      <c r="ZQ5" s="272"/>
      <c r="ZR5" s="272"/>
      <c r="ZS5" s="272"/>
      <c r="ZT5" s="272"/>
    </row>
    <row r="6" spans="1:696" s="86" customFormat="1" ht="12.75" customHeight="1">
      <c r="A6" s="629"/>
      <c r="B6" s="631"/>
      <c r="C6" s="631"/>
      <c r="D6" s="600"/>
      <c r="E6" s="619"/>
      <c r="F6" s="619"/>
      <c r="G6" s="626"/>
      <c r="H6" s="626"/>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c r="GH6" s="272"/>
      <c r="GI6" s="272"/>
      <c r="GJ6" s="272"/>
      <c r="GK6" s="272"/>
      <c r="GL6" s="272"/>
      <c r="GM6" s="272"/>
      <c r="GN6" s="272"/>
      <c r="GO6" s="272"/>
      <c r="GP6" s="272"/>
      <c r="GQ6" s="272"/>
      <c r="GR6" s="272"/>
      <c r="GS6" s="272"/>
      <c r="GT6" s="272"/>
      <c r="GU6" s="272"/>
      <c r="GV6" s="272"/>
      <c r="GW6" s="272"/>
      <c r="GX6" s="272"/>
      <c r="GY6" s="272"/>
      <c r="GZ6" s="272"/>
      <c r="HA6" s="272"/>
      <c r="HB6" s="272"/>
      <c r="HC6" s="272"/>
      <c r="HD6" s="272"/>
      <c r="HE6" s="272"/>
      <c r="HF6" s="272"/>
      <c r="HG6" s="272"/>
      <c r="HH6" s="272"/>
      <c r="HI6" s="272"/>
      <c r="HJ6" s="272"/>
      <c r="HK6" s="272"/>
      <c r="HL6" s="272"/>
      <c r="HM6" s="272"/>
      <c r="HN6" s="272"/>
      <c r="HO6" s="272"/>
      <c r="HP6" s="272"/>
      <c r="HQ6" s="272"/>
      <c r="HR6" s="272"/>
      <c r="HS6" s="272"/>
      <c r="HT6" s="272"/>
      <c r="HU6" s="272"/>
      <c r="HV6" s="272"/>
      <c r="HW6" s="272"/>
      <c r="HX6" s="272"/>
      <c r="HY6" s="272"/>
      <c r="HZ6" s="272"/>
      <c r="IA6" s="272"/>
      <c r="IB6" s="272"/>
      <c r="IC6" s="272"/>
      <c r="ID6" s="272"/>
      <c r="IE6" s="272"/>
      <c r="IF6" s="272"/>
      <c r="IG6" s="272"/>
      <c r="IH6" s="272"/>
      <c r="II6" s="272"/>
      <c r="IJ6" s="272"/>
      <c r="IK6" s="272"/>
      <c r="IL6" s="272"/>
      <c r="IM6" s="272"/>
      <c r="IN6" s="272"/>
      <c r="IO6" s="272"/>
      <c r="IP6" s="272"/>
      <c r="IQ6" s="272"/>
      <c r="IR6" s="272"/>
      <c r="IS6" s="272"/>
      <c r="IT6" s="272"/>
      <c r="IU6" s="272"/>
      <c r="IV6" s="272"/>
      <c r="IW6" s="272"/>
      <c r="IX6" s="272"/>
      <c r="IY6" s="272"/>
      <c r="IZ6" s="272"/>
      <c r="JA6" s="272"/>
      <c r="JB6" s="272"/>
      <c r="JC6" s="272"/>
      <c r="JD6" s="272"/>
      <c r="JE6" s="272"/>
      <c r="JF6" s="272"/>
      <c r="JG6" s="272"/>
      <c r="JH6" s="272"/>
      <c r="JI6" s="272"/>
      <c r="JJ6" s="272"/>
      <c r="JK6" s="272"/>
      <c r="JL6" s="272"/>
      <c r="JM6" s="272"/>
      <c r="JN6" s="272"/>
      <c r="JO6" s="272"/>
      <c r="JP6" s="272"/>
      <c r="JQ6" s="272"/>
      <c r="JR6" s="272"/>
      <c r="JS6" s="272"/>
      <c r="JT6" s="272"/>
      <c r="JU6" s="272"/>
      <c r="JV6" s="272"/>
      <c r="JW6" s="272"/>
      <c r="JX6" s="272"/>
      <c r="JY6" s="272"/>
      <c r="JZ6" s="272"/>
      <c r="KA6" s="272"/>
      <c r="KB6" s="272"/>
      <c r="KC6" s="272"/>
      <c r="KD6" s="272"/>
      <c r="KE6" s="272"/>
      <c r="KF6" s="272"/>
      <c r="KG6" s="272"/>
      <c r="KH6" s="272"/>
      <c r="KI6" s="272"/>
      <c r="KJ6" s="272"/>
      <c r="KK6" s="272"/>
      <c r="KL6" s="272"/>
      <c r="KM6" s="272"/>
      <c r="KN6" s="272"/>
      <c r="KO6" s="272"/>
      <c r="KP6" s="272"/>
      <c r="KQ6" s="272"/>
      <c r="KR6" s="272"/>
      <c r="KS6" s="272"/>
      <c r="KT6" s="272"/>
      <c r="KU6" s="272"/>
      <c r="KV6" s="272"/>
      <c r="KW6" s="272"/>
      <c r="KX6" s="272"/>
      <c r="KY6" s="272"/>
      <c r="KZ6" s="272"/>
      <c r="LA6" s="272"/>
      <c r="LB6" s="272"/>
      <c r="LC6" s="272"/>
      <c r="LD6" s="272"/>
      <c r="LE6" s="272"/>
      <c r="LF6" s="272"/>
      <c r="LG6" s="272"/>
      <c r="LH6" s="272"/>
      <c r="LI6" s="272"/>
      <c r="LJ6" s="272"/>
      <c r="LK6" s="272"/>
      <c r="LL6" s="272"/>
      <c r="LM6" s="272"/>
      <c r="LN6" s="272"/>
      <c r="LO6" s="272"/>
      <c r="LP6" s="272"/>
      <c r="LQ6" s="272"/>
      <c r="LR6" s="272"/>
      <c r="LS6" s="272"/>
      <c r="LT6" s="272"/>
      <c r="LU6" s="272"/>
      <c r="LV6" s="272"/>
      <c r="LW6" s="272"/>
      <c r="LX6" s="272"/>
      <c r="LY6" s="272"/>
      <c r="LZ6" s="272"/>
      <c r="MA6" s="272"/>
      <c r="MB6" s="272"/>
      <c r="MC6" s="272"/>
      <c r="MD6" s="272"/>
      <c r="ME6" s="272"/>
      <c r="MF6" s="272"/>
      <c r="MG6" s="272"/>
      <c r="MH6" s="272"/>
      <c r="MI6" s="272"/>
      <c r="MJ6" s="272"/>
      <c r="MK6" s="272"/>
      <c r="ML6" s="272"/>
      <c r="MM6" s="272"/>
      <c r="MN6" s="272"/>
      <c r="MO6" s="272"/>
      <c r="MP6" s="272"/>
      <c r="MQ6" s="272"/>
      <c r="MR6" s="272"/>
      <c r="MS6" s="272"/>
      <c r="MT6" s="272"/>
      <c r="MU6" s="272"/>
      <c r="MV6" s="272"/>
      <c r="MW6" s="272"/>
      <c r="MX6" s="272"/>
      <c r="MY6" s="272"/>
      <c r="MZ6" s="272"/>
      <c r="NA6" s="272"/>
      <c r="NB6" s="272"/>
      <c r="NC6" s="272"/>
      <c r="ND6" s="272"/>
      <c r="NE6" s="272"/>
      <c r="NF6" s="272"/>
      <c r="NG6" s="272"/>
      <c r="NH6" s="272"/>
      <c r="NI6" s="272"/>
      <c r="NJ6" s="272"/>
      <c r="NK6" s="272"/>
      <c r="NL6" s="272"/>
      <c r="NM6" s="272"/>
      <c r="NN6" s="272"/>
      <c r="NO6" s="272"/>
      <c r="NP6" s="272"/>
      <c r="NQ6" s="272"/>
      <c r="NR6" s="272"/>
      <c r="NS6" s="272"/>
      <c r="NT6" s="272"/>
      <c r="NU6" s="272"/>
      <c r="NV6" s="272"/>
      <c r="NW6" s="272"/>
      <c r="NX6" s="272"/>
      <c r="NY6" s="272"/>
      <c r="NZ6" s="272"/>
      <c r="OA6" s="272"/>
      <c r="OB6" s="272"/>
      <c r="OC6" s="272"/>
      <c r="OD6" s="272"/>
      <c r="OE6" s="272"/>
      <c r="OF6" s="272"/>
      <c r="OG6" s="272"/>
      <c r="OH6" s="272"/>
      <c r="OI6" s="272"/>
      <c r="OJ6" s="272"/>
      <c r="OK6" s="272"/>
      <c r="OL6" s="272"/>
      <c r="OM6" s="272"/>
      <c r="ON6" s="272"/>
      <c r="OO6" s="272"/>
      <c r="OP6" s="272"/>
      <c r="OQ6" s="272"/>
      <c r="OR6" s="272"/>
      <c r="OS6" s="272"/>
      <c r="OT6" s="272"/>
      <c r="OU6" s="272"/>
      <c r="OV6" s="272"/>
      <c r="OW6" s="272"/>
      <c r="OX6" s="272"/>
      <c r="OY6" s="272"/>
      <c r="OZ6" s="272"/>
      <c r="PA6" s="272"/>
      <c r="PB6" s="272"/>
      <c r="PC6" s="272"/>
      <c r="PD6" s="272"/>
      <c r="PE6" s="272"/>
      <c r="PF6" s="272"/>
      <c r="PG6" s="272"/>
      <c r="PH6" s="272"/>
      <c r="PI6" s="272"/>
      <c r="PJ6" s="272"/>
      <c r="PK6" s="272"/>
      <c r="PL6" s="272"/>
      <c r="PM6" s="272"/>
      <c r="PN6" s="272"/>
      <c r="PO6" s="272"/>
      <c r="PP6" s="272"/>
      <c r="PQ6" s="272"/>
      <c r="PR6" s="272"/>
      <c r="PS6" s="272"/>
      <c r="PT6" s="272"/>
      <c r="PU6" s="272"/>
      <c r="PV6" s="272"/>
      <c r="PW6" s="272"/>
      <c r="PX6" s="272"/>
      <c r="PY6" s="272"/>
      <c r="PZ6" s="272"/>
      <c r="QA6" s="272"/>
      <c r="QB6" s="272"/>
      <c r="QC6" s="272"/>
      <c r="QD6" s="272"/>
      <c r="QE6" s="272"/>
      <c r="QF6" s="272"/>
      <c r="QG6" s="272"/>
      <c r="QH6" s="272"/>
      <c r="QI6" s="272"/>
      <c r="QJ6" s="272"/>
      <c r="QK6" s="272"/>
      <c r="QL6" s="272"/>
      <c r="QM6" s="272"/>
      <c r="QN6" s="272"/>
      <c r="QO6" s="272"/>
      <c r="QP6" s="272"/>
      <c r="QQ6" s="272"/>
      <c r="QR6" s="272"/>
      <c r="QS6" s="272"/>
      <c r="QT6" s="272"/>
      <c r="QU6" s="272"/>
      <c r="QV6" s="272"/>
      <c r="QW6" s="272"/>
      <c r="QX6" s="272"/>
      <c r="QY6" s="272"/>
      <c r="QZ6" s="272"/>
      <c r="RA6" s="272"/>
      <c r="RB6" s="272"/>
      <c r="RC6" s="272"/>
      <c r="RD6" s="272"/>
      <c r="RE6" s="272"/>
      <c r="RF6" s="272"/>
      <c r="RG6" s="272"/>
      <c r="RH6" s="272"/>
      <c r="RI6" s="272"/>
      <c r="RJ6" s="272"/>
      <c r="RK6" s="272"/>
      <c r="RL6" s="272"/>
      <c r="RM6" s="272"/>
      <c r="RN6" s="272"/>
      <c r="RO6" s="272"/>
      <c r="RP6" s="272"/>
      <c r="RQ6" s="272"/>
      <c r="RR6" s="272"/>
      <c r="RS6" s="272"/>
      <c r="RT6" s="272"/>
      <c r="RU6" s="272"/>
      <c r="RV6" s="272"/>
      <c r="RW6" s="272"/>
      <c r="RX6" s="272"/>
      <c r="RY6" s="272"/>
      <c r="RZ6" s="272"/>
      <c r="SA6" s="272"/>
      <c r="SB6" s="272"/>
      <c r="SC6" s="272"/>
      <c r="SD6" s="272"/>
      <c r="SE6" s="272"/>
      <c r="SF6" s="272"/>
      <c r="SG6" s="272"/>
      <c r="SH6" s="272"/>
      <c r="SI6" s="272"/>
      <c r="SJ6" s="272"/>
      <c r="SK6" s="272"/>
      <c r="SL6" s="272"/>
      <c r="SM6" s="272"/>
      <c r="SN6" s="272"/>
      <c r="SO6" s="272"/>
      <c r="SP6" s="272"/>
      <c r="SQ6" s="272"/>
      <c r="SR6" s="272"/>
      <c r="SS6" s="272"/>
      <c r="ST6" s="272"/>
      <c r="SU6" s="272"/>
      <c r="SV6" s="272"/>
      <c r="SW6" s="272"/>
      <c r="SX6" s="272"/>
      <c r="SY6" s="272"/>
      <c r="SZ6" s="272"/>
      <c r="TA6" s="272"/>
      <c r="TB6" s="272"/>
      <c r="TC6" s="272"/>
      <c r="TD6" s="272"/>
      <c r="TE6" s="272"/>
      <c r="TF6" s="272"/>
      <c r="TG6" s="272"/>
      <c r="TH6" s="272"/>
      <c r="TI6" s="272"/>
      <c r="TJ6" s="272"/>
      <c r="TK6" s="272"/>
      <c r="TL6" s="272"/>
      <c r="TM6" s="272"/>
      <c r="TN6" s="272"/>
      <c r="TO6" s="272"/>
      <c r="TP6" s="272"/>
      <c r="TQ6" s="272"/>
      <c r="TR6" s="272"/>
      <c r="TS6" s="272"/>
      <c r="TT6" s="272"/>
      <c r="TU6" s="272"/>
      <c r="TV6" s="272"/>
      <c r="TW6" s="272"/>
      <c r="TX6" s="272"/>
      <c r="TY6" s="272"/>
      <c r="TZ6" s="272"/>
      <c r="UA6" s="272"/>
      <c r="UB6" s="272"/>
      <c r="UC6" s="272"/>
      <c r="UD6" s="272"/>
      <c r="UE6" s="272"/>
      <c r="UF6" s="272"/>
      <c r="UG6" s="272"/>
      <c r="UH6" s="272"/>
      <c r="UI6" s="272"/>
      <c r="UJ6" s="272"/>
      <c r="UK6" s="272"/>
      <c r="UL6" s="272"/>
      <c r="UM6" s="272"/>
      <c r="UN6" s="272"/>
      <c r="UO6" s="272"/>
      <c r="UP6" s="272"/>
      <c r="UQ6" s="272"/>
      <c r="UR6" s="272"/>
      <c r="US6" s="272"/>
      <c r="UT6" s="272"/>
      <c r="UU6" s="272"/>
      <c r="UV6" s="272"/>
      <c r="UW6" s="272"/>
      <c r="UX6" s="272"/>
      <c r="UY6" s="272"/>
      <c r="UZ6" s="272"/>
      <c r="VA6" s="272"/>
      <c r="VB6" s="272"/>
      <c r="VC6" s="272"/>
      <c r="VD6" s="272"/>
      <c r="VE6" s="272"/>
      <c r="VF6" s="272"/>
      <c r="VG6" s="272"/>
      <c r="VH6" s="272"/>
      <c r="VI6" s="272"/>
      <c r="VJ6" s="272"/>
      <c r="VK6" s="272"/>
      <c r="VL6" s="272"/>
      <c r="VM6" s="272"/>
      <c r="VN6" s="272"/>
      <c r="VO6" s="272"/>
      <c r="VP6" s="272"/>
      <c r="VQ6" s="272"/>
      <c r="VR6" s="272"/>
      <c r="VS6" s="272"/>
      <c r="VT6" s="272"/>
      <c r="VU6" s="272"/>
      <c r="VV6" s="272"/>
      <c r="VW6" s="272"/>
      <c r="VX6" s="272"/>
      <c r="VY6" s="272"/>
      <c r="VZ6" s="272"/>
      <c r="WA6" s="272"/>
      <c r="WB6" s="272"/>
      <c r="WC6" s="272"/>
      <c r="WD6" s="272"/>
      <c r="WE6" s="272"/>
      <c r="WF6" s="272"/>
      <c r="WG6" s="272"/>
      <c r="WH6" s="272"/>
      <c r="WI6" s="272"/>
      <c r="WJ6" s="272"/>
      <c r="WK6" s="272"/>
      <c r="WL6" s="272"/>
      <c r="WM6" s="272"/>
      <c r="WN6" s="272"/>
      <c r="WO6" s="272"/>
      <c r="WP6" s="272"/>
      <c r="WQ6" s="272"/>
      <c r="WR6" s="272"/>
      <c r="WS6" s="272"/>
      <c r="WT6" s="272"/>
      <c r="WU6" s="272"/>
      <c r="WV6" s="272"/>
      <c r="WW6" s="272"/>
      <c r="WX6" s="272"/>
      <c r="WY6" s="272"/>
      <c r="WZ6" s="272"/>
      <c r="XA6" s="272"/>
      <c r="XB6" s="272"/>
      <c r="XC6" s="272"/>
      <c r="XD6" s="272"/>
      <c r="XE6" s="272"/>
      <c r="XF6" s="272"/>
      <c r="XG6" s="272"/>
      <c r="XH6" s="272"/>
      <c r="XI6" s="272"/>
      <c r="XJ6" s="272"/>
      <c r="XK6" s="272"/>
      <c r="XL6" s="272"/>
      <c r="XM6" s="272"/>
      <c r="XN6" s="272"/>
      <c r="XO6" s="272"/>
      <c r="XP6" s="272"/>
      <c r="XQ6" s="272"/>
      <c r="XR6" s="272"/>
      <c r="XS6" s="272"/>
      <c r="XT6" s="272"/>
      <c r="XU6" s="272"/>
      <c r="XV6" s="272"/>
      <c r="XW6" s="272"/>
      <c r="XX6" s="272"/>
      <c r="XY6" s="272"/>
      <c r="XZ6" s="272"/>
      <c r="YA6" s="272"/>
      <c r="YB6" s="272"/>
      <c r="YC6" s="272"/>
      <c r="YD6" s="272"/>
      <c r="YE6" s="272"/>
      <c r="YF6" s="272"/>
      <c r="YG6" s="272"/>
      <c r="YH6" s="272"/>
      <c r="YI6" s="272"/>
      <c r="YJ6" s="272"/>
      <c r="YK6" s="272"/>
      <c r="YL6" s="272"/>
      <c r="YM6" s="272"/>
      <c r="YN6" s="272"/>
      <c r="YO6" s="272"/>
      <c r="YP6" s="272"/>
      <c r="YQ6" s="272"/>
      <c r="YR6" s="272"/>
      <c r="YS6" s="272"/>
      <c r="YT6" s="272"/>
      <c r="YU6" s="272"/>
      <c r="YV6" s="272"/>
      <c r="YW6" s="272"/>
      <c r="YX6" s="272"/>
      <c r="YY6" s="272"/>
      <c r="YZ6" s="272"/>
      <c r="ZA6" s="272"/>
      <c r="ZB6" s="272"/>
      <c r="ZC6" s="272"/>
      <c r="ZD6" s="272"/>
      <c r="ZE6" s="272"/>
      <c r="ZF6" s="272"/>
      <c r="ZG6" s="272"/>
      <c r="ZH6" s="272"/>
      <c r="ZI6" s="272"/>
      <c r="ZJ6" s="272"/>
      <c r="ZK6" s="272"/>
      <c r="ZL6" s="272"/>
      <c r="ZM6" s="272"/>
      <c r="ZN6" s="272"/>
      <c r="ZO6" s="272"/>
      <c r="ZP6" s="272"/>
      <c r="ZQ6" s="272"/>
      <c r="ZR6" s="272"/>
      <c r="ZS6" s="272"/>
      <c r="ZT6" s="272"/>
    </row>
    <row r="7" spans="1:696" s="86" customFormat="1" ht="15">
      <c r="A7" s="629"/>
      <c r="B7" s="631"/>
      <c r="C7" s="631"/>
      <c r="D7" s="600"/>
      <c r="E7" s="619"/>
      <c r="F7" s="619"/>
      <c r="G7" s="626"/>
      <c r="H7" s="626"/>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c r="DQ7" s="272"/>
      <c r="DR7" s="272"/>
      <c r="DS7" s="272"/>
      <c r="DT7" s="272"/>
      <c r="DU7" s="272"/>
      <c r="DV7" s="272"/>
      <c r="DW7" s="272"/>
      <c r="DX7" s="272"/>
      <c r="DY7" s="272"/>
      <c r="DZ7" s="272"/>
      <c r="EA7" s="272"/>
      <c r="EB7" s="272"/>
      <c r="EC7" s="272"/>
      <c r="ED7" s="272"/>
      <c r="EE7" s="272"/>
      <c r="EF7" s="272"/>
      <c r="EG7" s="272"/>
      <c r="EH7" s="272"/>
      <c r="EI7" s="272"/>
      <c r="EJ7" s="272"/>
      <c r="EK7" s="272"/>
      <c r="EL7" s="272"/>
      <c r="EM7" s="272"/>
      <c r="EN7" s="272"/>
      <c r="EO7" s="272"/>
      <c r="EP7" s="272"/>
      <c r="EQ7" s="272"/>
      <c r="ER7" s="272"/>
      <c r="ES7" s="272"/>
      <c r="ET7" s="272"/>
      <c r="EU7" s="272"/>
      <c r="EV7" s="272"/>
      <c r="EW7" s="272"/>
      <c r="EX7" s="272"/>
      <c r="EY7" s="272"/>
      <c r="EZ7" s="272"/>
      <c r="FA7" s="272"/>
      <c r="FB7" s="272"/>
      <c r="FC7" s="272"/>
      <c r="FD7" s="272"/>
      <c r="FE7" s="272"/>
      <c r="FF7" s="272"/>
      <c r="FG7" s="272"/>
      <c r="FH7" s="272"/>
      <c r="FI7" s="272"/>
      <c r="FJ7" s="272"/>
      <c r="FK7" s="272"/>
      <c r="FL7" s="272"/>
      <c r="FM7" s="272"/>
      <c r="FN7" s="272"/>
      <c r="FO7" s="272"/>
      <c r="FP7" s="272"/>
      <c r="FQ7" s="272"/>
      <c r="FR7" s="272"/>
      <c r="FS7" s="272"/>
      <c r="FT7" s="272"/>
      <c r="FU7" s="272"/>
      <c r="FV7" s="272"/>
      <c r="FW7" s="272"/>
      <c r="FX7" s="272"/>
      <c r="FY7" s="272"/>
      <c r="FZ7" s="272"/>
      <c r="GA7" s="272"/>
      <c r="GB7" s="272"/>
      <c r="GC7" s="272"/>
      <c r="GD7" s="272"/>
      <c r="GE7" s="272"/>
      <c r="GF7" s="272"/>
      <c r="GG7" s="272"/>
      <c r="GH7" s="272"/>
      <c r="GI7" s="272"/>
      <c r="GJ7" s="272"/>
      <c r="GK7" s="272"/>
      <c r="GL7" s="272"/>
      <c r="GM7" s="272"/>
      <c r="GN7" s="272"/>
      <c r="GO7" s="272"/>
      <c r="GP7" s="272"/>
      <c r="GQ7" s="272"/>
      <c r="GR7" s="272"/>
      <c r="GS7" s="272"/>
      <c r="GT7" s="272"/>
      <c r="GU7" s="272"/>
      <c r="GV7" s="272"/>
      <c r="GW7" s="272"/>
      <c r="GX7" s="272"/>
      <c r="GY7" s="272"/>
      <c r="GZ7" s="272"/>
      <c r="HA7" s="272"/>
      <c r="HB7" s="272"/>
      <c r="HC7" s="272"/>
      <c r="HD7" s="272"/>
      <c r="HE7" s="272"/>
      <c r="HF7" s="272"/>
      <c r="HG7" s="272"/>
      <c r="HH7" s="272"/>
      <c r="HI7" s="272"/>
      <c r="HJ7" s="272"/>
      <c r="HK7" s="272"/>
      <c r="HL7" s="272"/>
      <c r="HM7" s="272"/>
      <c r="HN7" s="272"/>
      <c r="HO7" s="272"/>
      <c r="HP7" s="272"/>
      <c r="HQ7" s="272"/>
      <c r="HR7" s="272"/>
      <c r="HS7" s="272"/>
      <c r="HT7" s="272"/>
      <c r="HU7" s="272"/>
      <c r="HV7" s="272"/>
      <c r="HW7" s="272"/>
      <c r="HX7" s="272"/>
      <c r="HY7" s="272"/>
      <c r="HZ7" s="272"/>
      <c r="IA7" s="272"/>
      <c r="IB7" s="272"/>
      <c r="IC7" s="272"/>
      <c r="ID7" s="272"/>
      <c r="IE7" s="272"/>
      <c r="IF7" s="272"/>
      <c r="IG7" s="272"/>
      <c r="IH7" s="272"/>
      <c r="II7" s="272"/>
      <c r="IJ7" s="272"/>
      <c r="IK7" s="272"/>
      <c r="IL7" s="272"/>
      <c r="IM7" s="272"/>
      <c r="IN7" s="272"/>
      <c r="IO7" s="272"/>
      <c r="IP7" s="272"/>
      <c r="IQ7" s="272"/>
      <c r="IR7" s="272"/>
      <c r="IS7" s="272"/>
      <c r="IT7" s="272"/>
      <c r="IU7" s="272"/>
      <c r="IV7" s="272"/>
      <c r="IW7" s="272"/>
      <c r="IX7" s="272"/>
      <c r="IY7" s="272"/>
      <c r="IZ7" s="272"/>
      <c r="JA7" s="272"/>
      <c r="JB7" s="272"/>
      <c r="JC7" s="272"/>
      <c r="JD7" s="272"/>
      <c r="JE7" s="272"/>
      <c r="JF7" s="272"/>
      <c r="JG7" s="272"/>
      <c r="JH7" s="272"/>
      <c r="JI7" s="272"/>
      <c r="JJ7" s="272"/>
      <c r="JK7" s="272"/>
      <c r="JL7" s="272"/>
      <c r="JM7" s="272"/>
      <c r="JN7" s="272"/>
      <c r="JO7" s="272"/>
      <c r="JP7" s="272"/>
      <c r="JQ7" s="272"/>
      <c r="JR7" s="272"/>
      <c r="JS7" s="272"/>
      <c r="JT7" s="272"/>
      <c r="JU7" s="272"/>
      <c r="JV7" s="272"/>
      <c r="JW7" s="272"/>
      <c r="JX7" s="272"/>
      <c r="JY7" s="272"/>
      <c r="JZ7" s="272"/>
      <c r="KA7" s="272"/>
      <c r="KB7" s="272"/>
      <c r="KC7" s="272"/>
      <c r="KD7" s="272"/>
      <c r="KE7" s="272"/>
      <c r="KF7" s="272"/>
      <c r="KG7" s="272"/>
      <c r="KH7" s="272"/>
      <c r="KI7" s="272"/>
      <c r="KJ7" s="272"/>
      <c r="KK7" s="272"/>
      <c r="KL7" s="272"/>
      <c r="KM7" s="272"/>
      <c r="KN7" s="272"/>
      <c r="KO7" s="272"/>
      <c r="KP7" s="272"/>
      <c r="KQ7" s="272"/>
      <c r="KR7" s="272"/>
      <c r="KS7" s="272"/>
      <c r="KT7" s="272"/>
      <c r="KU7" s="272"/>
      <c r="KV7" s="272"/>
      <c r="KW7" s="272"/>
      <c r="KX7" s="272"/>
      <c r="KY7" s="272"/>
      <c r="KZ7" s="272"/>
      <c r="LA7" s="272"/>
      <c r="LB7" s="272"/>
      <c r="LC7" s="272"/>
      <c r="LD7" s="272"/>
      <c r="LE7" s="272"/>
      <c r="LF7" s="272"/>
      <c r="LG7" s="272"/>
      <c r="LH7" s="272"/>
      <c r="LI7" s="272"/>
      <c r="LJ7" s="272"/>
      <c r="LK7" s="272"/>
      <c r="LL7" s="272"/>
      <c r="LM7" s="272"/>
      <c r="LN7" s="272"/>
      <c r="LO7" s="272"/>
      <c r="LP7" s="272"/>
      <c r="LQ7" s="272"/>
      <c r="LR7" s="272"/>
      <c r="LS7" s="272"/>
      <c r="LT7" s="272"/>
      <c r="LU7" s="272"/>
      <c r="LV7" s="272"/>
      <c r="LW7" s="272"/>
      <c r="LX7" s="272"/>
      <c r="LY7" s="272"/>
      <c r="LZ7" s="272"/>
      <c r="MA7" s="272"/>
      <c r="MB7" s="272"/>
      <c r="MC7" s="272"/>
      <c r="MD7" s="272"/>
      <c r="ME7" s="272"/>
      <c r="MF7" s="272"/>
      <c r="MG7" s="272"/>
      <c r="MH7" s="272"/>
      <c r="MI7" s="272"/>
      <c r="MJ7" s="272"/>
      <c r="MK7" s="272"/>
      <c r="ML7" s="272"/>
      <c r="MM7" s="272"/>
      <c r="MN7" s="272"/>
      <c r="MO7" s="272"/>
      <c r="MP7" s="272"/>
      <c r="MQ7" s="272"/>
      <c r="MR7" s="272"/>
      <c r="MS7" s="272"/>
      <c r="MT7" s="272"/>
      <c r="MU7" s="272"/>
      <c r="MV7" s="272"/>
      <c r="MW7" s="272"/>
      <c r="MX7" s="272"/>
      <c r="MY7" s="272"/>
      <c r="MZ7" s="272"/>
      <c r="NA7" s="272"/>
      <c r="NB7" s="272"/>
      <c r="NC7" s="272"/>
      <c r="ND7" s="272"/>
      <c r="NE7" s="272"/>
      <c r="NF7" s="272"/>
      <c r="NG7" s="272"/>
      <c r="NH7" s="272"/>
      <c r="NI7" s="272"/>
      <c r="NJ7" s="272"/>
      <c r="NK7" s="272"/>
      <c r="NL7" s="272"/>
      <c r="NM7" s="272"/>
      <c r="NN7" s="272"/>
      <c r="NO7" s="272"/>
      <c r="NP7" s="272"/>
      <c r="NQ7" s="272"/>
      <c r="NR7" s="272"/>
      <c r="NS7" s="272"/>
      <c r="NT7" s="272"/>
      <c r="NU7" s="272"/>
      <c r="NV7" s="272"/>
      <c r="NW7" s="272"/>
      <c r="NX7" s="272"/>
      <c r="NY7" s="272"/>
      <c r="NZ7" s="272"/>
      <c r="OA7" s="272"/>
      <c r="OB7" s="272"/>
      <c r="OC7" s="272"/>
      <c r="OD7" s="272"/>
      <c r="OE7" s="272"/>
      <c r="OF7" s="272"/>
      <c r="OG7" s="272"/>
      <c r="OH7" s="272"/>
      <c r="OI7" s="272"/>
      <c r="OJ7" s="272"/>
      <c r="OK7" s="272"/>
      <c r="OL7" s="272"/>
      <c r="OM7" s="272"/>
      <c r="ON7" s="272"/>
      <c r="OO7" s="272"/>
      <c r="OP7" s="272"/>
      <c r="OQ7" s="272"/>
      <c r="OR7" s="272"/>
      <c r="OS7" s="272"/>
      <c r="OT7" s="272"/>
      <c r="OU7" s="272"/>
      <c r="OV7" s="272"/>
      <c r="OW7" s="272"/>
      <c r="OX7" s="272"/>
      <c r="OY7" s="272"/>
      <c r="OZ7" s="272"/>
      <c r="PA7" s="272"/>
      <c r="PB7" s="272"/>
      <c r="PC7" s="272"/>
      <c r="PD7" s="272"/>
      <c r="PE7" s="272"/>
      <c r="PF7" s="272"/>
      <c r="PG7" s="272"/>
      <c r="PH7" s="272"/>
      <c r="PI7" s="272"/>
      <c r="PJ7" s="272"/>
      <c r="PK7" s="272"/>
      <c r="PL7" s="272"/>
      <c r="PM7" s="272"/>
      <c r="PN7" s="272"/>
      <c r="PO7" s="272"/>
      <c r="PP7" s="272"/>
      <c r="PQ7" s="272"/>
      <c r="PR7" s="272"/>
      <c r="PS7" s="272"/>
      <c r="PT7" s="272"/>
      <c r="PU7" s="272"/>
      <c r="PV7" s="272"/>
      <c r="PW7" s="272"/>
      <c r="PX7" s="272"/>
      <c r="PY7" s="272"/>
      <c r="PZ7" s="272"/>
      <c r="QA7" s="272"/>
      <c r="QB7" s="272"/>
      <c r="QC7" s="272"/>
      <c r="QD7" s="272"/>
      <c r="QE7" s="272"/>
      <c r="QF7" s="272"/>
      <c r="QG7" s="272"/>
      <c r="QH7" s="272"/>
      <c r="QI7" s="272"/>
      <c r="QJ7" s="272"/>
      <c r="QK7" s="272"/>
      <c r="QL7" s="272"/>
      <c r="QM7" s="272"/>
      <c r="QN7" s="272"/>
      <c r="QO7" s="272"/>
      <c r="QP7" s="272"/>
      <c r="QQ7" s="272"/>
      <c r="QR7" s="272"/>
      <c r="QS7" s="272"/>
      <c r="QT7" s="272"/>
      <c r="QU7" s="272"/>
      <c r="QV7" s="272"/>
      <c r="QW7" s="272"/>
      <c r="QX7" s="272"/>
      <c r="QY7" s="272"/>
      <c r="QZ7" s="272"/>
      <c r="RA7" s="272"/>
      <c r="RB7" s="272"/>
      <c r="RC7" s="272"/>
      <c r="RD7" s="272"/>
      <c r="RE7" s="272"/>
      <c r="RF7" s="272"/>
      <c r="RG7" s="272"/>
      <c r="RH7" s="272"/>
      <c r="RI7" s="272"/>
      <c r="RJ7" s="272"/>
      <c r="RK7" s="272"/>
      <c r="RL7" s="272"/>
      <c r="RM7" s="272"/>
      <c r="RN7" s="272"/>
      <c r="RO7" s="272"/>
      <c r="RP7" s="272"/>
      <c r="RQ7" s="272"/>
      <c r="RR7" s="272"/>
      <c r="RS7" s="272"/>
      <c r="RT7" s="272"/>
      <c r="RU7" s="272"/>
      <c r="RV7" s="272"/>
      <c r="RW7" s="272"/>
      <c r="RX7" s="272"/>
      <c r="RY7" s="272"/>
      <c r="RZ7" s="272"/>
      <c r="SA7" s="272"/>
      <c r="SB7" s="272"/>
      <c r="SC7" s="272"/>
      <c r="SD7" s="272"/>
      <c r="SE7" s="272"/>
      <c r="SF7" s="272"/>
      <c r="SG7" s="272"/>
      <c r="SH7" s="272"/>
      <c r="SI7" s="272"/>
      <c r="SJ7" s="272"/>
      <c r="SK7" s="272"/>
      <c r="SL7" s="272"/>
      <c r="SM7" s="272"/>
      <c r="SN7" s="272"/>
      <c r="SO7" s="272"/>
      <c r="SP7" s="272"/>
      <c r="SQ7" s="272"/>
      <c r="SR7" s="272"/>
      <c r="SS7" s="272"/>
      <c r="ST7" s="272"/>
      <c r="SU7" s="272"/>
      <c r="SV7" s="272"/>
      <c r="SW7" s="272"/>
      <c r="SX7" s="272"/>
      <c r="SY7" s="272"/>
      <c r="SZ7" s="272"/>
      <c r="TA7" s="272"/>
      <c r="TB7" s="272"/>
      <c r="TC7" s="272"/>
      <c r="TD7" s="272"/>
      <c r="TE7" s="272"/>
      <c r="TF7" s="272"/>
      <c r="TG7" s="272"/>
      <c r="TH7" s="272"/>
      <c r="TI7" s="272"/>
      <c r="TJ7" s="272"/>
      <c r="TK7" s="272"/>
      <c r="TL7" s="272"/>
      <c r="TM7" s="272"/>
      <c r="TN7" s="272"/>
      <c r="TO7" s="272"/>
      <c r="TP7" s="272"/>
      <c r="TQ7" s="272"/>
      <c r="TR7" s="272"/>
      <c r="TS7" s="272"/>
      <c r="TT7" s="272"/>
      <c r="TU7" s="272"/>
      <c r="TV7" s="272"/>
      <c r="TW7" s="272"/>
      <c r="TX7" s="272"/>
      <c r="TY7" s="272"/>
      <c r="TZ7" s="272"/>
      <c r="UA7" s="272"/>
      <c r="UB7" s="272"/>
      <c r="UC7" s="272"/>
      <c r="UD7" s="272"/>
      <c r="UE7" s="272"/>
      <c r="UF7" s="272"/>
      <c r="UG7" s="272"/>
      <c r="UH7" s="272"/>
      <c r="UI7" s="272"/>
      <c r="UJ7" s="272"/>
      <c r="UK7" s="272"/>
      <c r="UL7" s="272"/>
      <c r="UM7" s="272"/>
      <c r="UN7" s="272"/>
      <c r="UO7" s="272"/>
      <c r="UP7" s="272"/>
      <c r="UQ7" s="272"/>
      <c r="UR7" s="272"/>
      <c r="US7" s="272"/>
      <c r="UT7" s="272"/>
      <c r="UU7" s="272"/>
      <c r="UV7" s="272"/>
      <c r="UW7" s="272"/>
      <c r="UX7" s="272"/>
      <c r="UY7" s="272"/>
      <c r="UZ7" s="272"/>
      <c r="VA7" s="272"/>
      <c r="VB7" s="272"/>
      <c r="VC7" s="272"/>
      <c r="VD7" s="272"/>
      <c r="VE7" s="272"/>
      <c r="VF7" s="272"/>
      <c r="VG7" s="272"/>
      <c r="VH7" s="272"/>
      <c r="VI7" s="272"/>
      <c r="VJ7" s="272"/>
      <c r="VK7" s="272"/>
      <c r="VL7" s="272"/>
      <c r="VM7" s="272"/>
      <c r="VN7" s="272"/>
      <c r="VO7" s="272"/>
      <c r="VP7" s="272"/>
      <c r="VQ7" s="272"/>
      <c r="VR7" s="272"/>
      <c r="VS7" s="272"/>
      <c r="VT7" s="272"/>
      <c r="VU7" s="272"/>
      <c r="VV7" s="272"/>
      <c r="VW7" s="272"/>
      <c r="VX7" s="272"/>
      <c r="VY7" s="272"/>
      <c r="VZ7" s="272"/>
      <c r="WA7" s="272"/>
      <c r="WB7" s="272"/>
      <c r="WC7" s="272"/>
      <c r="WD7" s="272"/>
      <c r="WE7" s="272"/>
      <c r="WF7" s="272"/>
      <c r="WG7" s="272"/>
      <c r="WH7" s="272"/>
      <c r="WI7" s="272"/>
      <c r="WJ7" s="272"/>
      <c r="WK7" s="272"/>
      <c r="WL7" s="272"/>
      <c r="WM7" s="272"/>
      <c r="WN7" s="272"/>
      <c r="WO7" s="272"/>
      <c r="WP7" s="272"/>
      <c r="WQ7" s="272"/>
      <c r="WR7" s="272"/>
      <c r="WS7" s="272"/>
      <c r="WT7" s="272"/>
      <c r="WU7" s="272"/>
      <c r="WV7" s="272"/>
      <c r="WW7" s="272"/>
      <c r="WX7" s="272"/>
      <c r="WY7" s="272"/>
      <c r="WZ7" s="272"/>
      <c r="XA7" s="272"/>
      <c r="XB7" s="272"/>
      <c r="XC7" s="272"/>
      <c r="XD7" s="272"/>
      <c r="XE7" s="272"/>
      <c r="XF7" s="272"/>
      <c r="XG7" s="272"/>
      <c r="XH7" s="272"/>
      <c r="XI7" s="272"/>
      <c r="XJ7" s="272"/>
      <c r="XK7" s="272"/>
      <c r="XL7" s="272"/>
      <c r="XM7" s="272"/>
      <c r="XN7" s="272"/>
      <c r="XO7" s="272"/>
      <c r="XP7" s="272"/>
      <c r="XQ7" s="272"/>
      <c r="XR7" s="272"/>
      <c r="XS7" s="272"/>
      <c r="XT7" s="272"/>
      <c r="XU7" s="272"/>
      <c r="XV7" s="272"/>
      <c r="XW7" s="272"/>
      <c r="XX7" s="272"/>
      <c r="XY7" s="272"/>
      <c r="XZ7" s="272"/>
      <c r="YA7" s="272"/>
      <c r="YB7" s="272"/>
      <c r="YC7" s="272"/>
      <c r="YD7" s="272"/>
      <c r="YE7" s="272"/>
      <c r="YF7" s="272"/>
      <c r="YG7" s="272"/>
      <c r="YH7" s="272"/>
      <c r="YI7" s="272"/>
      <c r="YJ7" s="272"/>
      <c r="YK7" s="272"/>
      <c r="YL7" s="272"/>
      <c r="YM7" s="272"/>
      <c r="YN7" s="272"/>
      <c r="YO7" s="272"/>
      <c r="YP7" s="272"/>
      <c r="YQ7" s="272"/>
      <c r="YR7" s="272"/>
      <c r="YS7" s="272"/>
      <c r="YT7" s="272"/>
      <c r="YU7" s="272"/>
      <c r="YV7" s="272"/>
      <c r="YW7" s="272"/>
      <c r="YX7" s="272"/>
      <c r="YY7" s="272"/>
      <c r="YZ7" s="272"/>
      <c r="ZA7" s="272"/>
      <c r="ZB7" s="272"/>
      <c r="ZC7" s="272"/>
      <c r="ZD7" s="272"/>
      <c r="ZE7" s="272"/>
      <c r="ZF7" s="272"/>
      <c r="ZG7" s="272"/>
      <c r="ZH7" s="272"/>
      <c r="ZI7" s="272"/>
      <c r="ZJ7" s="272"/>
      <c r="ZK7" s="272"/>
      <c r="ZL7" s="272"/>
      <c r="ZM7" s="272"/>
      <c r="ZN7" s="272"/>
      <c r="ZO7" s="272"/>
      <c r="ZP7" s="272"/>
      <c r="ZQ7" s="272"/>
      <c r="ZR7" s="272"/>
      <c r="ZS7" s="272"/>
      <c r="ZT7" s="272"/>
    </row>
    <row r="8" spans="1:696" s="86" customFormat="1" ht="12.75" customHeight="1">
      <c r="A8" s="629"/>
      <c r="B8" s="631"/>
      <c r="C8" s="631"/>
      <c r="D8" s="600"/>
      <c r="E8" s="619"/>
      <c r="F8" s="619"/>
      <c r="G8" s="626"/>
      <c r="H8" s="626"/>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c r="IG8" s="272"/>
      <c r="IH8" s="272"/>
      <c r="II8" s="272"/>
      <c r="IJ8" s="272"/>
      <c r="IK8" s="272"/>
      <c r="IL8" s="272"/>
      <c r="IM8" s="272"/>
      <c r="IN8" s="272"/>
      <c r="IO8" s="272"/>
      <c r="IP8" s="272"/>
      <c r="IQ8" s="272"/>
      <c r="IR8" s="272"/>
      <c r="IS8" s="272"/>
      <c r="IT8" s="272"/>
      <c r="IU8" s="272"/>
      <c r="IV8" s="272"/>
      <c r="IW8" s="272"/>
      <c r="IX8" s="272"/>
      <c r="IY8" s="272"/>
      <c r="IZ8" s="272"/>
      <c r="JA8" s="272"/>
      <c r="JB8" s="272"/>
      <c r="JC8" s="272"/>
      <c r="JD8" s="272"/>
      <c r="JE8" s="272"/>
      <c r="JF8" s="272"/>
      <c r="JG8" s="272"/>
      <c r="JH8" s="272"/>
      <c r="JI8" s="272"/>
      <c r="JJ8" s="272"/>
      <c r="JK8" s="272"/>
      <c r="JL8" s="272"/>
      <c r="JM8" s="272"/>
      <c r="JN8" s="272"/>
      <c r="JO8" s="272"/>
      <c r="JP8" s="272"/>
      <c r="JQ8" s="272"/>
      <c r="JR8" s="272"/>
      <c r="JS8" s="272"/>
      <c r="JT8" s="272"/>
      <c r="JU8" s="272"/>
      <c r="JV8" s="272"/>
      <c r="JW8" s="272"/>
      <c r="JX8" s="272"/>
      <c r="JY8" s="272"/>
      <c r="JZ8" s="272"/>
      <c r="KA8" s="272"/>
      <c r="KB8" s="272"/>
      <c r="KC8" s="272"/>
      <c r="KD8" s="272"/>
      <c r="KE8" s="272"/>
      <c r="KF8" s="272"/>
      <c r="KG8" s="272"/>
      <c r="KH8" s="272"/>
      <c r="KI8" s="272"/>
      <c r="KJ8" s="272"/>
      <c r="KK8" s="272"/>
      <c r="KL8" s="272"/>
      <c r="KM8" s="272"/>
      <c r="KN8" s="272"/>
      <c r="KO8" s="272"/>
      <c r="KP8" s="272"/>
      <c r="KQ8" s="272"/>
      <c r="KR8" s="272"/>
      <c r="KS8" s="272"/>
      <c r="KT8" s="272"/>
      <c r="KU8" s="272"/>
      <c r="KV8" s="272"/>
      <c r="KW8" s="272"/>
      <c r="KX8" s="272"/>
      <c r="KY8" s="272"/>
      <c r="KZ8" s="272"/>
      <c r="LA8" s="272"/>
      <c r="LB8" s="272"/>
      <c r="LC8" s="272"/>
      <c r="LD8" s="272"/>
      <c r="LE8" s="272"/>
      <c r="LF8" s="272"/>
      <c r="LG8" s="272"/>
      <c r="LH8" s="272"/>
      <c r="LI8" s="272"/>
      <c r="LJ8" s="272"/>
      <c r="LK8" s="272"/>
      <c r="LL8" s="272"/>
      <c r="LM8" s="272"/>
      <c r="LN8" s="272"/>
      <c r="LO8" s="272"/>
      <c r="LP8" s="272"/>
      <c r="LQ8" s="272"/>
      <c r="LR8" s="272"/>
      <c r="LS8" s="272"/>
      <c r="LT8" s="272"/>
      <c r="LU8" s="272"/>
      <c r="LV8" s="272"/>
      <c r="LW8" s="272"/>
      <c r="LX8" s="272"/>
      <c r="LY8" s="272"/>
      <c r="LZ8" s="272"/>
      <c r="MA8" s="272"/>
      <c r="MB8" s="272"/>
      <c r="MC8" s="272"/>
      <c r="MD8" s="272"/>
      <c r="ME8" s="272"/>
      <c r="MF8" s="272"/>
      <c r="MG8" s="272"/>
      <c r="MH8" s="272"/>
      <c r="MI8" s="272"/>
      <c r="MJ8" s="272"/>
      <c r="MK8" s="272"/>
      <c r="ML8" s="272"/>
      <c r="MM8" s="272"/>
      <c r="MN8" s="272"/>
      <c r="MO8" s="272"/>
      <c r="MP8" s="272"/>
      <c r="MQ8" s="272"/>
      <c r="MR8" s="272"/>
      <c r="MS8" s="272"/>
      <c r="MT8" s="272"/>
      <c r="MU8" s="272"/>
      <c r="MV8" s="272"/>
      <c r="MW8" s="272"/>
      <c r="MX8" s="272"/>
      <c r="MY8" s="272"/>
      <c r="MZ8" s="272"/>
      <c r="NA8" s="272"/>
      <c r="NB8" s="272"/>
      <c r="NC8" s="272"/>
      <c r="ND8" s="272"/>
      <c r="NE8" s="272"/>
      <c r="NF8" s="272"/>
      <c r="NG8" s="272"/>
      <c r="NH8" s="272"/>
      <c r="NI8" s="272"/>
      <c r="NJ8" s="272"/>
      <c r="NK8" s="272"/>
      <c r="NL8" s="272"/>
      <c r="NM8" s="272"/>
      <c r="NN8" s="272"/>
      <c r="NO8" s="272"/>
      <c r="NP8" s="272"/>
      <c r="NQ8" s="272"/>
      <c r="NR8" s="272"/>
      <c r="NS8" s="272"/>
      <c r="NT8" s="272"/>
      <c r="NU8" s="272"/>
      <c r="NV8" s="272"/>
      <c r="NW8" s="272"/>
      <c r="NX8" s="272"/>
      <c r="NY8" s="272"/>
      <c r="NZ8" s="272"/>
      <c r="OA8" s="272"/>
      <c r="OB8" s="272"/>
      <c r="OC8" s="272"/>
      <c r="OD8" s="272"/>
      <c r="OE8" s="272"/>
      <c r="OF8" s="272"/>
      <c r="OG8" s="272"/>
      <c r="OH8" s="272"/>
      <c r="OI8" s="272"/>
      <c r="OJ8" s="272"/>
      <c r="OK8" s="272"/>
      <c r="OL8" s="272"/>
      <c r="OM8" s="272"/>
      <c r="ON8" s="272"/>
      <c r="OO8" s="272"/>
      <c r="OP8" s="272"/>
      <c r="OQ8" s="272"/>
      <c r="OR8" s="272"/>
      <c r="OS8" s="272"/>
      <c r="OT8" s="272"/>
      <c r="OU8" s="272"/>
      <c r="OV8" s="272"/>
      <c r="OW8" s="272"/>
      <c r="OX8" s="272"/>
      <c r="OY8" s="272"/>
      <c r="OZ8" s="272"/>
      <c r="PA8" s="272"/>
      <c r="PB8" s="272"/>
      <c r="PC8" s="272"/>
      <c r="PD8" s="272"/>
      <c r="PE8" s="272"/>
      <c r="PF8" s="272"/>
      <c r="PG8" s="272"/>
      <c r="PH8" s="272"/>
      <c r="PI8" s="272"/>
      <c r="PJ8" s="272"/>
      <c r="PK8" s="272"/>
      <c r="PL8" s="272"/>
      <c r="PM8" s="272"/>
      <c r="PN8" s="272"/>
      <c r="PO8" s="272"/>
      <c r="PP8" s="272"/>
      <c r="PQ8" s="272"/>
      <c r="PR8" s="272"/>
      <c r="PS8" s="272"/>
      <c r="PT8" s="272"/>
      <c r="PU8" s="272"/>
      <c r="PV8" s="272"/>
      <c r="PW8" s="272"/>
      <c r="PX8" s="272"/>
      <c r="PY8" s="272"/>
      <c r="PZ8" s="272"/>
      <c r="QA8" s="272"/>
      <c r="QB8" s="272"/>
      <c r="QC8" s="272"/>
      <c r="QD8" s="272"/>
      <c r="QE8" s="272"/>
      <c r="QF8" s="272"/>
      <c r="QG8" s="272"/>
      <c r="QH8" s="272"/>
      <c r="QI8" s="272"/>
      <c r="QJ8" s="272"/>
      <c r="QK8" s="272"/>
      <c r="QL8" s="272"/>
      <c r="QM8" s="272"/>
      <c r="QN8" s="272"/>
      <c r="QO8" s="272"/>
      <c r="QP8" s="272"/>
      <c r="QQ8" s="272"/>
      <c r="QR8" s="272"/>
      <c r="QS8" s="272"/>
      <c r="QT8" s="272"/>
      <c r="QU8" s="272"/>
      <c r="QV8" s="272"/>
      <c r="QW8" s="272"/>
      <c r="QX8" s="272"/>
      <c r="QY8" s="272"/>
      <c r="QZ8" s="272"/>
      <c r="RA8" s="272"/>
      <c r="RB8" s="272"/>
      <c r="RC8" s="272"/>
      <c r="RD8" s="272"/>
      <c r="RE8" s="272"/>
      <c r="RF8" s="272"/>
      <c r="RG8" s="272"/>
      <c r="RH8" s="272"/>
      <c r="RI8" s="272"/>
      <c r="RJ8" s="272"/>
      <c r="RK8" s="272"/>
      <c r="RL8" s="272"/>
      <c r="RM8" s="272"/>
      <c r="RN8" s="272"/>
      <c r="RO8" s="272"/>
      <c r="RP8" s="272"/>
      <c r="RQ8" s="272"/>
      <c r="RR8" s="272"/>
      <c r="RS8" s="272"/>
      <c r="RT8" s="272"/>
      <c r="RU8" s="272"/>
      <c r="RV8" s="272"/>
      <c r="RW8" s="272"/>
      <c r="RX8" s="272"/>
      <c r="RY8" s="272"/>
      <c r="RZ8" s="272"/>
      <c r="SA8" s="272"/>
      <c r="SB8" s="272"/>
      <c r="SC8" s="272"/>
      <c r="SD8" s="272"/>
      <c r="SE8" s="272"/>
      <c r="SF8" s="272"/>
      <c r="SG8" s="272"/>
      <c r="SH8" s="272"/>
      <c r="SI8" s="272"/>
      <c r="SJ8" s="272"/>
      <c r="SK8" s="272"/>
      <c r="SL8" s="272"/>
      <c r="SM8" s="272"/>
      <c r="SN8" s="272"/>
      <c r="SO8" s="272"/>
      <c r="SP8" s="272"/>
      <c r="SQ8" s="272"/>
      <c r="SR8" s="272"/>
      <c r="SS8" s="272"/>
      <c r="ST8" s="272"/>
      <c r="SU8" s="272"/>
      <c r="SV8" s="272"/>
      <c r="SW8" s="272"/>
      <c r="SX8" s="272"/>
      <c r="SY8" s="272"/>
      <c r="SZ8" s="272"/>
      <c r="TA8" s="272"/>
      <c r="TB8" s="272"/>
      <c r="TC8" s="272"/>
      <c r="TD8" s="272"/>
      <c r="TE8" s="272"/>
      <c r="TF8" s="272"/>
      <c r="TG8" s="272"/>
      <c r="TH8" s="272"/>
      <c r="TI8" s="272"/>
      <c r="TJ8" s="272"/>
      <c r="TK8" s="272"/>
      <c r="TL8" s="272"/>
      <c r="TM8" s="272"/>
      <c r="TN8" s="272"/>
      <c r="TO8" s="272"/>
      <c r="TP8" s="272"/>
      <c r="TQ8" s="272"/>
      <c r="TR8" s="272"/>
      <c r="TS8" s="272"/>
      <c r="TT8" s="272"/>
      <c r="TU8" s="272"/>
      <c r="TV8" s="272"/>
      <c r="TW8" s="272"/>
      <c r="TX8" s="272"/>
      <c r="TY8" s="272"/>
      <c r="TZ8" s="272"/>
      <c r="UA8" s="272"/>
      <c r="UB8" s="272"/>
      <c r="UC8" s="272"/>
      <c r="UD8" s="272"/>
      <c r="UE8" s="272"/>
      <c r="UF8" s="272"/>
      <c r="UG8" s="272"/>
      <c r="UH8" s="272"/>
      <c r="UI8" s="272"/>
      <c r="UJ8" s="272"/>
      <c r="UK8" s="272"/>
      <c r="UL8" s="272"/>
      <c r="UM8" s="272"/>
      <c r="UN8" s="272"/>
      <c r="UO8" s="272"/>
      <c r="UP8" s="272"/>
      <c r="UQ8" s="272"/>
      <c r="UR8" s="272"/>
      <c r="US8" s="272"/>
      <c r="UT8" s="272"/>
      <c r="UU8" s="272"/>
      <c r="UV8" s="272"/>
      <c r="UW8" s="272"/>
      <c r="UX8" s="272"/>
      <c r="UY8" s="272"/>
      <c r="UZ8" s="272"/>
      <c r="VA8" s="272"/>
      <c r="VB8" s="272"/>
      <c r="VC8" s="272"/>
      <c r="VD8" s="272"/>
      <c r="VE8" s="272"/>
      <c r="VF8" s="272"/>
      <c r="VG8" s="272"/>
      <c r="VH8" s="272"/>
      <c r="VI8" s="272"/>
      <c r="VJ8" s="272"/>
      <c r="VK8" s="272"/>
      <c r="VL8" s="272"/>
      <c r="VM8" s="272"/>
      <c r="VN8" s="272"/>
      <c r="VO8" s="272"/>
      <c r="VP8" s="272"/>
      <c r="VQ8" s="272"/>
      <c r="VR8" s="272"/>
      <c r="VS8" s="272"/>
      <c r="VT8" s="272"/>
      <c r="VU8" s="272"/>
      <c r="VV8" s="272"/>
      <c r="VW8" s="272"/>
      <c r="VX8" s="272"/>
      <c r="VY8" s="272"/>
      <c r="VZ8" s="272"/>
      <c r="WA8" s="272"/>
      <c r="WB8" s="272"/>
      <c r="WC8" s="272"/>
      <c r="WD8" s="272"/>
      <c r="WE8" s="272"/>
      <c r="WF8" s="272"/>
      <c r="WG8" s="272"/>
      <c r="WH8" s="272"/>
      <c r="WI8" s="272"/>
      <c r="WJ8" s="272"/>
      <c r="WK8" s="272"/>
      <c r="WL8" s="272"/>
      <c r="WM8" s="272"/>
      <c r="WN8" s="272"/>
      <c r="WO8" s="272"/>
      <c r="WP8" s="272"/>
      <c r="WQ8" s="272"/>
      <c r="WR8" s="272"/>
      <c r="WS8" s="272"/>
      <c r="WT8" s="272"/>
      <c r="WU8" s="272"/>
      <c r="WV8" s="272"/>
      <c r="WW8" s="272"/>
      <c r="WX8" s="272"/>
      <c r="WY8" s="272"/>
      <c r="WZ8" s="272"/>
      <c r="XA8" s="272"/>
      <c r="XB8" s="272"/>
      <c r="XC8" s="272"/>
      <c r="XD8" s="272"/>
      <c r="XE8" s="272"/>
      <c r="XF8" s="272"/>
      <c r="XG8" s="272"/>
      <c r="XH8" s="272"/>
      <c r="XI8" s="272"/>
      <c r="XJ8" s="272"/>
      <c r="XK8" s="272"/>
      <c r="XL8" s="272"/>
      <c r="XM8" s="272"/>
      <c r="XN8" s="272"/>
      <c r="XO8" s="272"/>
      <c r="XP8" s="272"/>
      <c r="XQ8" s="272"/>
      <c r="XR8" s="272"/>
      <c r="XS8" s="272"/>
      <c r="XT8" s="272"/>
      <c r="XU8" s="272"/>
      <c r="XV8" s="272"/>
      <c r="XW8" s="272"/>
      <c r="XX8" s="272"/>
      <c r="XY8" s="272"/>
      <c r="XZ8" s="272"/>
      <c r="YA8" s="272"/>
      <c r="YB8" s="272"/>
      <c r="YC8" s="272"/>
      <c r="YD8" s="272"/>
      <c r="YE8" s="272"/>
      <c r="YF8" s="272"/>
      <c r="YG8" s="272"/>
      <c r="YH8" s="272"/>
      <c r="YI8" s="272"/>
      <c r="YJ8" s="272"/>
      <c r="YK8" s="272"/>
      <c r="YL8" s="272"/>
      <c r="YM8" s="272"/>
      <c r="YN8" s="272"/>
      <c r="YO8" s="272"/>
      <c r="YP8" s="272"/>
      <c r="YQ8" s="272"/>
      <c r="YR8" s="272"/>
      <c r="YS8" s="272"/>
      <c r="YT8" s="272"/>
      <c r="YU8" s="272"/>
      <c r="YV8" s="272"/>
      <c r="YW8" s="272"/>
      <c r="YX8" s="272"/>
      <c r="YY8" s="272"/>
      <c r="YZ8" s="272"/>
      <c r="ZA8" s="272"/>
      <c r="ZB8" s="272"/>
      <c r="ZC8" s="272"/>
      <c r="ZD8" s="272"/>
      <c r="ZE8" s="272"/>
      <c r="ZF8" s="272"/>
      <c r="ZG8" s="272"/>
      <c r="ZH8" s="272"/>
      <c r="ZI8" s="272"/>
      <c r="ZJ8" s="272"/>
      <c r="ZK8" s="272"/>
      <c r="ZL8" s="272"/>
      <c r="ZM8" s="272"/>
      <c r="ZN8" s="272"/>
      <c r="ZO8" s="272"/>
      <c r="ZP8" s="272"/>
      <c r="ZQ8" s="272"/>
      <c r="ZR8" s="272"/>
      <c r="ZS8" s="272"/>
      <c r="ZT8" s="272"/>
    </row>
    <row r="9" spans="1:696" s="86" customFormat="1" ht="48.75" customHeight="1">
      <c r="A9" s="629"/>
      <c r="B9" s="631"/>
      <c r="C9" s="633"/>
      <c r="D9" s="601"/>
      <c r="E9" s="619"/>
      <c r="F9" s="620"/>
      <c r="G9" s="627"/>
      <c r="H9" s="627"/>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272"/>
      <c r="EO9" s="272"/>
      <c r="EP9" s="272"/>
      <c r="EQ9" s="272"/>
      <c r="ER9" s="272"/>
      <c r="ES9" s="272"/>
      <c r="ET9" s="272"/>
      <c r="EU9" s="272"/>
      <c r="EV9" s="272"/>
      <c r="EW9" s="272"/>
      <c r="EX9" s="272"/>
      <c r="EY9" s="272"/>
      <c r="EZ9" s="272"/>
      <c r="FA9" s="272"/>
      <c r="FB9" s="272"/>
      <c r="FC9" s="272"/>
      <c r="FD9" s="272"/>
      <c r="FE9" s="272"/>
      <c r="FF9" s="272"/>
      <c r="FG9" s="272"/>
      <c r="FH9" s="272"/>
      <c r="FI9" s="272"/>
      <c r="FJ9" s="272"/>
      <c r="FK9" s="272"/>
      <c r="FL9" s="272"/>
      <c r="FM9" s="272"/>
      <c r="FN9" s="272"/>
      <c r="FO9" s="272"/>
      <c r="FP9" s="272"/>
      <c r="FQ9" s="272"/>
      <c r="FR9" s="272"/>
      <c r="FS9" s="272"/>
      <c r="FT9" s="272"/>
      <c r="FU9" s="272"/>
      <c r="FV9" s="272"/>
      <c r="FW9" s="272"/>
      <c r="FX9" s="272"/>
      <c r="FY9" s="272"/>
      <c r="FZ9" s="272"/>
      <c r="GA9" s="272"/>
      <c r="GB9" s="272"/>
      <c r="GC9" s="272"/>
      <c r="GD9" s="272"/>
      <c r="GE9" s="272"/>
      <c r="GF9" s="272"/>
      <c r="GG9" s="272"/>
      <c r="GH9" s="272"/>
      <c r="GI9" s="272"/>
      <c r="GJ9" s="272"/>
      <c r="GK9" s="272"/>
      <c r="GL9" s="272"/>
      <c r="GM9" s="272"/>
      <c r="GN9" s="272"/>
      <c r="GO9" s="272"/>
      <c r="GP9" s="272"/>
      <c r="GQ9" s="272"/>
      <c r="GR9" s="272"/>
      <c r="GS9" s="272"/>
      <c r="GT9" s="272"/>
      <c r="GU9" s="272"/>
      <c r="GV9" s="272"/>
      <c r="GW9" s="272"/>
      <c r="GX9" s="272"/>
      <c r="GY9" s="272"/>
      <c r="GZ9" s="272"/>
      <c r="HA9" s="272"/>
      <c r="HB9" s="272"/>
      <c r="HC9" s="272"/>
      <c r="HD9" s="272"/>
      <c r="HE9" s="272"/>
      <c r="HF9" s="272"/>
      <c r="HG9" s="272"/>
      <c r="HH9" s="272"/>
      <c r="HI9" s="272"/>
      <c r="HJ9" s="272"/>
      <c r="HK9" s="272"/>
      <c r="HL9" s="272"/>
      <c r="HM9" s="272"/>
      <c r="HN9" s="272"/>
      <c r="HO9" s="272"/>
      <c r="HP9" s="272"/>
      <c r="HQ9" s="272"/>
      <c r="HR9" s="272"/>
      <c r="HS9" s="272"/>
      <c r="HT9" s="272"/>
      <c r="HU9" s="272"/>
      <c r="HV9" s="272"/>
      <c r="HW9" s="272"/>
      <c r="HX9" s="272"/>
      <c r="HY9" s="272"/>
      <c r="HZ9" s="272"/>
      <c r="IA9" s="272"/>
      <c r="IB9" s="272"/>
      <c r="IC9" s="272"/>
      <c r="ID9" s="272"/>
      <c r="IE9" s="272"/>
      <c r="IF9" s="272"/>
      <c r="IG9" s="272"/>
      <c r="IH9" s="272"/>
      <c r="II9" s="272"/>
      <c r="IJ9" s="272"/>
      <c r="IK9" s="272"/>
      <c r="IL9" s="272"/>
      <c r="IM9" s="272"/>
      <c r="IN9" s="272"/>
      <c r="IO9" s="272"/>
      <c r="IP9" s="272"/>
      <c r="IQ9" s="272"/>
      <c r="IR9" s="272"/>
      <c r="IS9" s="272"/>
      <c r="IT9" s="272"/>
      <c r="IU9" s="272"/>
      <c r="IV9" s="272"/>
      <c r="IW9" s="272"/>
      <c r="IX9" s="272"/>
      <c r="IY9" s="272"/>
      <c r="IZ9" s="272"/>
      <c r="JA9" s="272"/>
      <c r="JB9" s="272"/>
      <c r="JC9" s="272"/>
      <c r="JD9" s="272"/>
      <c r="JE9" s="272"/>
      <c r="JF9" s="272"/>
      <c r="JG9" s="272"/>
      <c r="JH9" s="272"/>
      <c r="JI9" s="272"/>
      <c r="JJ9" s="272"/>
      <c r="JK9" s="272"/>
      <c r="JL9" s="272"/>
      <c r="JM9" s="272"/>
      <c r="JN9" s="272"/>
      <c r="JO9" s="272"/>
      <c r="JP9" s="272"/>
      <c r="JQ9" s="272"/>
      <c r="JR9" s="272"/>
      <c r="JS9" s="272"/>
      <c r="JT9" s="272"/>
      <c r="JU9" s="272"/>
      <c r="JV9" s="272"/>
      <c r="JW9" s="272"/>
      <c r="JX9" s="272"/>
      <c r="JY9" s="272"/>
      <c r="JZ9" s="272"/>
      <c r="KA9" s="272"/>
      <c r="KB9" s="272"/>
      <c r="KC9" s="272"/>
      <c r="KD9" s="272"/>
      <c r="KE9" s="272"/>
      <c r="KF9" s="272"/>
      <c r="KG9" s="272"/>
      <c r="KH9" s="272"/>
      <c r="KI9" s="272"/>
      <c r="KJ9" s="272"/>
      <c r="KK9" s="272"/>
      <c r="KL9" s="272"/>
      <c r="KM9" s="272"/>
      <c r="KN9" s="272"/>
      <c r="KO9" s="272"/>
      <c r="KP9" s="272"/>
      <c r="KQ9" s="272"/>
      <c r="KR9" s="272"/>
      <c r="KS9" s="272"/>
      <c r="KT9" s="272"/>
      <c r="KU9" s="272"/>
      <c r="KV9" s="272"/>
      <c r="KW9" s="272"/>
      <c r="KX9" s="272"/>
      <c r="KY9" s="272"/>
      <c r="KZ9" s="272"/>
      <c r="LA9" s="272"/>
      <c r="LB9" s="272"/>
      <c r="LC9" s="272"/>
      <c r="LD9" s="272"/>
      <c r="LE9" s="272"/>
      <c r="LF9" s="272"/>
      <c r="LG9" s="272"/>
      <c r="LH9" s="272"/>
      <c r="LI9" s="272"/>
      <c r="LJ9" s="272"/>
      <c r="LK9" s="272"/>
      <c r="LL9" s="272"/>
      <c r="LM9" s="272"/>
      <c r="LN9" s="272"/>
      <c r="LO9" s="272"/>
      <c r="LP9" s="272"/>
      <c r="LQ9" s="272"/>
      <c r="LR9" s="272"/>
      <c r="LS9" s="272"/>
      <c r="LT9" s="272"/>
      <c r="LU9" s="272"/>
      <c r="LV9" s="272"/>
      <c r="LW9" s="272"/>
      <c r="LX9" s="272"/>
      <c r="LY9" s="272"/>
      <c r="LZ9" s="272"/>
      <c r="MA9" s="272"/>
      <c r="MB9" s="272"/>
      <c r="MC9" s="272"/>
      <c r="MD9" s="272"/>
      <c r="ME9" s="272"/>
      <c r="MF9" s="272"/>
      <c r="MG9" s="272"/>
      <c r="MH9" s="272"/>
      <c r="MI9" s="272"/>
      <c r="MJ9" s="272"/>
      <c r="MK9" s="272"/>
      <c r="ML9" s="272"/>
      <c r="MM9" s="272"/>
      <c r="MN9" s="272"/>
      <c r="MO9" s="272"/>
      <c r="MP9" s="272"/>
      <c r="MQ9" s="272"/>
      <c r="MR9" s="272"/>
      <c r="MS9" s="272"/>
      <c r="MT9" s="272"/>
      <c r="MU9" s="272"/>
      <c r="MV9" s="272"/>
      <c r="MW9" s="272"/>
      <c r="MX9" s="272"/>
      <c r="MY9" s="272"/>
      <c r="MZ9" s="272"/>
      <c r="NA9" s="272"/>
      <c r="NB9" s="272"/>
      <c r="NC9" s="272"/>
      <c r="ND9" s="272"/>
      <c r="NE9" s="272"/>
      <c r="NF9" s="272"/>
      <c r="NG9" s="272"/>
      <c r="NH9" s="272"/>
      <c r="NI9" s="272"/>
      <c r="NJ9" s="272"/>
      <c r="NK9" s="272"/>
      <c r="NL9" s="272"/>
      <c r="NM9" s="272"/>
      <c r="NN9" s="272"/>
      <c r="NO9" s="272"/>
      <c r="NP9" s="272"/>
      <c r="NQ9" s="272"/>
      <c r="NR9" s="272"/>
      <c r="NS9" s="272"/>
      <c r="NT9" s="272"/>
      <c r="NU9" s="272"/>
      <c r="NV9" s="272"/>
      <c r="NW9" s="272"/>
      <c r="NX9" s="272"/>
      <c r="NY9" s="272"/>
      <c r="NZ9" s="272"/>
      <c r="OA9" s="272"/>
      <c r="OB9" s="272"/>
      <c r="OC9" s="272"/>
      <c r="OD9" s="272"/>
      <c r="OE9" s="272"/>
      <c r="OF9" s="272"/>
      <c r="OG9" s="272"/>
      <c r="OH9" s="272"/>
      <c r="OI9" s="272"/>
      <c r="OJ9" s="272"/>
      <c r="OK9" s="272"/>
      <c r="OL9" s="272"/>
      <c r="OM9" s="272"/>
      <c r="ON9" s="272"/>
      <c r="OO9" s="272"/>
      <c r="OP9" s="272"/>
      <c r="OQ9" s="272"/>
      <c r="OR9" s="272"/>
      <c r="OS9" s="272"/>
      <c r="OT9" s="272"/>
      <c r="OU9" s="272"/>
      <c r="OV9" s="272"/>
      <c r="OW9" s="272"/>
      <c r="OX9" s="272"/>
      <c r="OY9" s="272"/>
      <c r="OZ9" s="272"/>
      <c r="PA9" s="272"/>
      <c r="PB9" s="272"/>
      <c r="PC9" s="272"/>
      <c r="PD9" s="272"/>
      <c r="PE9" s="272"/>
      <c r="PF9" s="272"/>
      <c r="PG9" s="272"/>
      <c r="PH9" s="272"/>
      <c r="PI9" s="272"/>
      <c r="PJ9" s="272"/>
      <c r="PK9" s="272"/>
      <c r="PL9" s="272"/>
      <c r="PM9" s="272"/>
      <c r="PN9" s="272"/>
      <c r="PO9" s="272"/>
      <c r="PP9" s="272"/>
      <c r="PQ9" s="272"/>
      <c r="PR9" s="272"/>
      <c r="PS9" s="272"/>
      <c r="PT9" s="272"/>
      <c r="PU9" s="272"/>
      <c r="PV9" s="272"/>
      <c r="PW9" s="272"/>
      <c r="PX9" s="272"/>
      <c r="PY9" s="272"/>
      <c r="PZ9" s="272"/>
      <c r="QA9" s="272"/>
      <c r="QB9" s="272"/>
      <c r="QC9" s="272"/>
      <c r="QD9" s="272"/>
      <c r="QE9" s="272"/>
      <c r="QF9" s="272"/>
      <c r="QG9" s="272"/>
      <c r="QH9" s="272"/>
      <c r="QI9" s="272"/>
      <c r="QJ9" s="272"/>
      <c r="QK9" s="272"/>
      <c r="QL9" s="272"/>
      <c r="QM9" s="272"/>
      <c r="QN9" s="272"/>
      <c r="QO9" s="272"/>
      <c r="QP9" s="272"/>
      <c r="QQ9" s="272"/>
      <c r="QR9" s="272"/>
      <c r="QS9" s="272"/>
      <c r="QT9" s="272"/>
      <c r="QU9" s="272"/>
      <c r="QV9" s="272"/>
      <c r="QW9" s="272"/>
      <c r="QX9" s="272"/>
      <c r="QY9" s="272"/>
      <c r="QZ9" s="272"/>
      <c r="RA9" s="272"/>
      <c r="RB9" s="272"/>
      <c r="RC9" s="272"/>
      <c r="RD9" s="272"/>
      <c r="RE9" s="272"/>
      <c r="RF9" s="272"/>
      <c r="RG9" s="272"/>
      <c r="RH9" s="272"/>
      <c r="RI9" s="272"/>
      <c r="RJ9" s="272"/>
      <c r="RK9" s="272"/>
      <c r="RL9" s="272"/>
      <c r="RM9" s="272"/>
      <c r="RN9" s="272"/>
      <c r="RO9" s="272"/>
      <c r="RP9" s="272"/>
      <c r="RQ9" s="272"/>
      <c r="RR9" s="272"/>
      <c r="RS9" s="272"/>
      <c r="RT9" s="272"/>
      <c r="RU9" s="272"/>
      <c r="RV9" s="272"/>
      <c r="RW9" s="272"/>
      <c r="RX9" s="272"/>
      <c r="RY9" s="272"/>
      <c r="RZ9" s="272"/>
      <c r="SA9" s="272"/>
      <c r="SB9" s="272"/>
      <c r="SC9" s="272"/>
      <c r="SD9" s="272"/>
      <c r="SE9" s="272"/>
      <c r="SF9" s="272"/>
      <c r="SG9" s="272"/>
      <c r="SH9" s="272"/>
      <c r="SI9" s="272"/>
      <c r="SJ9" s="272"/>
      <c r="SK9" s="272"/>
      <c r="SL9" s="272"/>
      <c r="SM9" s="272"/>
      <c r="SN9" s="272"/>
      <c r="SO9" s="272"/>
      <c r="SP9" s="272"/>
      <c r="SQ9" s="272"/>
      <c r="SR9" s="272"/>
      <c r="SS9" s="272"/>
      <c r="ST9" s="272"/>
      <c r="SU9" s="272"/>
      <c r="SV9" s="272"/>
      <c r="SW9" s="272"/>
      <c r="SX9" s="272"/>
      <c r="SY9" s="272"/>
      <c r="SZ9" s="272"/>
      <c r="TA9" s="272"/>
      <c r="TB9" s="272"/>
      <c r="TC9" s="272"/>
      <c r="TD9" s="272"/>
      <c r="TE9" s="272"/>
      <c r="TF9" s="272"/>
      <c r="TG9" s="272"/>
      <c r="TH9" s="272"/>
      <c r="TI9" s="272"/>
      <c r="TJ9" s="272"/>
      <c r="TK9" s="272"/>
      <c r="TL9" s="272"/>
      <c r="TM9" s="272"/>
      <c r="TN9" s="272"/>
      <c r="TO9" s="272"/>
      <c r="TP9" s="272"/>
      <c r="TQ9" s="272"/>
      <c r="TR9" s="272"/>
      <c r="TS9" s="272"/>
      <c r="TT9" s="272"/>
      <c r="TU9" s="272"/>
      <c r="TV9" s="272"/>
      <c r="TW9" s="272"/>
      <c r="TX9" s="272"/>
      <c r="TY9" s="272"/>
      <c r="TZ9" s="272"/>
      <c r="UA9" s="272"/>
      <c r="UB9" s="272"/>
      <c r="UC9" s="272"/>
      <c r="UD9" s="272"/>
      <c r="UE9" s="272"/>
      <c r="UF9" s="272"/>
      <c r="UG9" s="272"/>
      <c r="UH9" s="272"/>
      <c r="UI9" s="272"/>
      <c r="UJ9" s="272"/>
      <c r="UK9" s="272"/>
      <c r="UL9" s="272"/>
      <c r="UM9" s="272"/>
      <c r="UN9" s="272"/>
      <c r="UO9" s="272"/>
      <c r="UP9" s="272"/>
      <c r="UQ9" s="272"/>
      <c r="UR9" s="272"/>
      <c r="US9" s="272"/>
      <c r="UT9" s="272"/>
      <c r="UU9" s="272"/>
      <c r="UV9" s="272"/>
      <c r="UW9" s="272"/>
      <c r="UX9" s="272"/>
      <c r="UY9" s="272"/>
      <c r="UZ9" s="272"/>
      <c r="VA9" s="272"/>
      <c r="VB9" s="272"/>
      <c r="VC9" s="272"/>
      <c r="VD9" s="272"/>
      <c r="VE9" s="272"/>
      <c r="VF9" s="272"/>
      <c r="VG9" s="272"/>
      <c r="VH9" s="272"/>
      <c r="VI9" s="272"/>
      <c r="VJ9" s="272"/>
      <c r="VK9" s="272"/>
      <c r="VL9" s="272"/>
      <c r="VM9" s="272"/>
      <c r="VN9" s="272"/>
      <c r="VO9" s="272"/>
      <c r="VP9" s="272"/>
      <c r="VQ9" s="272"/>
      <c r="VR9" s="272"/>
      <c r="VS9" s="272"/>
      <c r="VT9" s="272"/>
      <c r="VU9" s="272"/>
      <c r="VV9" s="272"/>
      <c r="VW9" s="272"/>
      <c r="VX9" s="272"/>
      <c r="VY9" s="272"/>
      <c r="VZ9" s="272"/>
      <c r="WA9" s="272"/>
      <c r="WB9" s="272"/>
      <c r="WC9" s="272"/>
      <c r="WD9" s="272"/>
      <c r="WE9" s="272"/>
      <c r="WF9" s="272"/>
      <c r="WG9" s="272"/>
      <c r="WH9" s="272"/>
      <c r="WI9" s="272"/>
      <c r="WJ9" s="272"/>
      <c r="WK9" s="272"/>
      <c r="WL9" s="272"/>
      <c r="WM9" s="272"/>
      <c r="WN9" s="272"/>
      <c r="WO9" s="272"/>
      <c r="WP9" s="272"/>
      <c r="WQ9" s="272"/>
      <c r="WR9" s="272"/>
      <c r="WS9" s="272"/>
      <c r="WT9" s="272"/>
      <c r="WU9" s="272"/>
      <c r="WV9" s="272"/>
      <c r="WW9" s="272"/>
      <c r="WX9" s="272"/>
      <c r="WY9" s="272"/>
      <c r="WZ9" s="272"/>
      <c r="XA9" s="272"/>
      <c r="XB9" s="272"/>
      <c r="XC9" s="272"/>
      <c r="XD9" s="272"/>
      <c r="XE9" s="272"/>
      <c r="XF9" s="272"/>
      <c r="XG9" s="272"/>
      <c r="XH9" s="272"/>
      <c r="XI9" s="272"/>
      <c r="XJ9" s="272"/>
      <c r="XK9" s="272"/>
      <c r="XL9" s="272"/>
      <c r="XM9" s="272"/>
      <c r="XN9" s="272"/>
      <c r="XO9" s="272"/>
      <c r="XP9" s="272"/>
      <c r="XQ9" s="272"/>
      <c r="XR9" s="272"/>
      <c r="XS9" s="272"/>
      <c r="XT9" s="272"/>
      <c r="XU9" s="272"/>
      <c r="XV9" s="272"/>
      <c r="XW9" s="272"/>
      <c r="XX9" s="272"/>
      <c r="XY9" s="272"/>
      <c r="XZ9" s="272"/>
      <c r="YA9" s="272"/>
      <c r="YB9" s="272"/>
      <c r="YC9" s="272"/>
      <c r="YD9" s="272"/>
      <c r="YE9" s="272"/>
      <c r="YF9" s="272"/>
      <c r="YG9" s="272"/>
      <c r="YH9" s="272"/>
      <c r="YI9" s="272"/>
      <c r="YJ9" s="272"/>
      <c r="YK9" s="272"/>
      <c r="YL9" s="272"/>
      <c r="YM9" s="272"/>
      <c r="YN9" s="272"/>
      <c r="YO9" s="272"/>
      <c r="YP9" s="272"/>
      <c r="YQ9" s="272"/>
      <c r="YR9" s="272"/>
      <c r="YS9" s="272"/>
      <c r="YT9" s="272"/>
      <c r="YU9" s="272"/>
      <c r="YV9" s="272"/>
      <c r="YW9" s="272"/>
      <c r="YX9" s="272"/>
      <c r="YY9" s="272"/>
      <c r="YZ9" s="272"/>
      <c r="ZA9" s="272"/>
      <c r="ZB9" s="272"/>
      <c r="ZC9" s="272"/>
      <c r="ZD9" s="272"/>
      <c r="ZE9" s="272"/>
      <c r="ZF9" s="272"/>
      <c r="ZG9" s="272"/>
      <c r="ZH9" s="272"/>
      <c r="ZI9" s="272"/>
      <c r="ZJ9" s="272"/>
      <c r="ZK9" s="272"/>
      <c r="ZL9" s="272"/>
      <c r="ZM9" s="272"/>
      <c r="ZN9" s="272"/>
      <c r="ZO9" s="272"/>
      <c r="ZP9" s="272"/>
      <c r="ZQ9" s="272"/>
      <c r="ZR9" s="272"/>
      <c r="ZS9" s="272"/>
      <c r="ZT9" s="272"/>
    </row>
    <row r="10" spans="1:696" s="19" customFormat="1" ht="15">
      <c r="A10" s="629"/>
      <c r="B10" s="631"/>
      <c r="C10" s="55" t="s">
        <v>53</v>
      </c>
      <c r="D10" s="527"/>
      <c r="E10" s="528"/>
      <c r="F10" s="529"/>
      <c r="G10" s="530"/>
      <c r="H10" s="530"/>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c r="IW10" s="272"/>
      <c r="IX10" s="272"/>
      <c r="IY10" s="272"/>
      <c r="IZ10" s="272"/>
      <c r="JA10" s="272"/>
      <c r="JB10" s="272"/>
      <c r="JC10" s="272"/>
      <c r="JD10" s="272"/>
      <c r="JE10" s="272"/>
      <c r="JF10" s="272"/>
      <c r="JG10" s="272"/>
      <c r="JH10" s="272"/>
      <c r="JI10" s="272"/>
      <c r="JJ10" s="272"/>
      <c r="JK10" s="272"/>
      <c r="JL10" s="272"/>
      <c r="JM10" s="272"/>
      <c r="JN10" s="272"/>
      <c r="JO10" s="272"/>
      <c r="JP10" s="272"/>
      <c r="JQ10" s="272"/>
      <c r="JR10" s="272"/>
      <c r="JS10" s="272"/>
      <c r="JT10" s="272"/>
      <c r="JU10" s="272"/>
      <c r="JV10" s="272"/>
      <c r="JW10" s="272"/>
      <c r="JX10" s="272"/>
      <c r="JY10" s="272"/>
      <c r="JZ10" s="272"/>
      <c r="KA10" s="272"/>
      <c r="KB10" s="272"/>
      <c r="KC10" s="272"/>
      <c r="KD10" s="272"/>
      <c r="KE10" s="272"/>
      <c r="KF10" s="272"/>
      <c r="KG10" s="272"/>
      <c r="KH10" s="272"/>
      <c r="KI10" s="272"/>
      <c r="KJ10" s="272"/>
      <c r="KK10" s="272"/>
      <c r="KL10" s="272"/>
      <c r="KM10" s="272"/>
      <c r="KN10" s="272"/>
      <c r="KO10" s="272"/>
      <c r="KP10" s="272"/>
      <c r="KQ10" s="272"/>
      <c r="KR10" s="272"/>
      <c r="KS10" s="272"/>
      <c r="KT10" s="272"/>
      <c r="KU10" s="272"/>
      <c r="KV10" s="272"/>
      <c r="KW10" s="272"/>
      <c r="KX10" s="272"/>
      <c r="KY10" s="272"/>
      <c r="KZ10" s="272"/>
      <c r="LA10" s="272"/>
      <c r="LB10" s="272"/>
      <c r="LC10" s="272"/>
      <c r="LD10" s="272"/>
      <c r="LE10" s="272"/>
      <c r="LF10" s="272"/>
      <c r="LG10" s="272"/>
      <c r="LH10" s="272"/>
      <c r="LI10" s="272"/>
      <c r="LJ10" s="272"/>
      <c r="LK10" s="272"/>
      <c r="LL10" s="272"/>
      <c r="LM10" s="272"/>
      <c r="LN10" s="272"/>
      <c r="LO10" s="272"/>
      <c r="LP10" s="272"/>
      <c r="LQ10" s="272"/>
      <c r="LR10" s="272"/>
      <c r="LS10" s="272"/>
      <c r="LT10" s="272"/>
      <c r="LU10" s="272"/>
      <c r="LV10" s="272"/>
      <c r="LW10" s="272"/>
      <c r="LX10" s="272"/>
      <c r="LY10" s="272"/>
      <c r="LZ10" s="272"/>
      <c r="MA10" s="272"/>
      <c r="MB10" s="272"/>
      <c r="MC10" s="272"/>
      <c r="MD10" s="272"/>
      <c r="ME10" s="272"/>
      <c r="MF10" s="272"/>
      <c r="MG10" s="272"/>
      <c r="MH10" s="272"/>
      <c r="MI10" s="272"/>
      <c r="MJ10" s="272"/>
      <c r="MK10" s="272"/>
      <c r="ML10" s="272"/>
      <c r="MM10" s="272"/>
      <c r="MN10" s="272"/>
      <c r="MO10" s="272"/>
      <c r="MP10" s="272"/>
      <c r="MQ10" s="272"/>
      <c r="MR10" s="272"/>
      <c r="MS10" s="272"/>
      <c r="MT10" s="272"/>
      <c r="MU10" s="272"/>
      <c r="MV10" s="272"/>
      <c r="MW10" s="272"/>
      <c r="MX10" s="272"/>
      <c r="MY10" s="272"/>
      <c r="MZ10" s="272"/>
      <c r="NA10" s="272"/>
      <c r="NB10" s="272"/>
      <c r="NC10" s="272"/>
      <c r="ND10" s="272"/>
      <c r="NE10" s="272"/>
      <c r="NF10" s="272"/>
      <c r="NG10" s="272"/>
      <c r="NH10" s="272"/>
      <c r="NI10" s="272"/>
      <c r="NJ10" s="272"/>
      <c r="NK10" s="272"/>
      <c r="NL10" s="272"/>
      <c r="NM10" s="272"/>
      <c r="NN10" s="272"/>
      <c r="NO10" s="272"/>
      <c r="NP10" s="272"/>
      <c r="NQ10" s="272"/>
      <c r="NR10" s="272"/>
      <c r="NS10" s="272"/>
      <c r="NT10" s="272"/>
      <c r="NU10" s="272"/>
      <c r="NV10" s="272"/>
      <c r="NW10" s="272"/>
      <c r="NX10" s="272"/>
      <c r="NY10" s="272"/>
      <c r="NZ10" s="272"/>
      <c r="OA10" s="272"/>
      <c r="OB10" s="272"/>
      <c r="OC10" s="272"/>
      <c r="OD10" s="272"/>
      <c r="OE10" s="272"/>
      <c r="OF10" s="272"/>
      <c r="OG10" s="272"/>
      <c r="OH10" s="272"/>
      <c r="OI10" s="272"/>
      <c r="OJ10" s="272"/>
      <c r="OK10" s="272"/>
      <c r="OL10" s="272"/>
      <c r="OM10" s="272"/>
      <c r="ON10" s="272"/>
      <c r="OO10" s="272"/>
      <c r="OP10" s="272"/>
      <c r="OQ10" s="272"/>
      <c r="OR10" s="272"/>
      <c r="OS10" s="272"/>
      <c r="OT10" s="272"/>
      <c r="OU10" s="272"/>
      <c r="OV10" s="272"/>
      <c r="OW10" s="272"/>
      <c r="OX10" s="272"/>
      <c r="OY10" s="272"/>
      <c r="OZ10" s="272"/>
      <c r="PA10" s="272"/>
      <c r="PB10" s="272"/>
      <c r="PC10" s="272"/>
      <c r="PD10" s="272"/>
      <c r="PE10" s="272"/>
      <c r="PF10" s="272"/>
      <c r="PG10" s="272"/>
      <c r="PH10" s="272"/>
      <c r="PI10" s="272"/>
      <c r="PJ10" s="272"/>
      <c r="PK10" s="272"/>
      <c r="PL10" s="272"/>
      <c r="PM10" s="272"/>
      <c r="PN10" s="272"/>
      <c r="PO10" s="272"/>
      <c r="PP10" s="272"/>
      <c r="PQ10" s="272"/>
      <c r="PR10" s="272"/>
      <c r="PS10" s="272"/>
      <c r="PT10" s="272"/>
      <c r="PU10" s="272"/>
      <c r="PV10" s="272"/>
      <c r="PW10" s="272"/>
      <c r="PX10" s="272"/>
      <c r="PY10" s="272"/>
      <c r="PZ10" s="272"/>
      <c r="QA10" s="272"/>
      <c r="QB10" s="272"/>
      <c r="QC10" s="272"/>
      <c r="QD10" s="272"/>
      <c r="QE10" s="272"/>
      <c r="QF10" s="272"/>
      <c r="QG10" s="272"/>
      <c r="QH10" s="272"/>
      <c r="QI10" s="272"/>
      <c r="QJ10" s="272"/>
      <c r="QK10" s="272"/>
      <c r="QL10" s="272"/>
      <c r="QM10" s="272"/>
      <c r="QN10" s="272"/>
      <c r="QO10" s="272"/>
      <c r="QP10" s="272"/>
      <c r="QQ10" s="272"/>
      <c r="QR10" s="272"/>
      <c r="QS10" s="272"/>
      <c r="QT10" s="272"/>
      <c r="QU10" s="272"/>
      <c r="QV10" s="272"/>
      <c r="QW10" s="272"/>
      <c r="QX10" s="272"/>
      <c r="QY10" s="272"/>
      <c r="QZ10" s="272"/>
      <c r="RA10" s="272"/>
      <c r="RB10" s="272"/>
      <c r="RC10" s="272"/>
      <c r="RD10" s="272"/>
      <c r="RE10" s="272"/>
      <c r="RF10" s="272"/>
      <c r="RG10" s="272"/>
      <c r="RH10" s="272"/>
      <c r="RI10" s="272"/>
      <c r="RJ10" s="272"/>
      <c r="RK10" s="272"/>
      <c r="RL10" s="272"/>
      <c r="RM10" s="272"/>
      <c r="RN10" s="272"/>
      <c r="RO10" s="272"/>
      <c r="RP10" s="272"/>
      <c r="RQ10" s="272"/>
      <c r="RR10" s="272"/>
      <c r="RS10" s="272"/>
      <c r="RT10" s="272"/>
      <c r="RU10" s="272"/>
      <c r="RV10" s="272"/>
      <c r="RW10" s="272"/>
      <c r="RX10" s="272"/>
      <c r="RY10" s="272"/>
      <c r="RZ10" s="272"/>
      <c r="SA10" s="272"/>
      <c r="SB10" s="272"/>
      <c r="SC10" s="272"/>
      <c r="SD10" s="272"/>
      <c r="SE10" s="272"/>
      <c r="SF10" s="272"/>
      <c r="SG10" s="272"/>
      <c r="SH10" s="272"/>
      <c r="SI10" s="272"/>
      <c r="SJ10" s="272"/>
      <c r="SK10" s="272"/>
      <c r="SL10" s="272"/>
      <c r="SM10" s="272"/>
      <c r="SN10" s="272"/>
      <c r="SO10" s="272"/>
      <c r="SP10" s="272"/>
      <c r="SQ10" s="272"/>
      <c r="SR10" s="272"/>
      <c r="SS10" s="272"/>
      <c r="ST10" s="272"/>
      <c r="SU10" s="272"/>
      <c r="SV10" s="272"/>
      <c r="SW10" s="272"/>
      <c r="SX10" s="272"/>
      <c r="SY10" s="272"/>
      <c r="SZ10" s="272"/>
      <c r="TA10" s="272"/>
      <c r="TB10" s="272"/>
      <c r="TC10" s="272"/>
      <c r="TD10" s="272"/>
      <c r="TE10" s="272"/>
      <c r="TF10" s="272"/>
      <c r="TG10" s="272"/>
      <c r="TH10" s="272"/>
      <c r="TI10" s="272"/>
      <c r="TJ10" s="272"/>
      <c r="TK10" s="272"/>
      <c r="TL10" s="272"/>
      <c r="TM10" s="272"/>
      <c r="TN10" s="272"/>
      <c r="TO10" s="272"/>
      <c r="TP10" s="272"/>
      <c r="TQ10" s="272"/>
      <c r="TR10" s="272"/>
      <c r="TS10" s="272"/>
      <c r="TT10" s="272"/>
      <c r="TU10" s="272"/>
      <c r="TV10" s="272"/>
      <c r="TW10" s="272"/>
      <c r="TX10" s="272"/>
      <c r="TY10" s="272"/>
      <c r="TZ10" s="272"/>
      <c r="UA10" s="272"/>
      <c r="UB10" s="272"/>
      <c r="UC10" s="272"/>
      <c r="UD10" s="272"/>
      <c r="UE10" s="272"/>
      <c r="UF10" s="272"/>
      <c r="UG10" s="272"/>
      <c r="UH10" s="272"/>
      <c r="UI10" s="272"/>
      <c r="UJ10" s="272"/>
      <c r="UK10" s="272"/>
      <c r="UL10" s="272"/>
      <c r="UM10" s="272"/>
      <c r="UN10" s="272"/>
      <c r="UO10" s="272"/>
      <c r="UP10" s="272"/>
      <c r="UQ10" s="272"/>
      <c r="UR10" s="272"/>
      <c r="US10" s="272"/>
      <c r="UT10" s="272"/>
      <c r="UU10" s="272"/>
      <c r="UV10" s="272"/>
      <c r="UW10" s="272"/>
      <c r="UX10" s="272"/>
      <c r="UY10" s="272"/>
      <c r="UZ10" s="272"/>
      <c r="VA10" s="272"/>
      <c r="VB10" s="272"/>
      <c r="VC10" s="272"/>
      <c r="VD10" s="272"/>
      <c r="VE10" s="272"/>
      <c r="VF10" s="272"/>
      <c r="VG10" s="272"/>
      <c r="VH10" s="272"/>
      <c r="VI10" s="272"/>
      <c r="VJ10" s="272"/>
      <c r="VK10" s="272"/>
      <c r="VL10" s="272"/>
      <c r="VM10" s="272"/>
      <c r="VN10" s="272"/>
      <c r="VO10" s="272"/>
      <c r="VP10" s="272"/>
      <c r="VQ10" s="272"/>
      <c r="VR10" s="272"/>
      <c r="VS10" s="272"/>
      <c r="VT10" s="272"/>
      <c r="VU10" s="272"/>
      <c r="VV10" s="272"/>
      <c r="VW10" s="272"/>
      <c r="VX10" s="272"/>
      <c r="VY10" s="272"/>
      <c r="VZ10" s="272"/>
      <c r="WA10" s="272"/>
      <c r="WB10" s="272"/>
      <c r="WC10" s="272"/>
      <c r="WD10" s="272"/>
      <c r="WE10" s="272"/>
      <c r="WF10" s="272"/>
      <c r="WG10" s="272"/>
      <c r="WH10" s="272"/>
      <c r="WI10" s="272"/>
      <c r="WJ10" s="272"/>
      <c r="WK10" s="272"/>
      <c r="WL10" s="272"/>
      <c r="WM10" s="272"/>
      <c r="WN10" s="272"/>
      <c r="WO10" s="272"/>
      <c r="WP10" s="272"/>
      <c r="WQ10" s="272"/>
      <c r="WR10" s="272"/>
      <c r="WS10" s="272"/>
      <c r="WT10" s="272"/>
      <c r="WU10" s="272"/>
      <c r="WV10" s="272"/>
      <c r="WW10" s="272"/>
      <c r="WX10" s="272"/>
      <c r="WY10" s="272"/>
      <c r="WZ10" s="272"/>
      <c r="XA10" s="272"/>
      <c r="XB10" s="272"/>
      <c r="XC10" s="272"/>
      <c r="XD10" s="272"/>
      <c r="XE10" s="272"/>
      <c r="XF10" s="272"/>
      <c r="XG10" s="272"/>
      <c r="XH10" s="272"/>
      <c r="XI10" s="272"/>
      <c r="XJ10" s="272"/>
      <c r="XK10" s="272"/>
      <c r="XL10" s="272"/>
      <c r="XM10" s="272"/>
      <c r="XN10" s="272"/>
      <c r="XO10" s="272"/>
      <c r="XP10" s="272"/>
      <c r="XQ10" s="272"/>
      <c r="XR10" s="272"/>
      <c r="XS10" s="272"/>
      <c r="XT10" s="272"/>
      <c r="XU10" s="272"/>
      <c r="XV10" s="272"/>
      <c r="XW10" s="272"/>
      <c r="XX10" s="272"/>
      <c r="XY10" s="272"/>
      <c r="XZ10" s="272"/>
      <c r="YA10" s="272"/>
      <c r="YB10" s="272"/>
      <c r="YC10" s="272"/>
      <c r="YD10" s="272"/>
      <c r="YE10" s="272"/>
      <c r="YF10" s="272"/>
      <c r="YG10" s="272"/>
      <c r="YH10" s="272"/>
      <c r="YI10" s="272"/>
      <c r="YJ10" s="272"/>
      <c r="YK10" s="272"/>
      <c r="YL10" s="272"/>
      <c r="YM10" s="272"/>
      <c r="YN10" s="272"/>
      <c r="YO10" s="272"/>
      <c r="YP10" s="272"/>
      <c r="YQ10" s="272"/>
      <c r="YR10" s="272"/>
      <c r="YS10" s="272"/>
      <c r="YT10" s="272"/>
      <c r="YU10" s="272"/>
      <c r="YV10" s="272"/>
      <c r="YW10" s="272"/>
      <c r="YX10" s="272"/>
      <c r="YY10" s="272"/>
      <c r="YZ10" s="272"/>
      <c r="ZA10" s="272"/>
      <c r="ZB10" s="272"/>
      <c r="ZC10" s="272"/>
      <c r="ZD10" s="272"/>
      <c r="ZE10" s="272"/>
      <c r="ZF10" s="272"/>
      <c r="ZG10" s="272"/>
      <c r="ZH10" s="272"/>
      <c r="ZI10" s="272"/>
      <c r="ZJ10" s="272"/>
      <c r="ZK10" s="272"/>
      <c r="ZL10" s="272"/>
      <c r="ZM10" s="272"/>
      <c r="ZN10" s="272"/>
      <c r="ZO10" s="272"/>
      <c r="ZP10" s="272"/>
      <c r="ZQ10" s="272"/>
      <c r="ZR10" s="272"/>
      <c r="ZS10" s="272"/>
      <c r="ZT10" s="272"/>
    </row>
    <row r="11" spans="1:696" s="62" customFormat="1" ht="13.5" thickBot="1">
      <c r="A11" s="630"/>
      <c r="B11" s="632"/>
      <c r="C11" s="58" t="s">
        <v>54</v>
      </c>
      <c r="D11" s="58"/>
      <c r="E11" s="59"/>
      <c r="F11" s="60"/>
      <c r="G11" s="264"/>
      <c r="H11" s="264"/>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c r="IW11" s="272"/>
      <c r="IX11" s="272"/>
      <c r="IY11" s="272"/>
      <c r="IZ11" s="272"/>
      <c r="JA11" s="272"/>
      <c r="JB11" s="272"/>
      <c r="JC11" s="272"/>
      <c r="JD11" s="272"/>
      <c r="JE11" s="272"/>
      <c r="JF11" s="272"/>
      <c r="JG11" s="272"/>
      <c r="JH11" s="272"/>
      <c r="JI11" s="272"/>
      <c r="JJ11" s="272"/>
      <c r="JK11" s="272"/>
      <c r="JL11" s="272"/>
      <c r="JM11" s="272"/>
      <c r="JN11" s="272"/>
      <c r="JO11" s="272"/>
      <c r="JP11" s="272"/>
      <c r="JQ11" s="272"/>
      <c r="JR11" s="272"/>
      <c r="JS11" s="272"/>
      <c r="JT11" s="272"/>
      <c r="JU11" s="272"/>
      <c r="JV11" s="272"/>
      <c r="JW11" s="272"/>
      <c r="JX11" s="272"/>
      <c r="JY11" s="272"/>
      <c r="JZ11" s="272"/>
      <c r="KA11" s="272"/>
      <c r="KB11" s="272"/>
      <c r="KC11" s="272"/>
      <c r="KD11" s="272"/>
      <c r="KE11" s="272"/>
      <c r="KF11" s="272"/>
      <c r="KG11" s="272"/>
      <c r="KH11" s="272"/>
      <c r="KI11" s="272"/>
      <c r="KJ11" s="272"/>
      <c r="KK11" s="272"/>
      <c r="KL11" s="272"/>
      <c r="KM11" s="272"/>
      <c r="KN11" s="272"/>
      <c r="KO11" s="272"/>
      <c r="KP11" s="272"/>
      <c r="KQ11" s="272"/>
      <c r="KR11" s="272"/>
      <c r="KS11" s="272"/>
      <c r="KT11" s="272"/>
      <c r="KU11" s="272"/>
      <c r="KV11" s="272"/>
      <c r="KW11" s="272"/>
      <c r="KX11" s="272"/>
      <c r="KY11" s="272"/>
      <c r="KZ11" s="272"/>
      <c r="LA11" s="272"/>
      <c r="LB11" s="272"/>
      <c r="LC11" s="272"/>
      <c r="LD11" s="272"/>
      <c r="LE11" s="272"/>
      <c r="LF11" s="272"/>
      <c r="LG11" s="272"/>
      <c r="LH11" s="272"/>
      <c r="LI11" s="272"/>
      <c r="LJ11" s="272"/>
      <c r="LK11" s="272"/>
      <c r="LL11" s="272"/>
      <c r="LM11" s="272"/>
      <c r="LN11" s="272"/>
      <c r="LO11" s="272"/>
      <c r="LP11" s="272"/>
      <c r="LQ11" s="272"/>
      <c r="LR11" s="272"/>
      <c r="LS11" s="272"/>
      <c r="LT11" s="272"/>
      <c r="LU11" s="272"/>
      <c r="LV11" s="272"/>
      <c r="LW11" s="272"/>
      <c r="LX11" s="272"/>
      <c r="LY11" s="272"/>
      <c r="LZ11" s="272"/>
      <c r="MA11" s="272"/>
      <c r="MB11" s="272"/>
      <c r="MC11" s="272"/>
      <c r="MD11" s="272"/>
      <c r="ME11" s="272"/>
      <c r="MF11" s="272"/>
      <c r="MG11" s="272"/>
      <c r="MH11" s="272"/>
      <c r="MI11" s="272"/>
      <c r="MJ11" s="272"/>
      <c r="MK11" s="272"/>
      <c r="ML11" s="272"/>
      <c r="MM11" s="272"/>
      <c r="MN11" s="272"/>
      <c r="MO11" s="272"/>
      <c r="MP11" s="272"/>
      <c r="MQ11" s="272"/>
      <c r="MR11" s="272"/>
      <c r="MS11" s="272"/>
      <c r="MT11" s="272"/>
      <c r="MU11" s="272"/>
      <c r="MV11" s="272"/>
      <c r="MW11" s="272"/>
      <c r="MX11" s="272"/>
      <c r="MY11" s="272"/>
      <c r="MZ11" s="272"/>
      <c r="NA11" s="272"/>
      <c r="NB11" s="272"/>
      <c r="NC11" s="272"/>
      <c r="ND11" s="272"/>
      <c r="NE11" s="272"/>
      <c r="NF11" s="272"/>
      <c r="NG11" s="272"/>
      <c r="NH11" s="272"/>
      <c r="NI11" s="272"/>
      <c r="NJ11" s="272"/>
      <c r="NK11" s="272"/>
      <c r="NL11" s="272"/>
      <c r="NM11" s="272"/>
      <c r="NN11" s="272"/>
      <c r="NO11" s="272"/>
      <c r="NP11" s="272"/>
      <c r="NQ11" s="272"/>
      <c r="NR11" s="272"/>
      <c r="NS11" s="272"/>
      <c r="NT11" s="272"/>
      <c r="NU11" s="272"/>
      <c r="NV11" s="272"/>
      <c r="NW11" s="272"/>
      <c r="NX11" s="272"/>
      <c r="NY11" s="272"/>
      <c r="NZ11" s="272"/>
      <c r="OA11" s="272"/>
      <c r="OB11" s="272"/>
      <c r="OC11" s="272"/>
      <c r="OD11" s="272"/>
      <c r="OE11" s="272"/>
      <c r="OF11" s="272"/>
      <c r="OG11" s="272"/>
      <c r="OH11" s="272"/>
      <c r="OI11" s="272"/>
      <c r="OJ11" s="272"/>
      <c r="OK11" s="272"/>
      <c r="OL11" s="272"/>
      <c r="OM11" s="272"/>
      <c r="ON11" s="272"/>
      <c r="OO11" s="272"/>
      <c r="OP11" s="272"/>
      <c r="OQ11" s="272"/>
      <c r="OR11" s="272"/>
      <c r="OS11" s="272"/>
      <c r="OT11" s="272"/>
      <c r="OU11" s="272"/>
      <c r="OV11" s="272"/>
      <c r="OW11" s="272"/>
      <c r="OX11" s="272"/>
      <c r="OY11" s="272"/>
      <c r="OZ11" s="272"/>
      <c r="PA11" s="272"/>
      <c r="PB11" s="272"/>
      <c r="PC11" s="272"/>
      <c r="PD11" s="272"/>
      <c r="PE11" s="272"/>
      <c r="PF11" s="272"/>
      <c r="PG11" s="272"/>
      <c r="PH11" s="272"/>
      <c r="PI11" s="272"/>
      <c r="PJ11" s="272"/>
      <c r="PK11" s="272"/>
      <c r="PL11" s="272"/>
      <c r="PM11" s="272"/>
      <c r="PN11" s="272"/>
      <c r="PO11" s="272"/>
      <c r="PP11" s="272"/>
      <c r="PQ11" s="272"/>
      <c r="PR11" s="272"/>
      <c r="PS11" s="272"/>
      <c r="PT11" s="272"/>
      <c r="PU11" s="272"/>
      <c r="PV11" s="272"/>
      <c r="PW11" s="272"/>
      <c r="PX11" s="272"/>
      <c r="PY11" s="272"/>
      <c r="PZ11" s="272"/>
      <c r="QA11" s="272"/>
      <c r="QB11" s="272"/>
      <c r="QC11" s="272"/>
      <c r="QD11" s="272"/>
      <c r="QE11" s="272"/>
      <c r="QF11" s="272"/>
      <c r="QG11" s="272"/>
      <c r="QH11" s="272"/>
      <c r="QI11" s="272"/>
      <c r="QJ11" s="272"/>
      <c r="QK11" s="272"/>
      <c r="QL11" s="272"/>
      <c r="QM11" s="272"/>
      <c r="QN11" s="272"/>
      <c r="QO11" s="272"/>
      <c r="QP11" s="272"/>
      <c r="QQ11" s="272"/>
      <c r="QR11" s="272"/>
      <c r="QS11" s="272"/>
      <c r="QT11" s="272"/>
      <c r="QU11" s="272"/>
      <c r="QV11" s="272"/>
      <c r="QW11" s="272"/>
      <c r="QX11" s="272"/>
      <c r="QY11" s="272"/>
      <c r="QZ11" s="272"/>
      <c r="RA11" s="272"/>
      <c r="RB11" s="272"/>
      <c r="RC11" s="272"/>
      <c r="RD11" s="272"/>
      <c r="RE11" s="272"/>
      <c r="RF11" s="272"/>
      <c r="RG11" s="272"/>
      <c r="RH11" s="272"/>
      <c r="RI11" s="272"/>
      <c r="RJ11" s="272"/>
      <c r="RK11" s="272"/>
      <c r="RL11" s="272"/>
      <c r="RM11" s="272"/>
      <c r="RN11" s="272"/>
      <c r="RO11" s="272"/>
      <c r="RP11" s="272"/>
      <c r="RQ11" s="272"/>
      <c r="RR11" s="272"/>
      <c r="RS11" s="272"/>
      <c r="RT11" s="272"/>
      <c r="RU11" s="272"/>
      <c r="RV11" s="272"/>
      <c r="RW11" s="272"/>
      <c r="RX11" s="272"/>
      <c r="RY11" s="272"/>
      <c r="RZ11" s="272"/>
      <c r="SA11" s="272"/>
      <c r="SB11" s="272"/>
      <c r="SC11" s="272"/>
      <c r="SD11" s="272"/>
      <c r="SE11" s="272"/>
      <c r="SF11" s="272"/>
      <c r="SG11" s="272"/>
      <c r="SH11" s="272"/>
      <c r="SI11" s="272"/>
      <c r="SJ11" s="272"/>
      <c r="SK11" s="272"/>
      <c r="SL11" s="272"/>
      <c r="SM11" s="272"/>
      <c r="SN11" s="272"/>
      <c r="SO11" s="272"/>
      <c r="SP11" s="272"/>
      <c r="SQ11" s="272"/>
      <c r="SR11" s="272"/>
      <c r="SS11" s="272"/>
      <c r="ST11" s="272"/>
      <c r="SU11" s="272"/>
      <c r="SV11" s="272"/>
      <c r="SW11" s="272"/>
      <c r="SX11" s="272"/>
      <c r="SY11" s="272"/>
      <c r="SZ11" s="272"/>
      <c r="TA11" s="272"/>
      <c r="TB11" s="272"/>
      <c r="TC11" s="272"/>
      <c r="TD11" s="272"/>
      <c r="TE11" s="272"/>
      <c r="TF11" s="272"/>
      <c r="TG11" s="272"/>
      <c r="TH11" s="272"/>
      <c r="TI11" s="272"/>
      <c r="TJ11" s="272"/>
      <c r="TK11" s="272"/>
      <c r="TL11" s="272"/>
      <c r="TM11" s="272"/>
      <c r="TN11" s="272"/>
      <c r="TO11" s="272"/>
      <c r="TP11" s="272"/>
      <c r="TQ11" s="272"/>
      <c r="TR11" s="272"/>
      <c r="TS11" s="272"/>
      <c r="TT11" s="272"/>
      <c r="TU11" s="272"/>
      <c r="TV11" s="272"/>
      <c r="TW11" s="272"/>
      <c r="TX11" s="272"/>
      <c r="TY11" s="272"/>
      <c r="TZ11" s="272"/>
      <c r="UA11" s="272"/>
      <c r="UB11" s="272"/>
      <c r="UC11" s="272"/>
      <c r="UD11" s="272"/>
      <c r="UE11" s="272"/>
      <c r="UF11" s="272"/>
      <c r="UG11" s="272"/>
      <c r="UH11" s="272"/>
      <c r="UI11" s="272"/>
      <c r="UJ11" s="272"/>
      <c r="UK11" s="272"/>
      <c r="UL11" s="272"/>
      <c r="UM11" s="272"/>
      <c r="UN11" s="272"/>
      <c r="UO11" s="272"/>
      <c r="UP11" s="272"/>
      <c r="UQ11" s="272"/>
      <c r="UR11" s="272"/>
      <c r="US11" s="272"/>
      <c r="UT11" s="272"/>
      <c r="UU11" s="272"/>
      <c r="UV11" s="272"/>
      <c r="UW11" s="272"/>
      <c r="UX11" s="272"/>
      <c r="UY11" s="272"/>
      <c r="UZ11" s="272"/>
      <c r="VA11" s="272"/>
      <c r="VB11" s="272"/>
      <c r="VC11" s="272"/>
      <c r="VD11" s="272"/>
      <c r="VE11" s="272"/>
      <c r="VF11" s="272"/>
      <c r="VG11" s="272"/>
      <c r="VH11" s="272"/>
      <c r="VI11" s="272"/>
      <c r="VJ11" s="272"/>
      <c r="VK11" s="272"/>
      <c r="VL11" s="272"/>
      <c r="VM11" s="272"/>
      <c r="VN11" s="272"/>
      <c r="VO11" s="272"/>
      <c r="VP11" s="272"/>
      <c r="VQ11" s="272"/>
      <c r="VR11" s="272"/>
      <c r="VS11" s="272"/>
      <c r="VT11" s="272"/>
      <c r="VU11" s="272"/>
      <c r="VV11" s="272"/>
      <c r="VW11" s="272"/>
      <c r="VX11" s="272"/>
      <c r="VY11" s="272"/>
      <c r="VZ11" s="272"/>
      <c r="WA11" s="272"/>
      <c r="WB11" s="272"/>
      <c r="WC11" s="272"/>
      <c r="WD11" s="272"/>
      <c r="WE11" s="272"/>
      <c r="WF11" s="272"/>
      <c r="WG11" s="272"/>
      <c r="WH11" s="272"/>
      <c r="WI11" s="272"/>
      <c r="WJ11" s="272"/>
      <c r="WK11" s="272"/>
      <c r="WL11" s="272"/>
      <c r="WM11" s="272"/>
      <c r="WN11" s="272"/>
      <c r="WO11" s="272"/>
      <c r="WP11" s="272"/>
      <c r="WQ11" s="272"/>
      <c r="WR11" s="272"/>
      <c r="WS11" s="272"/>
      <c r="WT11" s="272"/>
      <c r="WU11" s="272"/>
      <c r="WV11" s="272"/>
      <c r="WW11" s="272"/>
      <c r="WX11" s="272"/>
      <c r="WY11" s="272"/>
      <c r="WZ11" s="272"/>
      <c r="XA11" s="272"/>
      <c r="XB11" s="272"/>
      <c r="XC11" s="272"/>
      <c r="XD11" s="272"/>
      <c r="XE11" s="272"/>
      <c r="XF11" s="272"/>
      <c r="XG11" s="272"/>
      <c r="XH11" s="272"/>
      <c r="XI11" s="272"/>
      <c r="XJ11" s="272"/>
      <c r="XK11" s="272"/>
      <c r="XL11" s="272"/>
      <c r="XM11" s="272"/>
      <c r="XN11" s="272"/>
      <c r="XO11" s="272"/>
      <c r="XP11" s="272"/>
      <c r="XQ11" s="272"/>
      <c r="XR11" s="272"/>
      <c r="XS11" s="272"/>
      <c r="XT11" s="272"/>
      <c r="XU11" s="272"/>
      <c r="XV11" s="272"/>
      <c r="XW11" s="272"/>
      <c r="XX11" s="272"/>
      <c r="XY11" s="272"/>
      <c r="XZ11" s="272"/>
      <c r="YA11" s="272"/>
      <c r="YB11" s="272"/>
      <c r="YC11" s="272"/>
      <c r="YD11" s="272"/>
      <c r="YE11" s="272"/>
      <c r="YF11" s="272"/>
      <c r="YG11" s="272"/>
      <c r="YH11" s="272"/>
      <c r="YI11" s="272"/>
      <c r="YJ11" s="272"/>
      <c r="YK11" s="272"/>
      <c r="YL11" s="272"/>
      <c r="YM11" s="272"/>
      <c r="YN11" s="272"/>
      <c r="YO11" s="272"/>
      <c r="YP11" s="272"/>
      <c r="YQ11" s="272"/>
      <c r="YR11" s="272"/>
      <c r="YS11" s="272"/>
      <c r="YT11" s="272"/>
      <c r="YU11" s="272"/>
      <c r="YV11" s="272"/>
      <c r="YW11" s="272"/>
      <c r="YX11" s="272"/>
      <c r="YY11" s="272"/>
      <c r="YZ11" s="272"/>
      <c r="ZA11" s="272"/>
      <c r="ZB11" s="272"/>
      <c r="ZC11" s="272"/>
      <c r="ZD11" s="272"/>
      <c r="ZE11" s="272"/>
      <c r="ZF11" s="272"/>
      <c r="ZG11" s="272"/>
      <c r="ZH11" s="272"/>
      <c r="ZI11" s="272"/>
      <c r="ZJ11" s="272"/>
      <c r="ZK11" s="272"/>
      <c r="ZL11" s="272"/>
      <c r="ZM11" s="272"/>
      <c r="ZN11" s="272"/>
      <c r="ZO11" s="272"/>
      <c r="ZP11" s="272"/>
      <c r="ZQ11" s="272"/>
      <c r="ZR11" s="272"/>
      <c r="ZS11" s="272"/>
      <c r="ZT11" s="272"/>
    </row>
    <row r="12" spans="1:696" s="61" customFormat="1" ht="38.25">
      <c r="A12" s="43" t="s">
        <v>216</v>
      </c>
      <c r="B12" s="87" t="s">
        <v>20</v>
      </c>
      <c r="C12" s="26" t="s">
        <v>52</v>
      </c>
      <c r="D12" s="501"/>
      <c r="E12" s="531"/>
      <c r="F12" s="502"/>
      <c r="G12" s="503"/>
      <c r="H12" s="503"/>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c r="IW12" s="272"/>
      <c r="IX12" s="272"/>
      <c r="IY12" s="272"/>
      <c r="IZ12" s="272"/>
      <c r="JA12" s="272"/>
      <c r="JB12" s="272"/>
      <c r="JC12" s="272"/>
      <c r="JD12" s="272"/>
      <c r="JE12" s="272"/>
      <c r="JF12" s="272"/>
      <c r="JG12" s="272"/>
      <c r="JH12" s="272"/>
      <c r="JI12" s="272"/>
      <c r="JJ12" s="272"/>
      <c r="JK12" s="272"/>
      <c r="JL12" s="272"/>
      <c r="JM12" s="272"/>
      <c r="JN12" s="272"/>
      <c r="JO12" s="272"/>
      <c r="JP12" s="272"/>
      <c r="JQ12" s="272"/>
      <c r="JR12" s="272"/>
      <c r="JS12" s="272"/>
      <c r="JT12" s="272"/>
      <c r="JU12" s="272"/>
      <c r="JV12" s="272"/>
      <c r="JW12" s="272"/>
      <c r="JX12" s="272"/>
      <c r="JY12" s="272"/>
      <c r="JZ12" s="272"/>
      <c r="KA12" s="272"/>
      <c r="KB12" s="272"/>
      <c r="KC12" s="272"/>
      <c r="KD12" s="272"/>
      <c r="KE12" s="272"/>
      <c r="KF12" s="272"/>
      <c r="KG12" s="272"/>
      <c r="KH12" s="272"/>
      <c r="KI12" s="272"/>
      <c r="KJ12" s="272"/>
      <c r="KK12" s="272"/>
      <c r="KL12" s="272"/>
      <c r="KM12" s="272"/>
      <c r="KN12" s="272"/>
      <c r="KO12" s="272"/>
      <c r="KP12" s="272"/>
      <c r="KQ12" s="272"/>
      <c r="KR12" s="272"/>
      <c r="KS12" s="272"/>
      <c r="KT12" s="272"/>
      <c r="KU12" s="272"/>
      <c r="KV12" s="272"/>
      <c r="KW12" s="272"/>
      <c r="KX12" s="272"/>
      <c r="KY12" s="272"/>
      <c r="KZ12" s="272"/>
      <c r="LA12" s="272"/>
      <c r="LB12" s="272"/>
      <c r="LC12" s="272"/>
      <c r="LD12" s="272"/>
      <c r="LE12" s="272"/>
      <c r="LF12" s="272"/>
      <c r="LG12" s="272"/>
      <c r="LH12" s="272"/>
      <c r="LI12" s="272"/>
      <c r="LJ12" s="272"/>
      <c r="LK12" s="272"/>
      <c r="LL12" s="272"/>
      <c r="LM12" s="272"/>
      <c r="LN12" s="272"/>
      <c r="LO12" s="272"/>
      <c r="LP12" s="272"/>
      <c r="LQ12" s="272"/>
      <c r="LR12" s="272"/>
      <c r="LS12" s="272"/>
      <c r="LT12" s="272"/>
      <c r="LU12" s="272"/>
      <c r="LV12" s="272"/>
      <c r="LW12" s="272"/>
      <c r="LX12" s="272"/>
      <c r="LY12" s="272"/>
      <c r="LZ12" s="272"/>
      <c r="MA12" s="272"/>
      <c r="MB12" s="272"/>
      <c r="MC12" s="272"/>
      <c r="MD12" s="272"/>
      <c r="ME12" s="272"/>
      <c r="MF12" s="272"/>
      <c r="MG12" s="272"/>
      <c r="MH12" s="272"/>
      <c r="MI12" s="272"/>
      <c r="MJ12" s="272"/>
      <c r="MK12" s="272"/>
      <c r="ML12" s="272"/>
      <c r="MM12" s="272"/>
      <c r="MN12" s="272"/>
      <c r="MO12" s="272"/>
      <c r="MP12" s="272"/>
      <c r="MQ12" s="272"/>
      <c r="MR12" s="272"/>
      <c r="MS12" s="272"/>
      <c r="MT12" s="272"/>
      <c r="MU12" s="272"/>
      <c r="MV12" s="272"/>
      <c r="MW12" s="272"/>
      <c r="MX12" s="272"/>
      <c r="MY12" s="272"/>
      <c r="MZ12" s="272"/>
      <c r="NA12" s="272"/>
      <c r="NB12" s="272"/>
      <c r="NC12" s="272"/>
      <c r="ND12" s="272"/>
      <c r="NE12" s="272"/>
      <c r="NF12" s="272"/>
      <c r="NG12" s="272"/>
      <c r="NH12" s="272"/>
      <c r="NI12" s="272"/>
      <c r="NJ12" s="272"/>
      <c r="NK12" s="272"/>
      <c r="NL12" s="272"/>
      <c r="NM12" s="272"/>
      <c r="NN12" s="272"/>
      <c r="NO12" s="272"/>
      <c r="NP12" s="272"/>
      <c r="NQ12" s="272"/>
      <c r="NR12" s="272"/>
      <c r="NS12" s="272"/>
      <c r="NT12" s="272"/>
      <c r="NU12" s="272"/>
      <c r="NV12" s="272"/>
      <c r="NW12" s="272"/>
      <c r="NX12" s="272"/>
      <c r="NY12" s="272"/>
      <c r="NZ12" s="272"/>
      <c r="OA12" s="272"/>
      <c r="OB12" s="272"/>
      <c r="OC12" s="272"/>
      <c r="OD12" s="272"/>
      <c r="OE12" s="272"/>
      <c r="OF12" s="272"/>
      <c r="OG12" s="272"/>
      <c r="OH12" s="272"/>
      <c r="OI12" s="272"/>
      <c r="OJ12" s="272"/>
      <c r="OK12" s="272"/>
      <c r="OL12" s="272"/>
      <c r="OM12" s="272"/>
      <c r="ON12" s="272"/>
      <c r="OO12" s="272"/>
      <c r="OP12" s="272"/>
      <c r="OQ12" s="272"/>
      <c r="OR12" s="272"/>
      <c r="OS12" s="272"/>
      <c r="OT12" s="272"/>
      <c r="OU12" s="272"/>
      <c r="OV12" s="272"/>
      <c r="OW12" s="272"/>
      <c r="OX12" s="272"/>
      <c r="OY12" s="272"/>
      <c r="OZ12" s="272"/>
      <c r="PA12" s="272"/>
      <c r="PB12" s="272"/>
      <c r="PC12" s="272"/>
      <c r="PD12" s="272"/>
      <c r="PE12" s="272"/>
      <c r="PF12" s="272"/>
      <c r="PG12" s="272"/>
      <c r="PH12" s="272"/>
      <c r="PI12" s="272"/>
      <c r="PJ12" s="272"/>
      <c r="PK12" s="272"/>
      <c r="PL12" s="272"/>
      <c r="PM12" s="272"/>
      <c r="PN12" s="272"/>
      <c r="PO12" s="272"/>
      <c r="PP12" s="272"/>
      <c r="PQ12" s="272"/>
      <c r="PR12" s="272"/>
      <c r="PS12" s="272"/>
      <c r="PT12" s="272"/>
      <c r="PU12" s="272"/>
      <c r="PV12" s="272"/>
      <c r="PW12" s="272"/>
      <c r="PX12" s="272"/>
      <c r="PY12" s="272"/>
      <c r="PZ12" s="272"/>
      <c r="QA12" s="272"/>
      <c r="QB12" s="272"/>
      <c r="QC12" s="272"/>
      <c r="QD12" s="272"/>
      <c r="QE12" s="272"/>
      <c r="QF12" s="272"/>
      <c r="QG12" s="272"/>
      <c r="QH12" s="272"/>
      <c r="QI12" s="272"/>
      <c r="QJ12" s="272"/>
      <c r="QK12" s="272"/>
      <c r="QL12" s="272"/>
      <c r="QM12" s="272"/>
      <c r="QN12" s="272"/>
      <c r="QO12" s="272"/>
      <c r="QP12" s="272"/>
      <c r="QQ12" s="272"/>
      <c r="QR12" s="272"/>
      <c r="QS12" s="272"/>
      <c r="QT12" s="272"/>
      <c r="QU12" s="272"/>
      <c r="QV12" s="272"/>
      <c r="QW12" s="272"/>
      <c r="QX12" s="272"/>
      <c r="QY12" s="272"/>
      <c r="QZ12" s="272"/>
      <c r="RA12" s="272"/>
      <c r="RB12" s="272"/>
      <c r="RC12" s="272"/>
      <c r="RD12" s="272"/>
      <c r="RE12" s="272"/>
      <c r="RF12" s="272"/>
      <c r="RG12" s="272"/>
      <c r="RH12" s="272"/>
      <c r="RI12" s="272"/>
      <c r="RJ12" s="272"/>
      <c r="RK12" s="272"/>
      <c r="RL12" s="272"/>
      <c r="RM12" s="272"/>
      <c r="RN12" s="272"/>
      <c r="RO12" s="272"/>
      <c r="RP12" s="272"/>
      <c r="RQ12" s="272"/>
      <c r="RR12" s="272"/>
      <c r="RS12" s="272"/>
      <c r="RT12" s="272"/>
      <c r="RU12" s="272"/>
      <c r="RV12" s="272"/>
      <c r="RW12" s="272"/>
      <c r="RX12" s="272"/>
      <c r="RY12" s="272"/>
      <c r="RZ12" s="272"/>
      <c r="SA12" s="272"/>
      <c r="SB12" s="272"/>
      <c r="SC12" s="272"/>
      <c r="SD12" s="272"/>
      <c r="SE12" s="272"/>
      <c r="SF12" s="272"/>
      <c r="SG12" s="272"/>
      <c r="SH12" s="272"/>
      <c r="SI12" s="272"/>
      <c r="SJ12" s="272"/>
      <c r="SK12" s="272"/>
      <c r="SL12" s="272"/>
      <c r="SM12" s="272"/>
      <c r="SN12" s="272"/>
      <c r="SO12" s="272"/>
      <c r="SP12" s="272"/>
      <c r="SQ12" s="272"/>
      <c r="SR12" s="272"/>
      <c r="SS12" s="272"/>
      <c r="ST12" s="272"/>
      <c r="SU12" s="272"/>
      <c r="SV12" s="272"/>
      <c r="SW12" s="272"/>
      <c r="SX12" s="272"/>
      <c r="SY12" s="272"/>
      <c r="SZ12" s="272"/>
      <c r="TA12" s="272"/>
      <c r="TB12" s="272"/>
      <c r="TC12" s="272"/>
      <c r="TD12" s="272"/>
      <c r="TE12" s="272"/>
      <c r="TF12" s="272"/>
      <c r="TG12" s="272"/>
      <c r="TH12" s="272"/>
      <c r="TI12" s="272"/>
      <c r="TJ12" s="272"/>
      <c r="TK12" s="272"/>
      <c r="TL12" s="272"/>
      <c r="TM12" s="272"/>
      <c r="TN12" s="272"/>
      <c r="TO12" s="272"/>
      <c r="TP12" s="272"/>
      <c r="TQ12" s="272"/>
      <c r="TR12" s="272"/>
      <c r="TS12" s="272"/>
      <c r="TT12" s="272"/>
      <c r="TU12" s="272"/>
      <c r="TV12" s="272"/>
      <c r="TW12" s="272"/>
      <c r="TX12" s="272"/>
      <c r="TY12" s="272"/>
      <c r="TZ12" s="272"/>
      <c r="UA12" s="272"/>
      <c r="UB12" s="272"/>
      <c r="UC12" s="272"/>
      <c r="UD12" s="272"/>
      <c r="UE12" s="272"/>
      <c r="UF12" s="272"/>
      <c r="UG12" s="272"/>
      <c r="UH12" s="272"/>
      <c r="UI12" s="272"/>
      <c r="UJ12" s="272"/>
      <c r="UK12" s="272"/>
      <c r="UL12" s="272"/>
      <c r="UM12" s="272"/>
      <c r="UN12" s="272"/>
      <c r="UO12" s="272"/>
      <c r="UP12" s="272"/>
      <c r="UQ12" s="272"/>
      <c r="UR12" s="272"/>
      <c r="US12" s="272"/>
      <c r="UT12" s="272"/>
      <c r="UU12" s="272"/>
      <c r="UV12" s="272"/>
      <c r="UW12" s="272"/>
      <c r="UX12" s="272"/>
      <c r="UY12" s="272"/>
      <c r="UZ12" s="272"/>
      <c r="VA12" s="272"/>
      <c r="VB12" s="272"/>
      <c r="VC12" s="272"/>
      <c r="VD12" s="272"/>
      <c r="VE12" s="272"/>
      <c r="VF12" s="272"/>
      <c r="VG12" s="272"/>
      <c r="VH12" s="272"/>
      <c r="VI12" s="272"/>
      <c r="VJ12" s="272"/>
      <c r="VK12" s="272"/>
      <c r="VL12" s="272"/>
      <c r="VM12" s="272"/>
      <c r="VN12" s="272"/>
      <c r="VO12" s="272"/>
      <c r="VP12" s="272"/>
      <c r="VQ12" s="272"/>
      <c r="VR12" s="272"/>
      <c r="VS12" s="272"/>
      <c r="VT12" s="272"/>
      <c r="VU12" s="272"/>
      <c r="VV12" s="272"/>
      <c r="VW12" s="272"/>
      <c r="VX12" s="272"/>
      <c r="VY12" s="272"/>
      <c r="VZ12" s="272"/>
      <c r="WA12" s="272"/>
      <c r="WB12" s="272"/>
      <c r="WC12" s="272"/>
      <c r="WD12" s="272"/>
      <c r="WE12" s="272"/>
      <c r="WF12" s="272"/>
      <c r="WG12" s="272"/>
      <c r="WH12" s="272"/>
      <c r="WI12" s="272"/>
      <c r="WJ12" s="272"/>
      <c r="WK12" s="272"/>
      <c r="WL12" s="272"/>
      <c r="WM12" s="272"/>
      <c r="WN12" s="272"/>
      <c r="WO12" s="272"/>
      <c r="WP12" s="272"/>
      <c r="WQ12" s="272"/>
      <c r="WR12" s="272"/>
      <c r="WS12" s="272"/>
      <c r="WT12" s="272"/>
      <c r="WU12" s="272"/>
      <c r="WV12" s="272"/>
      <c r="WW12" s="272"/>
      <c r="WX12" s="272"/>
      <c r="WY12" s="272"/>
      <c r="WZ12" s="272"/>
      <c r="XA12" s="272"/>
      <c r="XB12" s="272"/>
      <c r="XC12" s="272"/>
      <c r="XD12" s="272"/>
      <c r="XE12" s="272"/>
      <c r="XF12" s="272"/>
      <c r="XG12" s="272"/>
      <c r="XH12" s="272"/>
      <c r="XI12" s="272"/>
      <c r="XJ12" s="272"/>
      <c r="XK12" s="272"/>
      <c r="XL12" s="272"/>
      <c r="XM12" s="272"/>
      <c r="XN12" s="272"/>
      <c r="XO12" s="272"/>
      <c r="XP12" s="272"/>
      <c r="XQ12" s="272"/>
      <c r="XR12" s="272"/>
      <c r="XS12" s="272"/>
      <c r="XT12" s="272"/>
      <c r="XU12" s="272"/>
      <c r="XV12" s="272"/>
      <c r="XW12" s="272"/>
      <c r="XX12" s="272"/>
      <c r="XY12" s="272"/>
      <c r="XZ12" s="272"/>
      <c r="YA12" s="272"/>
      <c r="YB12" s="272"/>
      <c r="YC12" s="272"/>
      <c r="YD12" s="272"/>
      <c r="YE12" s="272"/>
      <c r="YF12" s="272"/>
      <c r="YG12" s="272"/>
      <c r="YH12" s="272"/>
      <c r="YI12" s="272"/>
      <c r="YJ12" s="272"/>
      <c r="YK12" s="272"/>
      <c r="YL12" s="272"/>
      <c r="YM12" s="272"/>
      <c r="YN12" s="272"/>
      <c r="YO12" s="272"/>
      <c r="YP12" s="272"/>
      <c r="YQ12" s="272"/>
      <c r="YR12" s="272"/>
      <c r="YS12" s="272"/>
      <c r="YT12" s="272"/>
      <c r="YU12" s="272"/>
      <c r="YV12" s="272"/>
      <c r="YW12" s="272"/>
      <c r="YX12" s="272"/>
      <c r="YY12" s="272"/>
      <c r="YZ12" s="272"/>
      <c r="ZA12" s="272"/>
      <c r="ZB12" s="272"/>
      <c r="ZC12" s="272"/>
      <c r="ZD12" s="272"/>
      <c r="ZE12" s="272"/>
      <c r="ZF12" s="272"/>
      <c r="ZG12" s="272"/>
      <c r="ZH12" s="272"/>
      <c r="ZI12" s="272"/>
      <c r="ZJ12" s="272"/>
      <c r="ZK12" s="272"/>
      <c r="ZL12" s="272"/>
      <c r="ZM12" s="272"/>
      <c r="ZN12" s="272"/>
      <c r="ZO12" s="272"/>
      <c r="ZP12" s="272"/>
      <c r="ZQ12" s="272"/>
      <c r="ZR12" s="272"/>
      <c r="ZS12" s="272"/>
      <c r="ZT12" s="272"/>
    </row>
    <row r="13" spans="1:696" s="19" customFormat="1" ht="15">
      <c r="A13" s="44"/>
      <c r="B13" s="44"/>
      <c r="C13" s="55" t="s">
        <v>53</v>
      </c>
      <c r="D13" s="55"/>
      <c r="E13" s="57"/>
      <c r="F13" s="57"/>
      <c r="G13" s="263"/>
      <c r="H13" s="263"/>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c r="IW13" s="272"/>
      <c r="IX13" s="272"/>
      <c r="IY13" s="272"/>
      <c r="IZ13" s="272"/>
      <c r="JA13" s="272"/>
      <c r="JB13" s="272"/>
      <c r="JC13" s="272"/>
      <c r="JD13" s="272"/>
      <c r="JE13" s="272"/>
      <c r="JF13" s="272"/>
      <c r="JG13" s="272"/>
      <c r="JH13" s="272"/>
      <c r="JI13" s="272"/>
      <c r="JJ13" s="272"/>
      <c r="JK13" s="272"/>
      <c r="JL13" s="272"/>
      <c r="JM13" s="272"/>
      <c r="JN13" s="272"/>
      <c r="JO13" s="272"/>
      <c r="JP13" s="272"/>
      <c r="JQ13" s="272"/>
      <c r="JR13" s="272"/>
      <c r="JS13" s="272"/>
      <c r="JT13" s="272"/>
      <c r="JU13" s="272"/>
      <c r="JV13" s="272"/>
      <c r="JW13" s="272"/>
      <c r="JX13" s="272"/>
      <c r="JY13" s="272"/>
      <c r="JZ13" s="272"/>
      <c r="KA13" s="272"/>
      <c r="KB13" s="272"/>
      <c r="KC13" s="272"/>
      <c r="KD13" s="272"/>
      <c r="KE13" s="272"/>
      <c r="KF13" s="272"/>
      <c r="KG13" s="272"/>
      <c r="KH13" s="272"/>
      <c r="KI13" s="272"/>
      <c r="KJ13" s="272"/>
      <c r="KK13" s="272"/>
      <c r="KL13" s="272"/>
      <c r="KM13" s="272"/>
      <c r="KN13" s="272"/>
      <c r="KO13" s="272"/>
      <c r="KP13" s="272"/>
      <c r="KQ13" s="272"/>
      <c r="KR13" s="272"/>
      <c r="KS13" s="272"/>
      <c r="KT13" s="272"/>
      <c r="KU13" s="272"/>
      <c r="KV13" s="272"/>
      <c r="KW13" s="272"/>
      <c r="KX13" s="272"/>
      <c r="KY13" s="272"/>
      <c r="KZ13" s="272"/>
      <c r="LA13" s="272"/>
      <c r="LB13" s="272"/>
      <c r="LC13" s="272"/>
      <c r="LD13" s="272"/>
      <c r="LE13" s="272"/>
      <c r="LF13" s="272"/>
      <c r="LG13" s="272"/>
      <c r="LH13" s="272"/>
      <c r="LI13" s="272"/>
      <c r="LJ13" s="272"/>
      <c r="LK13" s="272"/>
      <c r="LL13" s="272"/>
      <c r="LM13" s="272"/>
      <c r="LN13" s="272"/>
      <c r="LO13" s="272"/>
      <c r="LP13" s="272"/>
      <c r="LQ13" s="272"/>
      <c r="LR13" s="272"/>
      <c r="LS13" s="272"/>
      <c r="LT13" s="272"/>
      <c r="LU13" s="272"/>
      <c r="LV13" s="272"/>
      <c r="LW13" s="272"/>
      <c r="LX13" s="272"/>
      <c r="LY13" s="272"/>
      <c r="LZ13" s="272"/>
      <c r="MA13" s="272"/>
      <c r="MB13" s="272"/>
      <c r="MC13" s="272"/>
      <c r="MD13" s="272"/>
      <c r="ME13" s="272"/>
      <c r="MF13" s="272"/>
      <c r="MG13" s="272"/>
      <c r="MH13" s="272"/>
      <c r="MI13" s="272"/>
      <c r="MJ13" s="272"/>
      <c r="MK13" s="272"/>
      <c r="ML13" s="272"/>
      <c r="MM13" s="272"/>
      <c r="MN13" s="272"/>
      <c r="MO13" s="272"/>
      <c r="MP13" s="272"/>
      <c r="MQ13" s="272"/>
      <c r="MR13" s="272"/>
      <c r="MS13" s="272"/>
      <c r="MT13" s="272"/>
      <c r="MU13" s="272"/>
      <c r="MV13" s="272"/>
      <c r="MW13" s="272"/>
      <c r="MX13" s="272"/>
      <c r="MY13" s="272"/>
      <c r="MZ13" s="272"/>
      <c r="NA13" s="272"/>
      <c r="NB13" s="272"/>
      <c r="NC13" s="272"/>
      <c r="ND13" s="272"/>
      <c r="NE13" s="272"/>
      <c r="NF13" s="272"/>
      <c r="NG13" s="272"/>
      <c r="NH13" s="272"/>
      <c r="NI13" s="272"/>
      <c r="NJ13" s="272"/>
      <c r="NK13" s="272"/>
      <c r="NL13" s="272"/>
      <c r="NM13" s="272"/>
      <c r="NN13" s="272"/>
      <c r="NO13" s="272"/>
      <c r="NP13" s="272"/>
      <c r="NQ13" s="272"/>
      <c r="NR13" s="272"/>
      <c r="NS13" s="272"/>
      <c r="NT13" s="272"/>
      <c r="NU13" s="272"/>
      <c r="NV13" s="272"/>
      <c r="NW13" s="272"/>
      <c r="NX13" s="272"/>
      <c r="NY13" s="272"/>
      <c r="NZ13" s="272"/>
      <c r="OA13" s="272"/>
      <c r="OB13" s="272"/>
      <c r="OC13" s="272"/>
      <c r="OD13" s="272"/>
      <c r="OE13" s="272"/>
      <c r="OF13" s="272"/>
      <c r="OG13" s="272"/>
      <c r="OH13" s="272"/>
      <c r="OI13" s="272"/>
      <c r="OJ13" s="272"/>
      <c r="OK13" s="272"/>
      <c r="OL13" s="272"/>
      <c r="OM13" s="272"/>
      <c r="ON13" s="272"/>
      <c r="OO13" s="272"/>
      <c r="OP13" s="272"/>
      <c r="OQ13" s="272"/>
      <c r="OR13" s="272"/>
      <c r="OS13" s="272"/>
      <c r="OT13" s="272"/>
      <c r="OU13" s="272"/>
      <c r="OV13" s="272"/>
      <c r="OW13" s="272"/>
      <c r="OX13" s="272"/>
      <c r="OY13" s="272"/>
      <c r="OZ13" s="272"/>
      <c r="PA13" s="272"/>
      <c r="PB13" s="272"/>
      <c r="PC13" s="272"/>
      <c r="PD13" s="272"/>
      <c r="PE13" s="272"/>
      <c r="PF13" s="272"/>
      <c r="PG13" s="272"/>
      <c r="PH13" s="272"/>
      <c r="PI13" s="272"/>
      <c r="PJ13" s="272"/>
      <c r="PK13" s="272"/>
      <c r="PL13" s="272"/>
      <c r="PM13" s="272"/>
      <c r="PN13" s="272"/>
      <c r="PO13" s="272"/>
      <c r="PP13" s="272"/>
      <c r="PQ13" s="272"/>
      <c r="PR13" s="272"/>
      <c r="PS13" s="272"/>
      <c r="PT13" s="272"/>
      <c r="PU13" s="272"/>
      <c r="PV13" s="272"/>
      <c r="PW13" s="272"/>
      <c r="PX13" s="272"/>
      <c r="PY13" s="272"/>
      <c r="PZ13" s="272"/>
      <c r="QA13" s="272"/>
      <c r="QB13" s="272"/>
      <c r="QC13" s="272"/>
      <c r="QD13" s="272"/>
      <c r="QE13" s="272"/>
      <c r="QF13" s="272"/>
      <c r="QG13" s="272"/>
      <c r="QH13" s="272"/>
      <c r="QI13" s="272"/>
      <c r="QJ13" s="272"/>
      <c r="QK13" s="272"/>
      <c r="QL13" s="272"/>
      <c r="QM13" s="272"/>
      <c r="QN13" s="272"/>
      <c r="QO13" s="272"/>
      <c r="QP13" s="272"/>
      <c r="QQ13" s="272"/>
      <c r="QR13" s="272"/>
      <c r="QS13" s="272"/>
      <c r="QT13" s="272"/>
      <c r="QU13" s="272"/>
      <c r="QV13" s="272"/>
      <c r="QW13" s="272"/>
      <c r="QX13" s="272"/>
      <c r="QY13" s="272"/>
      <c r="QZ13" s="272"/>
      <c r="RA13" s="272"/>
      <c r="RB13" s="272"/>
      <c r="RC13" s="272"/>
      <c r="RD13" s="272"/>
      <c r="RE13" s="272"/>
      <c r="RF13" s="272"/>
      <c r="RG13" s="272"/>
      <c r="RH13" s="272"/>
      <c r="RI13" s="272"/>
      <c r="RJ13" s="272"/>
      <c r="RK13" s="272"/>
      <c r="RL13" s="272"/>
      <c r="RM13" s="272"/>
      <c r="RN13" s="272"/>
      <c r="RO13" s="272"/>
      <c r="RP13" s="272"/>
      <c r="RQ13" s="272"/>
      <c r="RR13" s="272"/>
      <c r="RS13" s="272"/>
      <c r="RT13" s="272"/>
      <c r="RU13" s="272"/>
      <c r="RV13" s="272"/>
      <c r="RW13" s="272"/>
      <c r="RX13" s="272"/>
      <c r="RY13" s="272"/>
      <c r="RZ13" s="272"/>
      <c r="SA13" s="272"/>
      <c r="SB13" s="272"/>
      <c r="SC13" s="272"/>
      <c r="SD13" s="272"/>
      <c r="SE13" s="272"/>
      <c r="SF13" s="272"/>
      <c r="SG13" s="272"/>
      <c r="SH13" s="272"/>
      <c r="SI13" s="272"/>
      <c r="SJ13" s="272"/>
      <c r="SK13" s="272"/>
      <c r="SL13" s="272"/>
      <c r="SM13" s="272"/>
      <c r="SN13" s="272"/>
      <c r="SO13" s="272"/>
      <c r="SP13" s="272"/>
      <c r="SQ13" s="272"/>
      <c r="SR13" s="272"/>
      <c r="SS13" s="272"/>
      <c r="ST13" s="272"/>
      <c r="SU13" s="272"/>
      <c r="SV13" s="272"/>
      <c r="SW13" s="272"/>
      <c r="SX13" s="272"/>
      <c r="SY13" s="272"/>
      <c r="SZ13" s="272"/>
      <c r="TA13" s="272"/>
      <c r="TB13" s="272"/>
      <c r="TC13" s="272"/>
      <c r="TD13" s="272"/>
      <c r="TE13" s="272"/>
      <c r="TF13" s="272"/>
      <c r="TG13" s="272"/>
      <c r="TH13" s="272"/>
      <c r="TI13" s="272"/>
      <c r="TJ13" s="272"/>
      <c r="TK13" s="272"/>
      <c r="TL13" s="272"/>
      <c r="TM13" s="272"/>
      <c r="TN13" s="272"/>
      <c r="TO13" s="272"/>
      <c r="TP13" s="272"/>
      <c r="TQ13" s="272"/>
      <c r="TR13" s="272"/>
      <c r="TS13" s="272"/>
      <c r="TT13" s="272"/>
      <c r="TU13" s="272"/>
      <c r="TV13" s="272"/>
      <c r="TW13" s="272"/>
      <c r="TX13" s="272"/>
      <c r="TY13" s="272"/>
      <c r="TZ13" s="272"/>
      <c r="UA13" s="272"/>
      <c r="UB13" s="272"/>
      <c r="UC13" s="272"/>
      <c r="UD13" s="272"/>
      <c r="UE13" s="272"/>
      <c r="UF13" s="272"/>
      <c r="UG13" s="272"/>
      <c r="UH13" s="272"/>
      <c r="UI13" s="272"/>
      <c r="UJ13" s="272"/>
      <c r="UK13" s="272"/>
      <c r="UL13" s="272"/>
      <c r="UM13" s="272"/>
      <c r="UN13" s="272"/>
      <c r="UO13" s="272"/>
      <c r="UP13" s="272"/>
      <c r="UQ13" s="272"/>
      <c r="UR13" s="272"/>
      <c r="US13" s="272"/>
      <c r="UT13" s="272"/>
      <c r="UU13" s="272"/>
      <c r="UV13" s="272"/>
      <c r="UW13" s="272"/>
      <c r="UX13" s="272"/>
      <c r="UY13" s="272"/>
      <c r="UZ13" s="272"/>
      <c r="VA13" s="272"/>
      <c r="VB13" s="272"/>
      <c r="VC13" s="272"/>
      <c r="VD13" s="272"/>
      <c r="VE13" s="272"/>
      <c r="VF13" s="272"/>
      <c r="VG13" s="272"/>
      <c r="VH13" s="272"/>
      <c r="VI13" s="272"/>
      <c r="VJ13" s="272"/>
      <c r="VK13" s="272"/>
      <c r="VL13" s="272"/>
      <c r="VM13" s="272"/>
      <c r="VN13" s="272"/>
      <c r="VO13" s="272"/>
      <c r="VP13" s="272"/>
      <c r="VQ13" s="272"/>
      <c r="VR13" s="272"/>
      <c r="VS13" s="272"/>
      <c r="VT13" s="272"/>
      <c r="VU13" s="272"/>
      <c r="VV13" s="272"/>
      <c r="VW13" s="272"/>
      <c r="VX13" s="272"/>
      <c r="VY13" s="272"/>
      <c r="VZ13" s="272"/>
      <c r="WA13" s="272"/>
      <c r="WB13" s="272"/>
      <c r="WC13" s="272"/>
      <c r="WD13" s="272"/>
      <c r="WE13" s="272"/>
      <c r="WF13" s="272"/>
      <c r="WG13" s="272"/>
      <c r="WH13" s="272"/>
      <c r="WI13" s="272"/>
      <c r="WJ13" s="272"/>
      <c r="WK13" s="272"/>
      <c r="WL13" s="272"/>
      <c r="WM13" s="272"/>
      <c r="WN13" s="272"/>
      <c r="WO13" s="272"/>
      <c r="WP13" s="272"/>
      <c r="WQ13" s="272"/>
      <c r="WR13" s="272"/>
      <c r="WS13" s="272"/>
      <c r="WT13" s="272"/>
      <c r="WU13" s="272"/>
      <c r="WV13" s="272"/>
      <c r="WW13" s="272"/>
      <c r="WX13" s="272"/>
      <c r="WY13" s="272"/>
      <c r="WZ13" s="272"/>
      <c r="XA13" s="272"/>
      <c r="XB13" s="272"/>
      <c r="XC13" s="272"/>
      <c r="XD13" s="272"/>
      <c r="XE13" s="272"/>
      <c r="XF13" s="272"/>
      <c r="XG13" s="272"/>
      <c r="XH13" s="272"/>
      <c r="XI13" s="272"/>
      <c r="XJ13" s="272"/>
      <c r="XK13" s="272"/>
      <c r="XL13" s="272"/>
      <c r="XM13" s="272"/>
      <c r="XN13" s="272"/>
      <c r="XO13" s="272"/>
      <c r="XP13" s="272"/>
      <c r="XQ13" s="272"/>
      <c r="XR13" s="272"/>
      <c r="XS13" s="272"/>
      <c r="XT13" s="272"/>
      <c r="XU13" s="272"/>
      <c r="XV13" s="272"/>
      <c r="XW13" s="272"/>
      <c r="XX13" s="272"/>
      <c r="XY13" s="272"/>
      <c r="XZ13" s="272"/>
      <c r="YA13" s="272"/>
      <c r="YB13" s="272"/>
      <c r="YC13" s="272"/>
      <c r="YD13" s="272"/>
      <c r="YE13" s="272"/>
      <c r="YF13" s="272"/>
      <c r="YG13" s="272"/>
      <c r="YH13" s="272"/>
      <c r="YI13" s="272"/>
      <c r="YJ13" s="272"/>
      <c r="YK13" s="272"/>
      <c r="YL13" s="272"/>
      <c r="YM13" s="272"/>
      <c r="YN13" s="272"/>
      <c r="YO13" s="272"/>
      <c r="YP13" s="272"/>
      <c r="YQ13" s="272"/>
      <c r="YR13" s="272"/>
      <c r="YS13" s="272"/>
      <c r="YT13" s="272"/>
      <c r="YU13" s="272"/>
      <c r="YV13" s="272"/>
      <c r="YW13" s="272"/>
      <c r="YX13" s="272"/>
      <c r="YY13" s="272"/>
      <c r="YZ13" s="272"/>
      <c r="ZA13" s="272"/>
      <c r="ZB13" s="272"/>
      <c r="ZC13" s="272"/>
      <c r="ZD13" s="272"/>
      <c r="ZE13" s="272"/>
      <c r="ZF13" s="272"/>
      <c r="ZG13" s="272"/>
      <c r="ZH13" s="272"/>
      <c r="ZI13" s="272"/>
      <c r="ZJ13" s="272"/>
      <c r="ZK13" s="272"/>
      <c r="ZL13" s="272"/>
      <c r="ZM13" s="272"/>
      <c r="ZN13" s="272"/>
      <c r="ZO13" s="272"/>
      <c r="ZP13" s="272"/>
      <c r="ZQ13" s="272"/>
      <c r="ZR13" s="272"/>
      <c r="ZS13" s="272"/>
      <c r="ZT13" s="272"/>
    </row>
    <row r="14" spans="1:696" s="19" customFormat="1" ht="98.25" customHeight="1">
      <c r="A14" s="44"/>
      <c r="B14" s="72"/>
      <c r="C14" s="24" t="s">
        <v>54</v>
      </c>
      <c r="D14" s="505"/>
      <c r="E14" s="532"/>
      <c r="F14" s="509"/>
      <c r="G14" s="506"/>
      <c r="H14" s="506"/>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c r="IW14" s="272"/>
      <c r="IX14" s="272"/>
      <c r="IY14" s="272"/>
      <c r="IZ14" s="272"/>
      <c r="JA14" s="272"/>
      <c r="JB14" s="272"/>
      <c r="JC14" s="272"/>
      <c r="JD14" s="272"/>
      <c r="JE14" s="272"/>
      <c r="JF14" s="272"/>
      <c r="JG14" s="272"/>
      <c r="JH14" s="272"/>
      <c r="JI14" s="272"/>
      <c r="JJ14" s="272"/>
      <c r="JK14" s="272"/>
      <c r="JL14" s="272"/>
      <c r="JM14" s="272"/>
      <c r="JN14" s="272"/>
      <c r="JO14" s="272"/>
      <c r="JP14" s="272"/>
      <c r="JQ14" s="272"/>
      <c r="JR14" s="272"/>
      <c r="JS14" s="272"/>
      <c r="JT14" s="272"/>
      <c r="JU14" s="272"/>
      <c r="JV14" s="272"/>
      <c r="JW14" s="272"/>
      <c r="JX14" s="272"/>
      <c r="JY14" s="272"/>
      <c r="JZ14" s="272"/>
      <c r="KA14" s="272"/>
      <c r="KB14" s="272"/>
      <c r="KC14" s="272"/>
      <c r="KD14" s="272"/>
      <c r="KE14" s="272"/>
      <c r="KF14" s="272"/>
      <c r="KG14" s="272"/>
      <c r="KH14" s="272"/>
      <c r="KI14" s="272"/>
      <c r="KJ14" s="272"/>
      <c r="KK14" s="272"/>
      <c r="KL14" s="272"/>
      <c r="KM14" s="272"/>
      <c r="KN14" s="272"/>
      <c r="KO14" s="272"/>
      <c r="KP14" s="272"/>
      <c r="KQ14" s="272"/>
      <c r="KR14" s="272"/>
      <c r="KS14" s="272"/>
      <c r="KT14" s="272"/>
      <c r="KU14" s="272"/>
      <c r="KV14" s="272"/>
      <c r="KW14" s="272"/>
      <c r="KX14" s="272"/>
      <c r="KY14" s="272"/>
      <c r="KZ14" s="272"/>
      <c r="LA14" s="272"/>
      <c r="LB14" s="272"/>
      <c r="LC14" s="272"/>
      <c r="LD14" s="272"/>
      <c r="LE14" s="272"/>
      <c r="LF14" s="272"/>
      <c r="LG14" s="272"/>
      <c r="LH14" s="272"/>
      <c r="LI14" s="272"/>
      <c r="LJ14" s="272"/>
      <c r="LK14" s="272"/>
      <c r="LL14" s="272"/>
      <c r="LM14" s="272"/>
      <c r="LN14" s="272"/>
      <c r="LO14" s="272"/>
      <c r="LP14" s="272"/>
      <c r="LQ14" s="272"/>
      <c r="LR14" s="272"/>
      <c r="LS14" s="272"/>
      <c r="LT14" s="272"/>
      <c r="LU14" s="272"/>
      <c r="LV14" s="272"/>
      <c r="LW14" s="272"/>
      <c r="LX14" s="272"/>
      <c r="LY14" s="272"/>
      <c r="LZ14" s="272"/>
      <c r="MA14" s="272"/>
      <c r="MB14" s="272"/>
      <c r="MC14" s="272"/>
      <c r="MD14" s="272"/>
      <c r="ME14" s="272"/>
      <c r="MF14" s="272"/>
      <c r="MG14" s="272"/>
      <c r="MH14" s="272"/>
      <c r="MI14" s="272"/>
      <c r="MJ14" s="272"/>
      <c r="MK14" s="272"/>
      <c r="ML14" s="272"/>
      <c r="MM14" s="272"/>
      <c r="MN14" s="272"/>
      <c r="MO14" s="272"/>
      <c r="MP14" s="272"/>
      <c r="MQ14" s="272"/>
      <c r="MR14" s="272"/>
      <c r="MS14" s="272"/>
      <c r="MT14" s="272"/>
      <c r="MU14" s="272"/>
      <c r="MV14" s="272"/>
      <c r="MW14" s="272"/>
      <c r="MX14" s="272"/>
      <c r="MY14" s="272"/>
      <c r="MZ14" s="272"/>
      <c r="NA14" s="272"/>
      <c r="NB14" s="272"/>
      <c r="NC14" s="272"/>
      <c r="ND14" s="272"/>
      <c r="NE14" s="272"/>
      <c r="NF14" s="272"/>
      <c r="NG14" s="272"/>
      <c r="NH14" s="272"/>
      <c r="NI14" s="272"/>
      <c r="NJ14" s="272"/>
      <c r="NK14" s="272"/>
      <c r="NL14" s="272"/>
      <c r="NM14" s="272"/>
      <c r="NN14" s="272"/>
      <c r="NO14" s="272"/>
      <c r="NP14" s="272"/>
      <c r="NQ14" s="272"/>
      <c r="NR14" s="272"/>
      <c r="NS14" s="272"/>
      <c r="NT14" s="272"/>
      <c r="NU14" s="272"/>
      <c r="NV14" s="272"/>
      <c r="NW14" s="272"/>
      <c r="NX14" s="272"/>
      <c r="NY14" s="272"/>
      <c r="NZ14" s="272"/>
      <c r="OA14" s="272"/>
      <c r="OB14" s="272"/>
      <c r="OC14" s="272"/>
      <c r="OD14" s="272"/>
      <c r="OE14" s="272"/>
      <c r="OF14" s="272"/>
      <c r="OG14" s="272"/>
      <c r="OH14" s="272"/>
      <c r="OI14" s="272"/>
      <c r="OJ14" s="272"/>
      <c r="OK14" s="272"/>
      <c r="OL14" s="272"/>
      <c r="OM14" s="272"/>
      <c r="ON14" s="272"/>
      <c r="OO14" s="272"/>
      <c r="OP14" s="272"/>
      <c r="OQ14" s="272"/>
      <c r="OR14" s="272"/>
      <c r="OS14" s="272"/>
      <c r="OT14" s="272"/>
      <c r="OU14" s="272"/>
      <c r="OV14" s="272"/>
      <c r="OW14" s="272"/>
      <c r="OX14" s="272"/>
      <c r="OY14" s="272"/>
      <c r="OZ14" s="272"/>
      <c r="PA14" s="272"/>
      <c r="PB14" s="272"/>
      <c r="PC14" s="272"/>
      <c r="PD14" s="272"/>
      <c r="PE14" s="272"/>
      <c r="PF14" s="272"/>
      <c r="PG14" s="272"/>
      <c r="PH14" s="272"/>
      <c r="PI14" s="272"/>
      <c r="PJ14" s="272"/>
      <c r="PK14" s="272"/>
      <c r="PL14" s="272"/>
      <c r="PM14" s="272"/>
      <c r="PN14" s="272"/>
      <c r="PO14" s="272"/>
      <c r="PP14" s="272"/>
      <c r="PQ14" s="272"/>
      <c r="PR14" s="272"/>
      <c r="PS14" s="272"/>
      <c r="PT14" s="272"/>
      <c r="PU14" s="272"/>
      <c r="PV14" s="272"/>
      <c r="PW14" s="272"/>
      <c r="PX14" s="272"/>
      <c r="PY14" s="272"/>
      <c r="PZ14" s="272"/>
      <c r="QA14" s="272"/>
      <c r="QB14" s="272"/>
      <c r="QC14" s="272"/>
      <c r="QD14" s="272"/>
      <c r="QE14" s="272"/>
      <c r="QF14" s="272"/>
      <c r="QG14" s="272"/>
      <c r="QH14" s="272"/>
      <c r="QI14" s="272"/>
      <c r="QJ14" s="272"/>
      <c r="QK14" s="272"/>
      <c r="QL14" s="272"/>
      <c r="QM14" s="272"/>
      <c r="QN14" s="272"/>
      <c r="QO14" s="272"/>
      <c r="QP14" s="272"/>
      <c r="QQ14" s="272"/>
      <c r="QR14" s="272"/>
      <c r="QS14" s="272"/>
      <c r="QT14" s="272"/>
      <c r="QU14" s="272"/>
      <c r="QV14" s="272"/>
      <c r="QW14" s="272"/>
      <c r="QX14" s="272"/>
      <c r="QY14" s="272"/>
      <c r="QZ14" s="272"/>
      <c r="RA14" s="272"/>
      <c r="RB14" s="272"/>
      <c r="RC14" s="272"/>
      <c r="RD14" s="272"/>
      <c r="RE14" s="272"/>
      <c r="RF14" s="272"/>
      <c r="RG14" s="272"/>
      <c r="RH14" s="272"/>
      <c r="RI14" s="272"/>
      <c r="RJ14" s="272"/>
      <c r="RK14" s="272"/>
      <c r="RL14" s="272"/>
      <c r="RM14" s="272"/>
      <c r="RN14" s="272"/>
      <c r="RO14" s="272"/>
      <c r="RP14" s="272"/>
      <c r="RQ14" s="272"/>
      <c r="RR14" s="272"/>
      <c r="RS14" s="272"/>
      <c r="RT14" s="272"/>
      <c r="RU14" s="272"/>
      <c r="RV14" s="272"/>
      <c r="RW14" s="272"/>
      <c r="RX14" s="272"/>
      <c r="RY14" s="272"/>
      <c r="RZ14" s="272"/>
      <c r="SA14" s="272"/>
      <c r="SB14" s="272"/>
      <c r="SC14" s="272"/>
      <c r="SD14" s="272"/>
      <c r="SE14" s="272"/>
      <c r="SF14" s="272"/>
      <c r="SG14" s="272"/>
      <c r="SH14" s="272"/>
      <c r="SI14" s="272"/>
      <c r="SJ14" s="272"/>
      <c r="SK14" s="272"/>
      <c r="SL14" s="272"/>
      <c r="SM14" s="272"/>
      <c r="SN14" s="272"/>
      <c r="SO14" s="272"/>
      <c r="SP14" s="272"/>
      <c r="SQ14" s="272"/>
      <c r="SR14" s="272"/>
      <c r="SS14" s="272"/>
      <c r="ST14" s="272"/>
      <c r="SU14" s="272"/>
      <c r="SV14" s="272"/>
      <c r="SW14" s="272"/>
      <c r="SX14" s="272"/>
      <c r="SY14" s="272"/>
      <c r="SZ14" s="272"/>
      <c r="TA14" s="272"/>
      <c r="TB14" s="272"/>
      <c r="TC14" s="272"/>
      <c r="TD14" s="272"/>
      <c r="TE14" s="272"/>
      <c r="TF14" s="272"/>
      <c r="TG14" s="272"/>
      <c r="TH14" s="272"/>
      <c r="TI14" s="272"/>
      <c r="TJ14" s="272"/>
      <c r="TK14" s="272"/>
      <c r="TL14" s="272"/>
      <c r="TM14" s="272"/>
      <c r="TN14" s="272"/>
      <c r="TO14" s="272"/>
      <c r="TP14" s="272"/>
      <c r="TQ14" s="272"/>
      <c r="TR14" s="272"/>
      <c r="TS14" s="272"/>
      <c r="TT14" s="272"/>
      <c r="TU14" s="272"/>
      <c r="TV14" s="272"/>
      <c r="TW14" s="272"/>
      <c r="TX14" s="272"/>
      <c r="TY14" s="272"/>
      <c r="TZ14" s="272"/>
      <c r="UA14" s="272"/>
      <c r="UB14" s="272"/>
      <c r="UC14" s="272"/>
      <c r="UD14" s="272"/>
      <c r="UE14" s="272"/>
      <c r="UF14" s="272"/>
      <c r="UG14" s="272"/>
      <c r="UH14" s="272"/>
      <c r="UI14" s="272"/>
      <c r="UJ14" s="272"/>
      <c r="UK14" s="272"/>
      <c r="UL14" s="272"/>
      <c r="UM14" s="272"/>
      <c r="UN14" s="272"/>
      <c r="UO14" s="272"/>
      <c r="UP14" s="272"/>
      <c r="UQ14" s="272"/>
      <c r="UR14" s="272"/>
      <c r="US14" s="272"/>
      <c r="UT14" s="272"/>
      <c r="UU14" s="272"/>
      <c r="UV14" s="272"/>
      <c r="UW14" s="272"/>
      <c r="UX14" s="272"/>
      <c r="UY14" s="272"/>
      <c r="UZ14" s="272"/>
      <c r="VA14" s="272"/>
      <c r="VB14" s="272"/>
      <c r="VC14" s="272"/>
      <c r="VD14" s="272"/>
      <c r="VE14" s="272"/>
      <c r="VF14" s="272"/>
      <c r="VG14" s="272"/>
      <c r="VH14" s="272"/>
      <c r="VI14" s="272"/>
      <c r="VJ14" s="272"/>
      <c r="VK14" s="272"/>
      <c r="VL14" s="272"/>
      <c r="VM14" s="272"/>
      <c r="VN14" s="272"/>
      <c r="VO14" s="272"/>
      <c r="VP14" s="272"/>
      <c r="VQ14" s="272"/>
      <c r="VR14" s="272"/>
      <c r="VS14" s="272"/>
      <c r="VT14" s="272"/>
      <c r="VU14" s="272"/>
      <c r="VV14" s="272"/>
      <c r="VW14" s="272"/>
      <c r="VX14" s="272"/>
      <c r="VY14" s="272"/>
      <c r="VZ14" s="272"/>
      <c r="WA14" s="272"/>
      <c r="WB14" s="272"/>
      <c r="WC14" s="272"/>
      <c r="WD14" s="272"/>
      <c r="WE14" s="272"/>
      <c r="WF14" s="272"/>
      <c r="WG14" s="272"/>
      <c r="WH14" s="272"/>
      <c r="WI14" s="272"/>
      <c r="WJ14" s="272"/>
      <c r="WK14" s="272"/>
      <c r="WL14" s="272"/>
      <c r="WM14" s="272"/>
      <c r="WN14" s="272"/>
      <c r="WO14" s="272"/>
      <c r="WP14" s="272"/>
      <c r="WQ14" s="272"/>
      <c r="WR14" s="272"/>
      <c r="WS14" s="272"/>
      <c r="WT14" s="272"/>
      <c r="WU14" s="272"/>
      <c r="WV14" s="272"/>
      <c r="WW14" s="272"/>
      <c r="WX14" s="272"/>
      <c r="WY14" s="272"/>
      <c r="WZ14" s="272"/>
      <c r="XA14" s="272"/>
      <c r="XB14" s="272"/>
      <c r="XC14" s="272"/>
      <c r="XD14" s="272"/>
      <c r="XE14" s="272"/>
      <c r="XF14" s="272"/>
      <c r="XG14" s="272"/>
      <c r="XH14" s="272"/>
      <c r="XI14" s="272"/>
      <c r="XJ14" s="272"/>
      <c r="XK14" s="272"/>
      <c r="XL14" s="272"/>
      <c r="XM14" s="272"/>
      <c r="XN14" s="272"/>
      <c r="XO14" s="272"/>
      <c r="XP14" s="272"/>
      <c r="XQ14" s="272"/>
      <c r="XR14" s="272"/>
      <c r="XS14" s="272"/>
      <c r="XT14" s="272"/>
      <c r="XU14" s="272"/>
      <c r="XV14" s="272"/>
      <c r="XW14" s="272"/>
      <c r="XX14" s="272"/>
      <c r="XY14" s="272"/>
      <c r="XZ14" s="272"/>
      <c r="YA14" s="272"/>
      <c r="YB14" s="272"/>
      <c r="YC14" s="272"/>
      <c r="YD14" s="272"/>
      <c r="YE14" s="272"/>
      <c r="YF14" s="272"/>
      <c r="YG14" s="272"/>
      <c r="YH14" s="272"/>
      <c r="YI14" s="272"/>
      <c r="YJ14" s="272"/>
      <c r="YK14" s="272"/>
      <c r="YL14" s="272"/>
      <c r="YM14" s="272"/>
      <c r="YN14" s="272"/>
      <c r="YO14" s="272"/>
      <c r="YP14" s="272"/>
      <c r="YQ14" s="272"/>
      <c r="YR14" s="272"/>
      <c r="YS14" s="272"/>
      <c r="YT14" s="272"/>
      <c r="YU14" s="272"/>
      <c r="YV14" s="272"/>
      <c r="YW14" s="272"/>
      <c r="YX14" s="272"/>
      <c r="YY14" s="272"/>
      <c r="YZ14" s="272"/>
      <c r="ZA14" s="272"/>
      <c r="ZB14" s="272"/>
      <c r="ZC14" s="272"/>
      <c r="ZD14" s="272"/>
      <c r="ZE14" s="272"/>
      <c r="ZF14" s="272"/>
      <c r="ZG14" s="272"/>
      <c r="ZH14" s="272"/>
      <c r="ZI14" s="272"/>
      <c r="ZJ14" s="272"/>
      <c r="ZK14" s="272"/>
      <c r="ZL14" s="272"/>
      <c r="ZM14" s="272"/>
      <c r="ZN14" s="272"/>
      <c r="ZO14" s="272"/>
      <c r="ZP14" s="272"/>
      <c r="ZQ14" s="272"/>
      <c r="ZR14" s="272"/>
      <c r="ZS14" s="272"/>
      <c r="ZT14" s="272"/>
    </row>
    <row r="15" spans="1:696" s="19" customFormat="1" ht="25.5">
      <c r="A15" s="44"/>
      <c r="B15" s="83" t="s">
        <v>21</v>
      </c>
      <c r="C15" s="24" t="s">
        <v>52</v>
      </c>
      <c r="D15" s="508"/>
      <c r="E15" s="532"/>
      <c r="F15" s="509"/>
      <c r="G15" s="506"/>
      <c r="H15" s="506"/>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c r="IW15" s="272"/>
      <c r="IX15" s="272"/>
      <c r="IY15" s="272"/>
      <c r="IZ15" s="272"/>
      <c r="JA15" s="272"/>
      <c r="JB15" s="272"/>
      <c r="JC15" s="272"/>
      <c r="JD15" s="272"/>
      <c r="JE15" s="272"/>
      <c r="JF15" s="272"/>
      <c r="JG15" s="272"/>
      <c r="JH15" s="272"/>
      <c r="JI15" s="272"/>
      <c r="JJ15" s="272"/>
      <c r="JK15" s="272"/>
      <c r="JL15" s="272"/>
      <c r="JM15" s="272"/>
      <c r="JN15" s="272"/>
      <c r="JO15" s="272"/>
      <c r="JP15" s="272"/>
      <c r="JQ15" s="272"/>
      <c r="JR15" s="272"/>
      <c r="JS15" s="272"/>
      <c r="JT15" s="272"/>
      <c r="JU15" s="272"/>
      <c r="JV15" s="272"/>
      <c r="JW15" s="272"/>
      <c r="JX15" s="272"/>
      <c r="JY15" s="272"/>
      <c r="JZ15" s="272"/>
      <c r="KA15" s="272"/>
      <c r="KB15" s="272"/>
      <c r="KC15" s="272"/>
      <c r="KD15" s="272"/>
      <c r="KE15" s="272"/>
      <c r="KF15" s="272"/>
      <c r="KG15" s="272"/>
      <c r="KH15" s="272"/>
      <c r="KI15" s="272"/>
      <c r="KJ15" s="272"/>
      <c r="KK15" s="272"/>
      <c r="KL15" s="272"/>
      <c r="KM15" s="272"/>
      <c r="KN15" s="272"/>
      <c r="KO15" s="272"/>
      <c r="KP15" s="272"/>
      <c r="KQ15" s="272"/>
      <c r="KR15" s="272"/>
      <c r="KS15" s="272"/>
      <c r="KT15" s="272"/>
      <c r="KU15" s="272"/>
      <c r="KV15" s="272"/>
      <c r="KW15" s="272"/>
      <c r="KX15" s="272"/>
      <c r="KY15" s="272"/>
      <c r="KZ15" s="272"/>
      <c r="LA15" s="272"/>
      <c r="LB15" s="272"/>
      <c r="LC15" s="272"/>
      <c r="LD15" s="272"/>
      <c r="LE15" s="272"/>
      <c r="LF15" s="272"/>
      <c r="LG15" s="272"/>
      <c r="LH15" s="272"/>
      <c r="LI15" s="272"/>
      <c r="LJ15" s="272"/>
      <c r="LK15" s="272"/>
      <c r="LL15" s="272"/>
      <c r="LM15" s="272"/>
      <c r="LN15" s="272"/>
      <c r="LO15" s="272"/>
      <c r="LP15" s="272"/>
      <c r="LQ15" s="272"/>
      <c r="LR15" s="272"/>
      <c r="LS15" s="272"/>
      <c r="LT15" s="272"/>
      <c r="LU15" s="272"/>
      <c r="LV15" s="272"/>
      <c r="LW15" s="272"/>
      <c r="LX15" s="272"/>
      <c r="LY15" s="272"/>
      <c r="LZ15" s="272"/>
      <c r="MA15" s="272"/>
      <c r="MB15" s="272"/>
      <c r="MC15" s="272"/>
      <c r="MD15" s="272"/>
      <c r="ME15" s="272"/>
      <c r="MF15" s="272"/>
      <c r="MG15" s="272"/>
      <c r="MH15" s="272"/>
      <c r="MI15" s="272"/>
      <c r="MJ15" s="272"/>
      <c r="MK15" s="272"/>
      <c r="ML15" s="272"/>
      <c r="MM15" s="272"/>
      <c r="MN15" s="272"/>
      <c r="MO15" s="272"/>
      <c r="MP15" s="272"/>
      <c r="MQ15" s="272"/>
      <c r="MR15" s="272"/>
      <c r="MS15" s="272"/>
      <c r="MT15" s="272"/>
      <c r="MU15" s="272"/>
      <c r="MV15" s="272"/>
      <c r="MW15" s="272"/>
      <c r="MX15" s="272"/>
      <c r="MY15" s="272"/>
      <c r="MZ15" s="272"/>
      <c r="NA15" s="272"/>
      <c r="NB15" s="272"/>
      <c r="NC15" s="272"/>
      <c r="ND15" s="272"/>
      <c r="NE15" s="272"/>
      <c r="NF15" s="272"/>
      <c r="NG15" s="272"/>
      <c r="NH15" s="272"/>
      <c r="NI15" s="272"/>
      <c r="NJ15" s="272"/>
      <c r="NK15" s="272"/>
      <c r="NL15" s="272"/>
      <c r="NM15" s="272"/>
      <c r="NN15" s="272"/>
      <c r="NO15" s="272"/>
      <c r="NP15" s="272"/>
      <c r="NQ15" s="272"/>
      <c r="NR15" s="272"/>
      <c r="NS15" s="272"/>
      <c r="NT15" s="272"/>
      <c r="NU15" s="272"/>
      <c r="NV15" s="272"/>
      <c r="NW15" s="272"/>
      <c r="NX15" s="272"/>
      <c r="NY15" s="272"/>
      <c r="NZ15" s="272"/>
      <c r="OA15" s="272"/>
      <c r="OB15" s="272"/>
      <c r="OC15" s="272"/>
      <c r="OD15" s="272"/>
      <c r="OE15" s="272"/>
      <c r="OF15" s="272"/>
      <c r="OG15" s="272"/>
      <c r="OH15" s="272"/>
      <c r="OI15" s="272"/>
      <c r="OJ15" s="272"/>
      <c r="OK15" s="272"/>
      <c r="OL15" s="272"/>
      <c r="OM15" s="272"/>
      <c r="ON15" s="272"/>
      <c r="OO15" s="272"/>
      <c r="OP15" s="272"/>
      <c r="OQ15" s="272"/>
      <c r="OR15" s="272"/>
      <c r="OS15" s="272"/>
      <c r="OT15" s="272"/>
      <c r="OU15" s="272"/>
      <c r="OV15" s="272"/>
      <c r="OW15" s="272"/>
      <c r="OX15" s="272"/>
      <c r="OY15" s="272"/>
      <c r="OZ15" s="272"/>
      <c r="PA15" s="272"/>
      <c r="PB15" s="272"/>
      <c r="PC15" s="272"/>
      <c r="PD15" s="272"/>
      <c r="PE15" s="272"/>
      <c r="PF15" s="272"/>
      <c r="PG15" s="272"/>
      <c r="PH15" s="272"/>
      <c r="PI15" s="272"/>
      <c r="PJ15" s="272"/>
      <c r="PK15" s="272"/>
      <c r="PL15" s="272"/>
      <c r="PM15" s="272"/>
      <c r="PN15" s="272"/>
      <c r="PO15" s="272"/>
      <c r="PP15" s="272"/>
      <c r="PQ15" s="272"/>
      <c r="PR15" s="272"/>
      <c r="PS15" s="272"/>
      <c r="PT15" s="272"/>
      <c r="PU15" s="272"/>
      <c r="PV15" s="272"/>
      <c r="PW15" s="272"/>
      <c r="PX15" s="272"/>
      <c r="PY15" s="272"/>
      <c r="PZ15" s="272"/>
      <c r="QA15" s="272"/>
      <c r="QB15" s="272"/>
      <c r="QC15" s="272"/>
      <c r="QD15" s="272"/>
      <c r="QE15" s="272"/>
      <c r="QF15" s="272"/>
      <c r="QG15" s="272"/>
      <c r="QH15" s="272"/>
      <c r="QI15" s="272"/>
      <c r="QJ15" s="272"/>
      <c r="QK15" s="272"/>
      <c r="QL15" s="272"/>
      <c r="QM15" s="272"/>
      <c r="QN15" s="272"/>
      <c r="QO15" s="272"/>
      <c r="QP15" s="272"/>
      <c r="QQ15" s="272"/>
      <c r="QR15" s="272"/>
      <c r="QS15" s="272"/>
      <c r="QT15" s="272"/>
      <c r="QU15" s="272"/>
      <c r="QV15" s="272"/>
      <c r="QW15" s="272"/>
      <c r="QX15" s="272"/>
      <c r="QY15" s="272"/>
      <c r="QZ15" s="272"/>
      <c r="RA15" s="272"/>
      <c r="RB15" s="272"/>
      <c r="RC15" s="272"/>
      <c r="RD15" s="272"/>
      <c r="RE15" s="272"/>
      <c r="RF15" s="272"/>
      <c r="RG15" s="272"/>
      <c r="RH15" s="272"/>
      <c r="RI15" s="272"/>
      <c r="RJ15" s="272"/>
      <c r="RK15" s="272"/>
      <c r="RL15" s="272"/>
      <c r="RM15" s="272"/>
      <c r="RN15" s="272"/>
      <c r="RO15" s="272"/>
      <c r="RP15" s="272"/>
      <c r="RQ15" s="272"/>
      <c r="RR15" s="272"/>
      <c r="RS15" s="272"/>
      <c r="RT15" s="272"/>
      <c r="RU15" s="272"/>
      <c r="RV15" s="272"/>
      <c r="RW15" s="272"/>
      <c r="RX15" s="272"/>
      <c r="RY15" s="272"/>
      <c r="RZ15" s="272"/>
      <c r="SA15" s="272"/>
      <c r="SB15" s="272"/>
      <c r="SC15" s="272"/>
      <c r="SD15" s="272"/>
      <c r="SE15" s="272"/>
      <c r="SF15" s="272"/>
      <c r="SG15" s="272"/>
      <c r="SH15" s="272"/>
      <c r="SI15" s="272"/>
      <c r="SJ15" s="272"/>
      <c r="SK15" s="272"/>
      <c r="SL15" s="272"/>
      <c r="SM15" s="272"/>
      <c r="SN15" s="272"/>
      <c r="SO15" s="272"/>
      <c r="SP15" s="272"/>
      <c r="SQ15" s="272"/>
      <c r="SR15" s="272"/>
      <c r="SS15" s="272"/>
      <c r="ST15" s="272"/>
      <c r="SU15" s="272"/>
      <c r="SV15" s="272"/>
      <c r="SW15" s="272"/>
      <c r="SX15" s="272"/>
      <c r="SY15" s="272"/>
      <c r="SZ15" s="272"/>
      <c r="TA15" s="272"/>
      <c r="TB15" s="272"/>
      <c r="TC15" s="272"/>
      <c r="TD15" s="272"/>
      <c r="TE15" s="272"/>
      <c r="TF15" s="272"/>
      <c r="TG15" s="272"/>
      <c r="TH15" s="272"/>
      <c r="TI15" s="272"/>
      <c r="TJ15" s="272"/>
      <c r="TK15" s="272"/>
      <c r="TL15" s="272"/>
      <c r="TM15" s="272"/>
      <c r="TN15" s="272"/>
      <c r="TO15" s="272"/>
      <c r="TP15" s="272"/>
      <c r="TQ15" s="272"/>
      <c r="TR15" s="272"/>
      <c r="TS15" s="272"/>
      <c r="TT15" s="272"/>
      <c r="TU15" s="272"/>
      <c r="TV15" s="272"/>
      <c r="TW15" s="272"/>
      <c r="TX15" s="272"/>
      <c r="TY15" s="272"/>
      <c r="TZ15" s="272"/>
      <c r="UA15" s="272"/>
      <c r="UB15" s="272"/>
      <c r="UC15" s="272"/>
      <c r="UD15" s="272"/>
      <c r="UE15" s="272"/>
      <c r="UF15" s="272"/>
      <c r="UG15" s="272"/>
      <c r="UH15" s="272"/>
      <c r="UI15" s="272"/>
      <c r="UJ15" s="272"/>
      <c r="UK15" s="272"/>
      <c r="UL15" s="272"/>
      <c r="UM15" s="272"/>
      <c r="UN15" s="272"/>
      <c r="UO15" s="272"/>
      <c r="UP15" s="272"/>
      <c r="UQ15" s="272"/>
      <c r="UR15" s="272"/>
      <c r="US15" s="272"/>
      <c r="UT15" s="272"/>
      <c r="UU15" s="272"/>
      <c r="UV15" s="272"/>
      <c r="UW15" s="272"/>
      <c r="UX15" s="272"/>
      <c r="UY15" s="272"/>
      <c r="UZ15" s="272"/>
      <c r="VA15" s="272"/>
      <c r="VB15" s="272"/>
      <c r="VC15" s="272"/>
      <c r="VD15" s="272"/>
      <c r="VE15" s="272"/>
      <c r="VF15" s="272"/>
      <c r="VG15" s="272"/>
      <c r="VH15" s="272"/>
      <c r="VI15" s="272"/>
      <c r="VJ15" s="272"/>
      <c r="VK15" s="272"/>
      <c r="VL15" s="272"/>
      <c r="VM15" s="272"/>
      <c r="VN15" s="272"/>
      <c r="VO15" s="272"/>
      <c r="VP15" s="272"/>
      <c r="VQ15" s="272"/>
      <c r="VR15" s="272"/>
      <c r="VS15" s="272"/>
      <c r="VT15" s="272"/>
      <c r="VU15" s="272"/>
      <c r="VV15" s="272"/>
      <c r="VW15" s="272"/>
      <c r="VX15" s="272"/>
      <c r="VY15" s="272"/>
      <c r="VZ15" s="272"/>
      <c r="WA15" s="272"/>
      <c r="WB15" s="272"/>
      <c r="WC15" s="272"/>
      <c r="WD15" s="272"/>
      <c r="WE15" s="272"/>
      <c r="WF15" s="272"/>
      <c r="WG15" s="272"/>
      <c r="WH15" s="272"/>
      <c r="WI15" s="272"/>
      <c r="WJ15" s="272"/>
      <c r="WK15" s="272"/>
      <c r="WL15" s="272"/>
      <c r="WM15" s="272"/>
      <c r="WN15" s="272"/>
      <c r="WO15" s="272"/>
      <c r="WP15" s="272"/>
      <c r="WQ15" s="272"/>
      <c r="WR15" s="272"/>
      <c r="WS15" s="272"/>
      <c r="WT15" s="272"/>
      <c r="WU15" s="272"/>
      <c r="WV15" s="272"/>
      <c r="WW15" s="272"/>
      <c r="WX15" s="272"/>
      <c r="WY15" s="272"/>
      <c r="WZ15" s="272"/>
      <c r="XA15" s="272"/>
      <c r="XB15" s="272"/>
      <c r="XC15" s="272"/>
      <c r="XD15" s="272"/>
      <c r="XE15" s="272"/>
      <c r="XF15" s="272"/>
      <c r="XG15" s="272"/>
      <c r="XH15" s="272"/>
      <c r="XI15" s="272"/>
      <c r="XJ15" s="272"/>
      <c r="XK15" s="272"/>
      <c r="XL15" s="272"/>
      <c r="XM15" s="272"/>
      <c r="XN15" s="272"/>
      <c r="XO15" s="272"/>
      <c r="XP15" s="272"/>
      <c r="XQ15" s="272"/>
      <c r="XR15" s="272"/>
      <c r="XS15" s="272"/>
      <c r="XT15" s="272"/>
      <c r="XU15" s="272"/>
      <c r="XV15" s="272"/>
      <c r="XW15" s="272"/>
      <c r="XX15" s="272"/>
      <c r="XY15" s="272"/>
      <c r="XZ15" s="272"/>
      <c r="YA15" s="272"/>
      <c r="YB15" s="272"/>
      <c r="YC15" s="272"/>
      <c r="YD15" s="272"/>
      <c r="YE15" s="272"/>
      <c r="YF15" s="272"/>
      <c r="YG15" s="272"/>
      <c r="YH15" s="272"/>
      <c r="YI15" s="272"/>
      <c r="YJ15" s="272"/>
      <c r="YK15" s="272"/>
      <c r="YL15" s="272"/>
      <c r="YM15" s="272"/>
      <c r="YN15" s="272"/>
      <c r="YO15" s="272"/>
      <c r="YP15" s="272"/>
      <c r="YQ15" s="272"/>
      <c r="YR15" s="272"/>
      <c r="YS15" s="272"/>
      <c r="YT15" s="272"/>
      <c r="YU15" s="272"/>
      <c r="YV15" s="272"/>
      <c r="YW15" s="272"/>
      <c r="YX15" s="272"/>
      <c r="YY15" s="272"/>
      <c r="YZ15" s="272"/>
      <c r="ZA15" s="272"/>
      <c r="ZB15" s="272"/>
      <c r="ZC15" s="272"/>
      <c r="ZD15" s="272"/>
      <c r="ZE15" s="272"/>
      <c r="ZF15" s="272"/>
      <c r="ZG15" s="272"/>
      <c r="ZH15" s="272"/>
      <c r="ZI15" s="272"/>
      <c r="ZJ15" s="272"/>
      <c r="ZK15" s="272"/>
      <c r="ZL15" s="272"/>
      <c r="ZM15" s="272"/>
      <c r="ZN15" s="272"/>
      <c r="ZO15" s="272"/>
      <c r="ZP15" s="272"/>
      <c r="ZQ15" s="272"/>
      <c r="ZR15" s="272"/>
      <c r="ZS15" s="272"/>
      <c r="ZT15" s="272"/>
    </row>
    <row r="16" spans="1:696" s="19" customFormat="1" ht="15">
      <c r="A16" s="44"/>
      <c r="B16" s="44"/>
      <c r="C16" s="24" t="s">
        <v>53</v>
      </c>
      <c r="D16" s="508"/>
      <c r="E16" s="532"/>
      <c r="F16" s="509"/>
      <c r="G16" s="506"/>
      <c r="H16" s="506"/>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c r="IO16" s="272"/>
      <c r="IP16" s="272"/>
      <c r="IQ16" s="272"/>
      <c r="IR16" s="272"/>
      <c r="IS16" s="272"/>
      <c r="IT16" s="272"/>
      <c r="IU16" s="272"/>
      <c r="IV16" s="272"/>
      <c r="IW16" s="272"/>
      <c r="IX16" s="272"/>
      <c r="IY16" s="272"/>
      <c r="IZ16" s="272"/>
      <c r="JA16" s="272"/>
      <c r="JB16" s="272"/>
      <c r="JC16" s="272"/>
      <c r="JD16" s="272"/>
      <c r="JE16" s="272"/>
      <c r="JF16" s="272"/>
      <c r="JG16" s="272"/>
      <c r="JH16" s="272"/>
      <c r="JI16" s="272"/>
      <c r="JJ16" s="272"/>
      <c r="JK16" s="272"/>
      <c r="JL16" s="272"/>
      <c r="JM16" s="272"/>
      <c r="JN16" s="272"/>
      <c r="JO16" s="272"/>
      <c r="JP16" s="272"/>
      <c r="JQ16" s="272"/>
      <c r="JR16" s="272"/>
      <c r="JS16" s="272"/>
      <c r="JT16" s="272"/>
      <c r="JU16" s="272"/>
      <c r="JV16" s="272"/>
      <c r="JW16" s="272"/>
      <c r="JX16" s="272"/>
      <c r="JY16" s="272"/>
      <c r="JZ16" s="272"/>
      <c r="KA16" s="272"/>
      <c r="KB16" s="272"/>
      <c r="KC16" s="272"/>
      <c r="KD16" s="272"/>
      <c r="KE16" s="272"/>
      <c r="KF16" s="272"/>
      <c r="KG16" s="272"/>
      <c r="KH16" s="272"/>
      <c r="KI16" s="272"/>
      <c r="KJ16" s="272"/>
      <c r="KK16" s="272"/>
      <c r="KL16" s="272"/>
      <c r="KM16" s="272"/>
      <c r="KN16" s="272"/>
      <c r="KO16" s="272"/>
      <c r="KP16" s="272"/>
      <c r="KQ16" s="272"/>
      <c r="KR16" s="272"/>
      <c r="KS16" s="272"/>
      <c r="KT16" s="272"/>
      <c r="KU16" s="272"/>
      <c r="KV16" s="272"/>
      <c r="KW16" s="272"/>
      <c r="KX16" s="272"/>
      <c r="KY16" s="272"/>
      <c r="KZ16" s="272"/>
      <c r="LA16" s="272"/>
      <c r="LB16" s="272"/>
      <c r="LC16" s="272"/>
      <c r="LD16" s="272"/>
      <c r="LE16" s="272"/>
      <c r="LF16" s="272"/>
      <c r="LG16" s="272"/>
      <c r="LH16" s="272"/>
      <c r="LI16" s="272"/>
      <c r="LJ16" s="272"/>
      <c r="LK16" s="272"/>
      <c r="LL16" s="272"/>
      <c r="LM16" s="272"/>
      <c r="LN16" s="272"/>
      <c r="LO16" s="272"/>
      <c r="LP16" s="272"/>
      <c r="LQ16" s="272"/>
      <c r="LR16" s="272"/>
      <c r="LS16" s="272"/>
      <c r="LT16" s="272"/>
      <c r="LU16" s="272"/>
      <c r="LV16" s="272"/>
      <c r="LW16" s="272"/>
      <c r="LX16" s="272"/>
      <c r="LY16" s="272"/>
      <c r="LZ16" s="272"/>
      <c r="MA16" s="272"/>
      <c r="MB16" s="272"/>
      <c r="MC16" s="272"/>
      <c r="MD16" s="272"/>
      <c r="ME16" s="272"/>
      <c r="MF16" s="272"/>
      <c r="MG16" s="272"/>
      <c r="MH16" s="272"/>
      <c r="MI16" s="272"/>
      <c r="MJ16" s="272"/>
      <c r="MK16" s="272"/>
      <c r="ML16" s="272"/>
      <c r="MM16" s="272"/>
      <c r="MN16" s="272"/>
      <c r="MO16" s="272"/>
      <c r="MP16" s="272"/>
      <c r="MQ16" s="272"/>
      <c r="MR16" s="272"/>
      <c r="MS16" s="272"/>
      <c r="MT16" s="272"/>
      <c r="MU16" s="272"/>
      <c r="MV16" s="272"/>
      <c r="MW16" s="272"/>
      <c r="MX16" s="272"/>
      <c r="MY16" s="272"/>
      <c r="MZ16" s="272"/>
      <c r="NA16" s="272"/>
      <c r="NB16" s="272"/>
      <c r="NC16" s="272"/>
      <c r="ND16" s="272"/>
      <c r="NE16" s="272"/>
      <c r="NF16" s="272"/>
      <c r="NG16" s="272"/>
      <c r="NH16" s="272"/>
      <c r="NI16" s="272"/>
      <c r="NJ16" s="272"/>
      <c r="NK16" s="272"/>
      <c r="NL16" s="272"/>
      <c r="NM16" s="272"/>
      <c r="NN16" s="272"/>
      <c r="NO16" s="272"/>
      <c r="NP16" s="272"/>
      <c r="NQ16" s="272"/>
      <c r="NR16" s="272"/>
      <c r="NS16" s="272"/>
      <c r="NT16" s="272"/>
      <c r="NU16" s="272"/>
      <c r="NV16" s="272"/>
      <c r="NW16" s="272"/>
      <c r="NX16" s="272"/>
      <c r="NY16" s="272"/>
      <c r="NZ16" s="272"/>
      <c r="OA16" s="272"/>
      <c r="OB16" s="272"/>
      <c r="OC16" s="272"/>
      <c r="OD16" s="272"/>
      <c r="OE16" s="272"/>
      <c r="OF16" s="272"/>
      <c r="OG16" s="272"/>
      <c r="OH16" s="272"/>
      <c r="OI16" s="272"/>
      <c r="OJ16" s="272"/>
      <c r="OK16" s="272"/>
      <c r="OL16" s="272"/>
      <c r="OM16" s="272"/>
      <c r="ON16" s="272"/>
      <c r="OO16" s="272"/>
      <c r="OP16" s="272"/>
      <c r="OQ16" s="272"/>
      <c r="OR16" s="272"/>
      <c r="OS16" s="272"/>
      <c r="OT16" s="272"/>
      <c r="OU16" s="272"/>
      <c r="OV16" s="272"/>
      <c r="OW16" s="272"/>
      <c r="OX16" s="272"/>
      <c r="OY16" s="272"/>
      <c r="OZ16" s="272"/>
      <c r="PA16" s="272"/>
      <c r="PB16" s="272"/>
      <c r="PC16" s="272"/>
      <c r="PD16" s="272"/>
      <c r="PE16" s="272"/>
      <c r="PF16" s="272"/>
      <c r="PG16" s="272"/>
      <c r="PH16" s="272"/>
      <c r="PI16" s="272"/>
      <c r="PJ16" s="272"/>
      <c r="PK16" s="272"/>
      <c r="PL16" s="272"/>
      <c r="PM16" s="272"/>
      <c r="PN16" s="272"/>
      <c r="PO16" s="272"/>
      <c r="PP16" s="272"/>
      <c r="PQ16" s="272"/>
      <c r="PR16" s="272"/>
      <c r="PS16" s="272"/>
      <c r="PT16" s="272"/>
      <c r="PU16" s="272"/>
      <c r="PV16" s="272"/>
      <c r="PW16" s="272"/>
      <c r="PX16" s="272"/>
      <c r="PY16" s="272"/>
      <c r="PZ16" s="272"/>
      <c r="QA16" s="272"/>
      <c r="QB16" s="272"/>
      <c r="QC16" s="272"/>
      <c r="QD16" s="272"/>
      <c r="QE16" s="272"/>
      <c r="QF16" s="272"/>
      <c r="QG16" s="272"/>
      <c r="QH16" s="272"/>
      <c r="QI16" s="272"/>
      <c r="QJ16" s="272"/>
      <c r="QK16" s="272"/>
      <c r="QL16" s="272"/>
      <c r="QM16" s="272"/>
      <c r="QN16" s="272"/>
      <c r="QO16" s="272"/>
      <c r="QP16" s="272"/>
      <c r="QQ16" s="272"/>
      <c r="QR16" s="272"/>
      <c r="QS16" s="272"/>
      <c r="QT16" s="272"/>
      <c r="QU16" s="272"/>
      <c r="QV16" s="272"/>
      <c r="QW16" s="272"/>
      <c r="QX16" s="272"/>
      <c r="QY16" s="272"/>
      <c r="QZ16" s="272"/>
      <c r="RA16" s="272"/>
      <c r="RB16" s="272"/>
      <c r="RC16" s="272"/>
      <c r="RD16" s="272"/>
      <c r="RE16" s="272"/>
      <c r="RF16" s="272"/>
      <c r="RG16" s="272"/>
      <c r="RH16" s="272"/>
      <c r="RI16" s="272"/>
      <c r="RJ16" s="272"/>
      <c r="RK16" s="272"/>
      <c r="RL16" s="272"/>
      <c r="RM16" s="272"/>
      <c r="RN16" s="272"/>
      <c r="RO16" s="272"/>
      <c r="RP16" s="272"/>
      <c r="RQ16" s="272"/>
      <c r="RR16" s="272"/>
      <c r="RS16" s="272"/>
      <c r="RT16" s="272"/>
      <c r="RU16" s="272"/>
      <c r="RV16" s="272"/>
      <c r="RW16" s="272"/>
      <c r="RX16" s="272"/>
      <c r="RY16" s="272"/>
      <c r="RZ16" s="272"/>
      <c r="SA16" s="272"/>
      <c r="SB16" s="272"/>
      <c r="SC16" s="272"/>
      <c r="SD16" s="272"/>
      <c r="SE16" s="272"/>
      <c r="SF16" s="272"/>
      <c r="SG16" s="272"/>
      <c r="SH16" s="272"/>
      <c r="SI16" s="272"/>
      <c r="SJ16" s="272"/>
      <c r="SK16" s="272"/>
      <c r="SL16" s="272"/>
      <c r="SM16" s="272"/>
      <c r="SN16" s="272"/>
      <c r="SO16" s="272"/>
      <c r="SP16" s="272"/>
      <c r="SQ16" s="272"/>
      <c r="SR16" s="272"/>
      <c r="SS16" s="272"/>
      <c r="ST16" s="272"/>
      <c r="SU16" s="272"/>
      <c r="SV16" s="272"/>
      <c r="SW16" s="272"/>
      <c r="SX16" s="272"/>
      <c r="SY16" s="272"/>
      <c r="SZ16" s="272"/>
      <c r="TA16" s="272"/>
      <c r="TB16" s="272"/>
      <c r="TC16" s="272"/>
      <c r="TD16" s="272"/>
      <c r="TE16" s="272"/>
      <c r="TF16" s="272"/>
      <c r="TG16" s="272"/>
      <c r="TH16" s="272"/>
      <c r="TI16" s="272"/>
      <c r="TJ16" s="272"/>
      <c r="TK16" s="272"/>
      <c r="TL16" s="272"/>
      <c r="TM16" s="272"/>
      <c r="TN16" s="272"/>
      <c r="TO16" s="272"/>
      <c r="TP16" s="272"/>
      <c r="TQ16" s="272"/>
      <c r="TR16" s="272"/>
      <c r="TS16" s="272"/>
      <c r="TT16" s="272"/>
      <c r="TU16" s="272"/>
      <c r="TV16" s="272"/>
      <c r="TW16" s="272"/>
      <c r="TX16" s="272"/>
      <c r="TY16" s="272"/>
      <c r="TZ16" s="272"/>
      <c r="UA16" s="272"/>
      <c r="UB16" s="272"/>
      <c r="UC16" s="272"/>
      <c r="UD16" s="272"/>
      <c r="UE16" s="272"/>
      <c r="UF16" s="272"/>
      <c r="UG16" s="272"/>
      <c r="UH16" s="272"/>
      <c r="UI16" s="272"/>
      <c r="UJ16" s="272"/>
      <c r="UK16" s="272"/>
      <c r="UL16" s="272"/>
      <c r="UM16" s="272"/>
      <c r="UN16" s="272"/>
      <c r="UO16" s="272"/>
      <c r="UP16" s="272"/>
      <c r="UQ16" s="272"/>
      <c r="UR16" s="272"/>
      <c r="US16" s="272"/>
      <c r="UT16" s="272"/>
      <c r="UU16" s="272"/>
      <c r="UV16" s="272"/>
      <c r="UW16" s="272"/>
      <c r="UX16" s="272"/>
      <c r="UY16" s="272"/>
      <c r="UZ16" s="272"/>
      <c r="VA16" s="272"/>
      <c r="VB16" s="272"/>
      <c r="VC16" s="272"/>
      <c r="VD16" s="272"/>
      <c r="VE16" s="272"/>
      <c r="VF16" s="272"/>
      <c r="VG16" s="272"/>
      <c r="VH16" s="272"/>
      <c r="VI16" s="272"/>
      <c r="VJ16" s="272"/>
      <c r="VK16" s="272"/>
      <c r="VL16" s="272"/>
      <c r="VM16" s="272"/>
      <c r="VN16" s="272"/>
      <c r="VO16" s="272"/>
      <c r="VP16" s="272"/>
      <c r="VQ16" s="272"/>
      <c r="VR16" s="272"/>
      <c r="VS16" s="272"/>
      <c r="VT16" s="272"/>
      <c r="VU16" s="272"/>
      <c r="VV16" s="272"/>
      <c r="VW16" s="272"/>
      <c r="VX16" s="272"/>
      <c r="VY16" s="272"/>
      <c r="VZ16" s="272"/>
      <c r="WA16" s="272"/>
      <c r="WB16" s="272"/>
      <c r="WC16" s="272"/>
      <c r="WD16" s="272"/>
      <c r="WE16" s="272"/>
      <c r="WF16" s="272"/>
      <c r="WG16" s="272"/>
      <c r="WH16" s="272"/>
      <c r="WI16" s="272"/>
      <c r="WJ16" s="272"/>
      <c r="WK16" s="272"/>
      <c r="WL16" s="272"/>
      <c r="WM16" s="272"/>
      <c r="WN16" s="272"/>
      <c r="WO16" s="272"/>
      <c r="WP16" s="272"/>
      <c r="WQ16" s="272"/>
      <c r="WR16" s="272"/>
      <c r="WS16" s="272"/>
      <c r="WT16" s="272"/>
      <c r="WU16" s="272"/>
      <c r="WV16" s="272"/>
      <c r="WW16" s="272"/>
      <c r="WX16" s="272"/>
      <c r="WY16" s="272"/>
      <c r="WZ16" s="272"/>
      <c r="XA16" s="272"/>
      <c r="XB16" s="272"/>
      <c r="XC16" s="272"/>
      <c r="XD16" s="272"/>
      <c r="XE16" s="272"/>
      <c r="XF16" s="272"/>
      <c r="XG16" s="272"/>
      <c r="XH16" s="272"/>
      <c r="XI16" s="272"/>
      <c r="XJ16" s="272"/>
      <c r="XK16" s="272"/>
      <c r="XL16" s="272"/>
      <c r="XM16" s="272"/>
      <c r="XN16" s="272"/>
      <c r="XO16" s="272"/>
      <c r="XP16" s="272"/>
      <c r="XQ16" s="272"/>
      <c r="XR16" s="272"/>
      <c r="XS16" s="272"/>
      <c r="XT16" s="272"/>
      <c r="XU16" s="272"/>
      <c r="XV16" s="272"/>
      <c r="XW16" s="272"/>
      <c r="XX16" s="272"/>
      <c r="XY16" s="272"/>
      <c r="XZ16" s="272"/>
      <c r="YA16" s="272"/>
      <c r="YB16" s="272"/>
      <c r="YC16" s="272"/>
      <c r="YD16" s="272"/>
      <c r="YE16" s="272"/>
      <c r="YF16" s="272"/>
      <c r="YG16" s="272"/>
      <c r="YH16" s="272"/>
      <c r="YI16" s="272"/>
      <c r="YJ16" s="272"/>
      <c r="YK16" s="272"/>
      <c r="YL16" s="272"/>
      <c r="YM16" s="272"/>
      <c r="YN16" s="272"/>
      <c r="YO16" s="272"/>
      <c r="YP16" s="272"/>
      <c r="YQ16" s="272"/>
      <c r="YR16" s="272"/>
      <c r="YS16" s="272"/>
      <c r="YT16" s="272"/>
      <c r="YU16" s="272"/>
      <c r="YV16" s="272"/>
      <c r="YW16" s="272"/>
      <c r="YX16" s="272"/>
      <c r="YY16" s="272"/>
      <c r="YZ16" s="272"/>
      <c r="ZA16" s="272"/>
      <c r="ZB16" s="272"/>
      <c r="ZC16" s="272"/>
      <c r="ZD16" s="272"/>
      <c r="ZE16" s="272"/>
      <c r="ZF16" s="272"/>
      <c r="ZG16" s="272"/>
      <c r="ZH16" s="272"/>
      <c r="ZI16" s="272"/>
      <c r="ZJ16" s="272"/>
      <c r="ZK16" s="272"/>
      <c r="ZL16" s="272"/>
      <c r="ZM16" s="272"/>
      <c r="ZN16" s="272"/>
      <c r="ZO16" s="272"/>
      <c r="ZP16" s="272"/>
      <c r="ZQ16" s="272"/>
      <c r="ZR16" s="272"/>
      <c r="ZS16" s="272"/>
      <c r="ZT16" s="272"/>
    </row>
    <row r="17" spans="1:696" s="19" customFormat="1" ht="15">
      <c r="A17" s="44"/>
      <c r="B17" s="72"/>
      <c r="C17" s="24" t="s">
        <v>54</v>
      </c>
      <c r="D17" s="505"/>
      <c r="E17" s="532"/>
      <c r="F17" s="509"/>
      <c r="G17" s="506"/>
      <c r="H17" s="506"/>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c r="IW17" s="272"/>
      <c r="IX17" s="272"/>
      <c r="IY17" s="272"/>
      <c r="IZ17" s="272"/>
      <c r="JA17" s="272"/>
      <c r="JB17" s="272"/>
      <c r="JC17" s="272"/>
      <c r="JD17" s="272"/>
      <c r="JE17" s="272"/>
      <c r="JF17" s="272"/>
      <c r="JG17" s="272"/>
      <c r="JH17" s="272"/>
      <c r="JI17" s="272"/>
      <c r="JJ17" s="272"/>
      <c r="JK17" s="272"/>
      <c r="JL17" s="272"/>
      <c r="JM17" s="272"/>
      <c r="JN17" s="272"/>
      <c r="JO17" s="272"/>
      <c r="JP17" s="272"/>
      <c r="JQ17" s="272"/>
      <c r="JR17" s="272"/>
      <c r="JS17" s="272"/>
      <c r="JT17" s="272"/>
      <c r="JU17" s="272"/>
      <c r="JV17" s="272"/>
      <c r="JW17" s="272"/>
      <c r="JX17" s="272"/>
      <c r="JY17" s="272"/>
      <c r="JZ17" s="272"/>
      <c r="KA17" s="272"/>
      <c r="KB17" s="272"/>
      <c r="KC17" s="272"/>
      <c r="KD17" s="272"/>
      <c r="KE17" s="272"/>
      <c r="KF17" s="272"/>
      <c r="KG17" s="272"/>
      <c r="KH17" s="272"/>
      <c r="KI17" s="272"/>
      <c r="KJ17" s="272"/>
      <c r="KK17" s="272"/>
      <c r="KL17" s="272"/>
      <c r="KM17" s="272"/>
      <c r="KN17" s="272"/>
      <c r="KO17" s="272"/>
      <c r="KP17" s="272"/>
      <c r="KQ17" s="272"/>
      <c r="KR17" s="272"/>
      <c r="KS17" s="272"/>
      <c r="KT17" s="272"/>
      <c r="KU17" s="272"/>
      <c r="KV17" s="272"/>
      <c r="KW17" s="272"/>
      <c r="KX17" s="272"/>
      <c r="KY17" s="272"/>
      <c r="KZ17" s="272"/>
      <c r="LA17" s="272"/>
      <c r="LB17" s="272"/>
      <c r="LC17" s="272"/>
      <c r="LD17" s="272"/>
      <c r="LE17" s="272"/>
      <c r="LF17" s="272"/>
      <c r="LG17" s="272"/>
      <c r="LH17" s="272"/>
      <c r="LI17" s="272"/>
      <c r="LJ17" s="272"/>
      <c r="LK17" s="272"/>
      <c r="LL17" s="272"/>
      <c r="LM17" s="272"/>
      <c r="LN17" s="272"/>
      <c r="LO17" s="272"/>
      <c r="LP17" s="272"/>
      <c r="LQ17" s="272"/>
      <c r="LR17" s="272"/>
      <c r="LS17" s="272"/>
      <c r="LT17" s="272"/>
      <c r="LU17" s="272"/>
      <c r="LV17" s="272"/>
      <c r="LW17" s="272"/>
      <c r="LX17" s="272"/>
      <c r="LY17" s="272"/>
      <c r="LZ17" s="272"/>
      <c r="MA17" s="272"/>
      <c r="MB17" s="272"/>
      <c r="MC17" s="272"/>
      <c r="MD17" s="272"/>
      <c r="ME17" s="272"/>
      <c r="MF17" s="272"/>
      <c r="MG17" s="272"/>
      <c r="MH17" s="272"/>
      <c r="MI17" s="272"/>
      <c r="MJ17" s="272"/>
      <c r="MK17" s="272"/>
      <c r="ML17" s="272"/>
      <c r="MM17" s="272"/>
      <c r="MN17" s="272"/>
      <c r="MO17" s="272"/>
      <c r="MP17" s="272"/>
      <c r="MQ17" s="272"/>
      <c r="MR17" s="272"/>
      <c r="MS17" s="272"/>
      <c r="MT17" s="272"/>
      <c r="MU17" s="272"/>
      <c r="MV17" s="272"/>
      <c r="MW17" s="272"/>
      <c r="MX17" s="272"/>
      <c r="MY17" s="272"/>
      <c r="MZ17" s="272"/>
      <c r="NA17" s="272"/>
      <c r="NB17" s="272"/>
      <c r="NC17" s="272"/>
      <c r="ND17" s="272"/>
      <c r="NE17" s="272"/>
      <c r="NF17" s="272"/>
      <c r="NG17" s="272"/>
      <c r="NH17" s="272"/>
      <c r="NI17" s="272"/>
      <c r="NJ17" s="272"/>
      <c r="NK17" s="272"/>
      <c r="NL17" s="272"/>
      <c r="NM17" s="272"/>
      <c r="NN17" s="272"/>
      <c r="NO17" s="272"/>
      <c r="NP17" s="272"/>
      <c r="NQ17" s="272"/>
      <c r="NR17" s="272"/>
      <c r="NS17" s="272"/>
      <c r="NT17" s="272"/>
      <c r="NU17" s="272"/>
      <c r="NV17" s="272"/>
      <c r="NW17" s="272"/>
      <c r="NX17" s="272"/>
      <c r="NY17" s="272"/>
      <c r="NZ17" s="272"/>
      <c r="OA17" s="272"/>
      <c r="OB17" s="272"/>
      <c r="OC17" s="272"/>
      <c r="OD17" s="272"/>
      <c r="OE17" s="272"/>
      <c r="OF17" s="272"/>
      <c r="OG17" s="272"/>
      <c r="OH17" s="272"/>
      <c r="OI17" s="272"/>
      <c r="OJ17" s="272"/>
      <c r="OK17" s="272"/>
      <c r="OL17" s="272"/>
      <c r="OM17" s="272"/>
      <c r="ON17" s="272"/>
      <c r="OO17" s="272"/>
      <c r="OP17" s="272"/>
      <c r="OQ17" s="272"/>
      <c r="OR17" s="272"/>
      <c r="OS17" s="272"/>
      <c r="OT17" s="272"/>
      <c r="OU17" s="272"/>
      <c r="OV17" s="272"/>
      <c r="OW17" s="272"/>
      <c r="OX17" s="272"/>
      <c r="OY17" s="272"/>
      <c r="OZ17" s="272"/>
      <c r="PA17" s="272"/>
      <c r="PB17" s="272"/>
      <c r="PC17" s="272"/>
      <c r="PD17" s="272"/>
      <c r="PE17" s="272"/>
      <c r="PF17" s="272"/>
      <c r="PG17" s="272"/>
      <c r="PH17" s="272"/>
      <c r="PI17" s="272"/>
      <c r="PJ17" s="272"/>
      <c r="PK17" s="272"/>
      <c r="PL17" s="272"/>
      <c r="PM17" s="272"/>
      <c r="PN17" s="272"/>
      <c r="PO17" s="272"/>
      <c r="PP17" s="272"/>
      <c r="PQ17" s="272"/>
      <c r="PR17" s="272"/>
      <c r="PS17" s="272"/>
      <c r="PT17" s="272"/>
      <c r="PU17" s="272"/>
      <c r="PV17" s="272"/>
      <c r="PW17" s="272"/>
      <c r="PX17" s="272"/>
      <c r="PY17" s="272"/>
      <c r="PZ17" s="272"/>
      <c r="QA17" s="272"/>
      <c r="QB17" s="272"/>
      <c r="QC17" s="272"/>
      <c r="QD17" s="272"/>
      <c r="QE17" s="272"/>
      <c r="QF17" s="272"/>
      <c r="QG17" s="272"/>
      <c r="QH17" s="272"/>
      <c r="QI17" s="272"/>
      <c r="QJ17" s="272"/>
      <c r="QK17" s="272"/>
      <c r="QL17" s="272"/>
      <c r="QM17" s="272"/>
      <c r="QN17" s="272"/>
      <c r="QO17" s="272"/>
      <c r="QP17" s="272"/>
      <c r="QQ17" s="272"/>
      <c r="QR17" s="272"/>
      <c r="QS17" s="272"/>
      <c r="QT17" s="272"/>
      <c r="QU17" s="272"/>
      <c r="QV17" s="272"/>
      <c r="QW17" s="272"/>
      <c r="QX17" s="272"/>
      <c r="QY17" s="272"/>
      <c r="QZ17" s="272"/>
      <c r="RA17" s="272"/>
      <c r="RB17" s="272"/>
      <c r="RC17" s="272"/>
      <c r="RD17" s="272"/>
      <c r="RE17" s="272"/>
      <c r="RF17" s="272"/>
      <c r="RG17" s="272"/>
      <c r="RH17" s="272"/>
      <c r="RI17" s="272"/>
      <c r="RJ17" s="272"/>
      <c r="RK17" s="272"/>
      <c r="RL17" s="272"/>
      <c r="RM17" s="272"/>
      <c r="RN17" s="272"/>
      <c r="RO17" s="272"/>
      <c r="RP17" s="272"/>
      <c r="RQ17" s="272"/>
      <c r="RR17" s="272"/>
      <c r="RS17" s="272"/>
      <c r="RT17" s="272"/>
      <c r="RU17" s="272"/>
      <c r="RV17" s="272"/>
      <c r="RW17" s="272"/>
      <c r="RX17" s="272"/>
      <c r="RY17" s="272"/>
      <c r="RZ17" s="272"/>
      <c r="SA17" s="272"/>
      <c r="SB17" s="272"/>
      <c r="SC17" s="272"/>
      <c r="SD17" s="272"/>
      <c r="SE17" s="272"/>
      <c r="SF17" s="272"/>
      <c r="SG17" s="272"/>
      <c r="SH17" s="272"/>
      <c r="SI17" s="272"/>
      <c r="SJ17" s="272"/>
      <c r="SK17" s="272"/>
      <c r="SL17" s="272"/>
      <c r="SM17" s="272"/>
      <c r="SN17" s="272"/>
      <c r="SO17" s="272"/>
      <c r="SP17" s="272"/>
      <c r="SQ17" s="272"/>
      <c r="SR17" s="272"/>
      <c r="SS17" s="272"/>
      <c r="ST17" s="272"/>
      <c r="SU17" s="272"/>
      <c r="SV17" s="272"/>
      <c r="SW17" s="272"/>
      <c r="SX17" s="272"/>
      <c r="SY17" s="272"/>
      <c r="SZ17" s="272"/>
      <c r="TA17" s="272"/>
      <c r="TB17" s="272"/>
      <c r="TC17" s="272"/>
      <c r="TD17" s="272"/>
      <c r="TE17" s="272"/>
      <c r="TF17" s="272"/>
      <c r="TG17" s="272"/>
      <c r="TH17" s="272"/>
      <c r="TI17" s="272"/>
      <c r="TJ17" s="272"/>
      <c r="TK17" s="272"/>
      <c r="TL17" s="272"/>
      <c r="TM17" s="272"/>
      <c r="TN17" s="272"/>
      <c r="TO17" s="272"/>
      <c r="TP17" s="272"/>
      <c r="TQ17" s="272"/>
      <c r="TR17" s="272"/>
      <c r="TS17" s="272"/>
      <c r="TT17" s="272"/>
      <c r="TU17" s="272"/>
      <c r="TV17" s="272"/>
      <c r="TW17" s="272"/>
      <c r="TX17" s="272"/>
      <c r="TY17" s="272"/>
      <c r="TZ17" s="272"/>
      <c r="UA17" s="272"/>
      <c r="UB17" s="272"/>
      <c r="UC17" s="272"/>
      <c r="UD17" s="272"/>
      <c r="UE17" s="272"/>
      <c r="UF17" s="272"/>
      <c r="UG17" s="272"/>
      <c r="UH17" s="272"/>
      <c r="UI17" s="272"/>
      <c r="UJ17" s="272"/>
      <c r="UK17" s="272"/>
      <c r="UL17" s="272"/>
      <c r="UM17" s="272"/>
      <c r="UN17" s="272"/>
      <c r="UO17" s="272"/>
      <c r="UP17" s="272"/>
      <c r="UQ17" s="272"/>
      <c r="UR17" s="272"/>
      <c r="US17" s="272"/>
      <c r="UT17" s="272"/>
      <c r="UU17" s="272"/>
      <c r="UV17" s="272"/>
      <c r="UW17" s="272"/>
      <c r="UX17" s="272"/>
      <c r="UY17" s="272"/>
      <c r="UZ17" s="272"/>
      <c r="VA17" s="272"/>
      <c r="VB17" s="272"/>
      <c r="VC17" s="272"/>
      <c r="VD17" s="272"/>
      <c r="VE17" s="272"/>
      <c r="VF17" s="272"/>
      <c r="VG17" s="272"/>
      <c r="VH17" s="272"/>
      <c r="VI17" s="272"/>
      <c r="VJ17" s="272"/>
      <c r="VK17" s="272"/>
      <c r="VL17" s="272"/>
      <c r="VM17" s="272"/>
      <c r="VN17" s="272"/>
      <c r="VO17" s="272"/>
      <c r="VP17" s="272"/>
      <c r="VQ17" s="272"/>
      <c r="VR17" s="272"/>
      <c r="VS17" s="272"/>
      <c r="VT17" s="272"/>
      <c r="VU17" s="272"/>
      <c r="VV17" s="272"/>
      <c r="VW17" s="272"/>
      <c r="VX17" s="272"/>
      <c r="VY17" s="272"/>
      <c r="VZ17" s="272"/>
      <c r="WA17" s="272"/>
      <c r="WB17" s="272"/>
      <c r="WC17" s="272"/>
      <c r="WD17" s="272"/>
      <c r="WE17" s="272"/>
      <c r="WF17" s="272"/>
      <c r="WG17" s="272"/>
      <c r="WH17" s="272"/>
      <c r="WI17" s="272"/>
      <c r="WJ17" s="272"/>
      <c r="WK17" s="272"/>
      <c r="WL17" s="272"/>
      <c r="WM17" s="272"/>
      <c r="WN17" s="272"/>
      <c r="WO17" s="272"/>
      <c r="WP17" s="272"/>
      <c r="WQ17" s="272"/>
      <c r="WR17" s="272"/>
      <c r="WS17" s="272"/>
      <c r="WT17" s="272"/>
      <c r="WU17" s="272"/>
      <c r="WV17" s="272"/>
      <c r="WW17" s="272"/>
      <c r="WX17" s="272"/>
      <c r="WY17" s="272"/>
      <c r="WZ17" s="272"/>
      <c r="XA17" s="272"/>
      <c r="XB17" s="272"/>
      <c r="XC17" s="272"/>
      <c r="XD17" s="272"/>
      <c r="XE17" s="272"/>
      <c r="XF17" s="272"/>
      <c r="XG17" s="272"/>
      <c r="XH17" s="272"/>
      <c r="XI17" s="272"/>
      <c r="XJ17" s="272"/>
      <c r="XK17" s="272"/>
      <c r="XL17" s="272"/>
      <c r="XM17" s="272"/>
      <c r="XN17" s="272"/>
      <c r="XO17" s="272"/>
      <c r="XP17" s="272"/>
      <c r="XQ17" s="272"/>
      <c r="XR17" s="272"/>
      <c r="XS17" s="272"/>
      <c r="XT17" s="272"/>
      <c r="XU17" s="272"/>
      <c r="XV17" s="272"/>
      <c r="XW17" s="272"/>
      <c r="XX17" s="272"/>
      <c r="XY17" s="272"/>
      <c r="XZ17" s="272"/>
      <c r="YA17" s="272"/>
      <c r="YB17" s="272"/>
      <c r="YC17" s="272"/>
      <c r="YD17" s="272"/>
      <c r="YE17" s="272"/>
      <c r="YF17" s="272"/>
      <c r="YG17" s="272"/>
      <c r="YH17" s="272"/>
      <c r="YI17" s="272"/>
      <c r="YJ17" s="272"/>
      <c r="YK17" s="272"/>
      <c r="YL17" s="272"/>
      <c r="YM17" s="272"/>
      <c r="YN17" s="272"/>
      <c r="YO17" s="272"/>
      <c r="YP17" s="272"/>
      <c r="YQ17" s="272"/>
      <c r="YR17" s="272"/>
      <c r="YS17" s="272"/>
      <c r="YT17" s="272"/>
      <c r="YU17" s="272"/>
      <c r="YV17" s="272"/>
      <c r="YW17" s="272"/>
      <c r="YX17" s="272"/>
      <c r="YY17" s="272"/>
      <c r="YZ17" s="272"/>
      <c r="ZA17" s="272"/>
      <c r="ZB17" s="272"/>
      <c r="ZC17" s="272"/>
      <c r="ZD17" s="272"/>
      <c r="ZE17" s="272"/>
      <c r="ZF17" s="272"/>
      <c r="ZG17" s="272"/>
      <c r="ZH17" s="272"/>
      <c r="ZI17" s="272"/>
      <c r="ZJ17" s="272"/>
      <c r="ZK17" s="272"/>
      <c r="ZL17" s="272"/>
      <c r="ZM17" s="272"/>
      <c r="ZN17" s="272"/>
      <c r="ZO17" s="272"/>
      <c r="ZP17" s="272"/>
      <c r="ZQ17" s="272"/>
      <c r="ZR17" s="272"/>
      <c r="ZS17" s="272"/>
      <c r="ZT17" s="272"/>
    </row>
    <row r="18" spans="1:696" s="19" customFormat="1" ht="17.25" customHeight="1">
      <c r="A18" s="44"/>
      <c r="B18" s="596" t="s">
        <v>579</v>
      </c>
      <c r="C18" s="596" t="s">
        <v>52</v>
      </c>
      <c r="D18" s="599"/>
      <c r="E18" s="641"/>
      <c r="F18" s="621"/>
      <c r="G18" s="624"/>
      <c r="H18" s="624"/>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c r="HA18" s="272"/>
      <c r="HB18" s="272"/>
      <c r="HC18" s="272"/>
      <c r="HD18" s="272"/>
      <c r="HE18" s="272"/>
      <c r="HF18" s="272"/>
      <c r="HG18" s="272"/>
      <c r="HH18" s="272"/>
      <c r="HI18" s="272"/>
      <c r="HJ18" s="272"/>
      <c r="HK18" s="272"/>
      <c r="HL18" s="272"/>
      <c r="HM18" s="272"/>
      <c r="HN18" s="272"/>
      <c r="HO18" s="272"/>
      <c r="HP18" s="272"/>
      <c r="HQ18" s="272"/>
      <c r="HR18" s="272"/>
      <c r="HS18" s="272"/>
      <c r="HT18" s="272"/>
      <c r="HU18" s="272"/>
      <c r="HV18" s="272"/>
      <c r="HW18" s="272"/>
      <c r="HX18" s="272"/>
      <c r="HY18" s="272"/>
      <c r="HZ18" s="272"/>
      <c r="IA18" s="272"/>
      <c r="IB18" s="272"/>
      <c r="IC18" s="272"/>
      <c r="ID18" s="272"/>
      <c r="IE18" s="272"/>
      <c r="IF18" s="272"/>
      <c r="IG18" s="272"/>
      <c r="IH18" s="272"/>
      <c r="II18" s="272"/>
      <c r="IJ18" s="272"/>
      <c r="IK18" s="272"/>
      <c r="IL18" s="272"/>
      <c r="IM18" s="272"/>
      <c r="IN18" s="272"/>
      <c r="IO18" s="272"/>
      <c r="IP18" s="272"/>
      <c r="IQ18" s="272"/>
      <c r="IR18" s="272"/>
      <c r="IS18" s="272"/>
      <c r="IT18" s="272"/>
      <c r="IU18" s="272"/>
      <c r="IV18" s="272"/>
      <c r="IW18" s="272"/>
      <c r="IX18" s="272"/>
      <c r="IY18" s="272"/>
      <c r="IZ18" s="272"/>
      <c r="JA18" s="272"/>
      <c r="JB18" s="272"/>
      <c r="JC18" s="272"/>
      <c r="JD18" s="272"/>
      <c r="JE18" s="272"/>
      <c r="JF18" s="272"/>
      <c r="JG18" s="272"/>
      <c r="JH18" s="272"/>
      <c r="JI18" s="272"/>
      <c r="JJ18" s="272"/>
      <c r="JK18" s="272"/>
      <c r="JL18" s="272"/>
      <c r="JM18" s="272"/>
      <c r="JN18" s="272"/>
      <c r="JO18" s="272"/>
      <c r="JP18" s="272"/>
      <c r="JQ18" s="272"/>
      <c r="JR18" s="272"/>
      <c r="JS18" s="272"/>
      <c r="JT18" s="272"/>
      <c r="JU18" s="272"/>
      <c r="JV18" s="272"/>
      <c r="JW18" s="272"/>
      <c r="JX18" s="272"/>
      <c r="JY18" s="272"/>
      <c r="JZ18" s="272"/>
      <c r="KA18" s="272"/>
      <c r="KB18" s="272"/>
      <c r="KC18" s="272"/>
      <c r="KD18" s="272"/>
      <c r="KE18" s="272"/>
      <c r="KF18" s="272"/>
      <c r="KG18" s="272"/>
      <c r="KH18" s="272"/>
      <c r="KI18" s="272"/>
      <c r="KJ18" s="272"/>
      <c r="KK18" s="272"/>
      <c r="KL18" s="272"/>
      <c r="KM18" s="272"/>
      <c r="KN18" s="272"/>
      <c r="KO18" s="272"/>
      <c r="KP18" s="272"/>
      <c r="KQ18" s="272"/>
      <c r="KR18" s="272"/>
      <c r="KS18" s="272"/>
      <c r="KT18" s="272"/>
      <c r="KU18" s="272"/>
      <c r="KV18" s="272"/>
      <c r="KW18" s="272"/>
      <c r="KX18" s="272"/>
      <c r="KY18" s="272"/>
      <c r="KZ18" s="272"/>
      <c r="LA18" s="272"/>
      <c r="LB18" s="272"/>
      <c r="LC18" s="272"/>
      <c r="LD18" s="272"/>
      <c r="LE18" s="272"/>
      <c r="LF18" s="272"/>
      <c r="LG18" s="272"/>
      <c r="LH18" s="272"/>
      <c r="LI18" s="272"/>
      <c r="LJ18" s="272"/>
      <c r="LK18" s="272"/>
      <c r="LL18" s="272"/>
      <c r="LM18" s="272"/>
      <c r="LN18" s="272"/>
      <c r="LO18" s="272"/>
      <c r="LP18" s="272"/>
      <c r="LQ18" s="272"/>
      <c r="LR18" s="272"/>
      <c r="LS18" s="272"/>
      <c r="LT18" s="272"/>
      <c r="LU18" s="272"/>
      <c r="LV18" s="272"/>
      <c r="LW18" s="272"/>
      <c r="LX18" s="272"/>
      <c r="LY18" s="272"/>
      <c r="LZ18" s="272"/>
      <c r="MA18" s="272"/>
      <c r="MB18" s="272"/>
      <c r="MC18" s="272"/>
      <c r="MD18" s="272"/>
      <c r="ME18" s="272"/>
      <c r="MF18" s="272"/>
      <c r="MG18" s="272"/>
      <c r="MH18" s="272"/>
      <c r="MI18" s="272"/>
      <c r="MJ18" s="272"/>
      <c r="MK18" s="272"/>
      <c r="ML18" s="272"/>
      <c r="MM18" s="272"/>
      <c r="MN18" s="272"/>
      <c r="MO18" s="272"/>
      <c r="MP18" s="272"/>
      <c r="MQ18" s="272"/>
      <c r="MR18" s="272"/>
      <c r="MS18" s="272"/>
      <c r="MT18" s="272"/>
      <c r="MU18" s="272"/>
      <c r="MV18" s="272"/>
      <c r="MW18" s="272"/>
      <c r="MX18" s="272"/>
      <c r="MY18" s="272"/>
      <c r="MZ18" s="272"/>
      <c r="NA18" s="272"/>
      <c r="NB18" s="272"/>
      <c r="NC18" s="272"/>
      <c r="ND18" s="272"/>
      <c r="NE18" s="272"/>
      <c r="NF18" s="272"/>
      <c r="NG18" s="272"/>
      <c r="NH18" s="272"/>
      <c r="NI18" s="272"/>
      <c r="NJ18" s="272"/>
      <c r="NK18" s="272"/>
      <c r="NL18" s="272"/>
      <c r="NM18" s="272"/>
      <c r="NN18" s="272"/>
      <c r="NO18" s="272"/>
      <c r="NP18" s="272"/>
      <c r="NQ18" s="272"/>
      <c r="NR18" s="272"/>
      <c r="NS18" s="272"/>
      <c r="NT18" s="272"/>
      <c r="NU18" s="272"/>
      <c r="NV18" s="272"/>
      <c r="NW18" s="272"/>
      <c r="NX18" s="272"/>
      <c r="NY18" s="272"/>
      <c r="NZ18" s="272"/>
      <c r="OA18" s="272"/>
      <c r="OB18" s="272"/>
      <c r="OC18" s="272"/>
      <c r="OD18" s="272"/>
      <c r="OE18" s="272"/>
      <c r="OF18" s="272"/>
      <c r="OG18" s="272"/>
      <c r="OH18" s="272"/>
      <c r="OI18" s="272"/>
      <c r="OJ18" s="272"/>
      <c r="OK18" s="272"/>
      <c r="OL18" s="272"/>
      <c r="OM18" s="272"/>
      <c r="ON18" s="272"/>
      <c r="OO18" s="272"/>
      <c r="OP18" s="272"/>
      <c r="OQ18" s="272"/>
      <c r="OR18" s="272"/>
      <c r="OS18" s="272"/>
      <c r="OT18" s="272"/>
      <c r="OU18" s="272"/>
      <c r="OV18" s="272"/>
      <c r="OW18" s="272"/>
      <c r="OX18" s="272"/>
      <c r="OY18" s="272"/>
      <c r="OZ18" s="272"/>
      <c r="PA18" s="272"/>
      <c r="PB18" s="272"/>
      <c r="PC18" s="272"/>
      <c r="PD18" s="272"/>
      <c r="PE18" s="272"/>
      <c r="PF18" s="272"/>
      <c r="PG18" s="272"/>
      <c r="PH18" s="272"/>
      <c r="PI18" s="272"/>
      <c r="PJ18" s="272"/>
      <c r="PK18" s="272"/>
      <c r="PL18" s="272"/>
      <c r="PM18" s="272"/>
      <c r="PN18" s="272"/>
      <c r="PO18" s="272"/>
      <c r="PP18" s="272"/>
      <c r="PQ18" s="272"/>
      <c r="PR18" s="272"/>
      <c r="PS18" s="272"/>
      <c r="PT18" s="272"/>
      <c r="PU18" s="272"/>
      <c r="PV18" s="272"/>
      <c r="PW18" s="272"/>
      <c r="PX18" s="272"/>
      <c r="PY18" s="272"/>
      <c r="PZ18" s="272"/>
      <c r="QA18" s="272"/>
      <c r="QB18" s="272"/>
      <c r="QC18" s="272"/>
      <c r="QD18" s="272"/>
      <c r="QE18" s="272"/>
      <c r="QF18" s="272"/>
      <c r="QG18" s="272"/>
      <c r="QH18" s="272"/>
      <c r="QI18" s="272"/>
      <c r="QJ18" s="272"/>
      <c r="QK18" s="272"/>
      <c r="QL18" s="272"/>
      <c r="QM18" s="272"/>
      <c r="QN18" s="272"/>
      <c r="QO18" s="272"/>
      <c r="QP18" s="272"/>
      <c r="QQ18" s="272"/>
      <c r="QR18" s="272"/>
      <c r="QS18" s="272"/>
      <c r="QT18" s="272"/>
      <c r="QU18" s="272"/>
      <c r="QV18" s="272"/>
      <c r="QW18" s="272"/>
      <c r="QX18" s="272"/>
      <c r="QY18" s="272"/>
      <c r="QZ18" s="272"/>
      <c r="RA18" s="272"/>
      <c r="RB18" s="272"/>
      <c r="RC18" s="272"/>
      <c r="RD18" s="272"/>
      <c r="RE18" s="272"/>
      <c r="RF18" s="272"/>
      <c r="RG18" s="272"/>
      <c r="RH18" s="272"/>
      <c r="RI18" s="272"/>
      <c r="RJ18" s="272"/>
      <c r="RK18" s="272"/>
      <c r="RL18" s="272"/>
      <c r="RM18" s="272"/>
      <c r="RN18" s="272"/>
      <c r="RO18" s="272"/>
      <c r="RP18" s="272"/>
      <c r="RQ18" s="272"/>
      <c r="RR18" s="272"/>
      <c r="RS18" s="272"/>
      <c r="RT18" s="272"/>
      <c r="RU18" s="272"/>
      <c r="RV18" s="272"/>
      <c r="RW18" s="272"/>
      <c r="RX18" s="272"/>
      <c r="RY18" s="272"/>
      <c r="RZ18" s="272"/>
      <c r="SA18" s="272"/>
      <c r="SB18" s="272"/>
      <c r="SC18" s="272"/>
      <c r="SD18" s="272"/>
      <c r="SE18" s="272"/>
      <c r="SF18" s="272"/>
      <c r="SG18" s="272"/>
      <c r="SH18" s="272"/>
      <c r="SI18" s="272"/>
      <c r="SJ18" s="272"/>
      <c r="SK18" s="272"/>
      <c r="SL18" s="272"/>
      <c r="SM18" s="272"/>
      <c r="SN18" s="272"/>
      <c r="SO18" s="272"/>
      <c r="SP18" s="272"/>
      <c r="SQ18" s="272"/>
      <c r="SR18" s="272"/>
      <c r="SS18" s="272"/>
      <c r="ST18" s="272"/>
      <c r="SU18" s="272"/>
      <c r="SV18" s="272"/>
      <c r="SW18" s="272"/>
      <c r="SX18" s="272"/>
      <c r="SY18" s="272"/>
      <c r="SZ18" s="272"/>
      <c r="TA18" s="272"/>
      <c r="TB18" s="272"/>
      <c r="TC18" s="272"/>
      <c r="TD18" s="272"/>
      <c r="TE18" s="272"/>
      <c r="TF18" s="272"/>
      <c r="TG18" s="272"/>
      <c r="TH18" s="272"/>
      <c r="TI18" s="272"/>
      <c r="TJ18" s="272"/>
      <c r="TK18" s="272"/>
      <c r="TL18" s="272"/>
      <c r="TM18" s="272"/>
      <c r="TN18" s="272"/>
      <c r="TO18" s="272"/>
      <c r="TP18" s="272"/>
      <c r="TQ18" s="272"/>
      <c r="TR18" s="272"/>
      <c r="TS18" s="272"/>
      <c r="TT18" s="272"/>
      <c r="TU18" s="272"/>
      <c r="TV18" s="272"/>
      <c r="TW18" s="272"/>
      <c r="TX18" s="272"/>
      <c r="TY18" s="272"/>
      <c r="TZ18" s="272"/>
      <c r="UA18" s="272"/>
      <c r="UB18" s="272"/>
      <c r="UC18" s="272"/>
      <c r="UD18" s="272"/>
      <c r="UE18" s="272"/>
      <c r="UF18" s="272"/>
      <c r="UG18" s="272"/>
      <c r="UH18" s="272"/>
      <c r="UI18" s="272"/>
      <c r="UJ18" s="272"/>
      <c r="UK18" s="272"/>
      <c r="UL18" s="272"/>
      <c r="UM18" s="272"/>
      <c r="UN18" s="272"/>
      <c r="UO18" s="272"/>
      <c r="UP18" s="272"/>
      <c r="UQ18" s="272"/>
      <c r="UR18" s="272"/>
      <c r="US18" s="272"/>
      <c r="UT18" s="272"/>
      <c r="UU18" s="272"/>
      <c r="UV18" s="272"/>
      <c r="UW18" s="272"/>
      <c r="UX18" s="272"/>
      <c r="UY18" s="272"/>
      <c r="UZ18" s="272"/>
      <c r="VA18" s="272"/>
      <c r="VB18" s="272"/>
      <c r="VC18" s="272"/>
      <c r="VD18" s="272"/>
      <c r="VE18" s="272"/>
      <c r="VF18" s="272"/>
      <c r="VG18" s="272"/>
      <c r="VH18" s="272"/>
      <c r="VI18" s="272"/>
      <c r="VJ18" s="272"/>
      <c r="VK18" s="272"/>
      <c r="VL18" s="272"/>
      <c r="VM18" s="272"/>
      <c r="VN18" s="272"/>
      <c r="VO18" s="272"/>
      <c r="VP18" s="272"/>
      <c r="VQ18" s="272"/>
      <c r="VR18" s="272"/>
      <c r="VS18" s="272"/>
      <c r="VT18" s="272"/>
      <c r="VU18" s="272"/>
      <c r="VV18" s="272"/>
      <c r="VW18" s="272"/>
      <c r="VX18" s="272"/>
      <c r="VY18" s="272"/>
      <c r="VZ18" s="272"/>
      <c r="WA18" s="272"/>
      <c r="WB18" s="272"/>
      <c r="WC18" s="272"/>
      <c r="WD18" s="272"/>
      <c r="WE18" s="272"/>
      <c r="WF18" s="272"/>
      <c r="WG18" s="272"/>
      <c r="WH18" s="272"/>
      <c r="WI18" s="272"/>
      <c r="WJ18" s="272"/>
      <c r="WK18" s="272"/>
      <c r="WL18" s="272"/>
      <c r="WM18" s="272"/>
      <c r="WN18" s="272"/>
      <c r="WO18" s="272"/>
      <c r="WP18" s="272"/>
      <c r="WQ18" s="272"/>
      <c r="WR18" s="272"/>
      <c r="WS18" s="272"/>
      <c r="WT18" s="272"/>
      <c r="WU18" s="272"/>
      <c r="WV18" s="272"/>
      <c r="WW18" s="272"/>
      <c r="WX18" s="272"/>
      <c r="WY18" s="272"/>
      <c r="WZ18" s="272"/>
      <c r="XA18" s="272"/>
      <c r="XB18" s="272"/>
      <c r="XC18" s="272"/>
      <c r="XD18" s="272"/>
      <c r="XE18" s="272"/>
      <c r="XF18" s="272"/>
      <c r="XG18" s="272"/>
      <c r="XH18" s="272"/>
      <c r="XI18" s="272"/>
      <c r="XJ18" s="272"/>
      <c r="XK18" s="272"/>
      <c r="XL18" s="272"/>
      <c r="XM18" s="272"/>
      <c r="XN18" s="272"/>
      <c r="XO18" s="272"/>
      <c r="XP18" s="272"/>
      <c r="XQ18" s="272"/>
      <c r="XR18" s="272"/>
      <c r="XS18" s="272"/>
      <c r="XT18" s="272"/>
      <c r="XU18" s="272"/>
      <c r="XV18" s="272"/>
      <c r="XW18" s="272"/>
      <c r="XX18" s="272"/>
      <c r="XY18" s="272"/>
      <c r="XZ18" s="272"/>
      <c r="YA18" s="272"/>
      <c r="YB18" s="272"/>
      <c r="YC18" s="272"/>
      <c r="YD18" s="272"/>
      <c r="YE18" s="272"/>
      <c r="YF18" s="272"/>
      <c r="YG18" s="272"/>
      <c r="YH18" s="272"/>
      <c r="YI18" s="272"/>
      <c r="YJ18" s="272"/>
      <c r="YK18" s="272"/>
      <c r="YL18" s="272"/>
      <c r="YM18" s="272"/>
      <c r="YN18" s="272"/>
      <c r="YO18" s="272"/>
      <c r="YP18" s="272"/>
      <c r="YQ18" s="272"/>
      <c r="YR18" s="272"/>
      <c r="YS18" s="272"/>
      <c r="YT18" s="272"/>
      <c r="YU18" s="272"/>
      <c r="YV18" s="272"/>
      <c r="YW18" s="272"/>
      <c r="YX18" s="272"/>
      <c r="YY18" s="272"/>
      <c r="YZ18" s="272"/>
      <c r="ZA18" s="272"/>
      <c r="ZB18" s="272"/>
      <c r="ZC18" s="272"/>
      <c r="ZD18" s="272"/>
      <c r="ZE18" s="272"/>
      <c r="ZF18" s="272"/>
      <c r="ZG18" s="272"/>
      <c r="ZH18" s="272"/>
      <c r="ZI18" s="272"/>
      <c r="ZJ18" s="272"/>
      <c r="ZK18" s="272"/>
      <c r="ZL18" s="272"/>
      <c r="ZM18" s="272"/>
      <c r="ZN18" s="272"/>
      <c r="ZO18" s="272"/>
      <c r="ZP18" s="272"/>
      <c r="ZQ18" s="272"/>
      <c r="ZR18" s="272"/>
      <c r="ZS18" s="272"/>
      <c r="ZT18" s="272"/>
    </row>
    <row r="19" spans="1:696" s="19" customFormat="1" ht="16.5" customHeight="1">
      <c r="A19" s="44"/>
      <c r="B19" s="602"/>
      <c r="C19" s="602"/>
      <c r="D19" s="603"/>
      <c r="E19" s="644"/>
      <c r="F19" s="622"/>
      <c r="G19" s="625"/>
      <c r="H19" s="625"/>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c r="IO19" s="272"/>
      <c r="IP19" s="272"/>
      <c r="IQ19" s="272"/>
      <c r="IR19" s="272"/>
      <c r="IS19" s="272"/>
      <c r="IT19" s="272"/>
      <c r="IU19" s="272"/>
      <c r="IV19" s="272"/>
      <c r="IW19" s="272"/>
      <c r="IX19" s="272"/>
      <c r="IY19" s="272"/>
      <c r="IZ19" s="272"/>
      <c r="JA19" s="272"/>
      <c r="JB19" s="272"/>
      <c r="JC19" s="272"/>
      <c r="JD19" s="272"/>
      <c r="JE19" s="272"/>
      <c r="JF19" s="272"/>
      <c r="JG19" s="272"/>
      <c r="JH19" s="272"/>
      <c r="JI19" s="272"/>
      <c r="JJ19" s="272"/>
      <c r="JK19" s="272"/>
      <c r="JL19" s="272"/>
      <c r="JM19" s="272"/>
      <c r="JN19" s="272"/>
      <c r="JO19" s="272"/>
      <c r="JP19" s="272"/>
      <c r="JQ19" s="272"/>
      <c r="JR19" s="272"/>
      <c r="JS19" s="272"/>
      <c r="JT19" s="272"/>
      <c r="JU19" s="272"/>
      <c r="JV19" s="272"/>
      <c r="JW19" s="272"/>
      <c r="JX19" s="272"/>
      <c r="JY19" s="272"/>
      <c r="JZ19" s="272"/>
      <c r="KA19" s="272"/>
      <c r="KB19" s="272"/>
      <c r="KC19" s="272"/>
      <c r="KD19" s="272"/>
      <c r="KE19" s="272"/>
      <c r="KF19" s="272"/>
      <c r="KG19" s="272"/>
      <c r="KH19" s="272"/>
      <c r="KI19" s="272"/>
      <c r="KJ19" s="272"/>
      <c r="KK19" s="272"/>
      <c r="KL19" s="272"/>
      <c r="KM19" s="272"/>
      <c r="KN19" s="272"/>
      <c r="KO19" s="272"/>
      <c r="KP19" s="272"/>
      <c r="KQ19" s="272"/>
      <c r="KR19" s="272"/>
      <c r="KS19" s="272"/>
      <c r="KT19" s="272"/>
      <c r="KU19" s="272"/>
      <c r="KV19" s="272"/>
      <c r="KW19" s="272"/>
      <c r="KX19" s="272"/>
      <c r="KY19" s="272"/>
      <c r="KZ19" s="272"/>
      <c r="LA19" s="272"/>
      <c r="LB19" s="272"/>
      <c r="LC19" s="272"/>
      <c r="LD19" s="272"/>
      <c r="LE19" s="272"/>
      <c r="LF19" s="272"/>
      <c r="LG19" s="272"/>
      <c r="LH19" s="272"/>
      <c r="LI19" s="272"/>
      <c r="LJ19" s="272"/>
      <c r="LK19" s="272"/>
      <c r="LL19" s="272"/>
      <c r="LM19" s="272"/>
      <c r="LN19" s="272"/>
      <c r="LO19" s="272"/>
      <c r="LP19" s="272"/>
      <c r="LQ19" s="272"/>
      <c r="LR19" s="272"/>
      <c r="LS19" s="272"/>
      <c r="LT19" s="272"/>
      <c r="LU19" s="272"/>
      <c r="LV19" s="272"/>
      <c r="LW19" s="272"/>
      <c r="LX19" s="272"/>
      <c r="LY19" s="272"/>
      <c r="LZ19" s="272"/>
      <c r="MA19" s="272"/>
      <c r="MB19" s="272"/>
      <c r="MC19" s="272"/>
      <c r="MD19" s="272"/>
      <c r="ME19" s="272"/>
      <c r="MF19" s="272"/>
      <c r="MG19" s="272"/>
      <c r="MH19" s="272"/>
      <c r="MI19" s="272"/>
      <c r="MJ19" s="272"/>
      <c r="MK19" s="272"/>
      <c r="ML19" s="272"/>
      <c r="MM19" s="272"/>
      <c r="MN19" s="272"/>
      <c r="MO19" s="272"/>
      <c r="MP19" s="272"/>
      <c r="MQ19" s="272"/>
      <c r="MR19" s="272"/>
      <c r="MS19" s="272"/>
      <c r="MT19" s="272"/>
      <c r="MU19" s="272"/>
      <c r="MV19" s="272"/>
      <c r="MW19" s="272"/>
      <c r="MX19" s="272"/>
      <c r="MY19" s="272"/>
      <c r="MZ19" s="272"/>
      <c r="NA19" s="272"/>
      <c r="NB19" s="272"/>
      <c r="NC19" s="272"/>
      <c r="ND19" s="272"/>
      <c r="NE19" s="272"/>
      <c r="NF19" s="272"/>
      <c r="NG19" s="272"/>
      <c r="NH19" s="272"/>
      <c r="NI19" s="272"/>
      <c r="NJ19" s="272"/>
      <c r="NK19" s="272"/>
      <c r="NL19" s="272"/>
      <c r="NM19" s="272"/>
      <c r="NN19" s="272"/>
      <c r="NO19" s="272"/>
      <c r="NP19" s="272"/>
      <c r="NQ19" s="272"/>
      <c r="NR19" s="272"/>
      <c r="NS19" s="272"/>
      <c r="NT19" s="272"/>
      <c r="NU19" s="272"/>
      <c r="NV19" s="272"/>
      <c r="NW19" s="272"/>
      <c r="NX19" s="272"/>
      <c r="NY19" s="272"/>
      <c r="NZ19" s="272"/>
      <c r="OA19" s="272"/>
      <c r="OB19" s="272"/>
      <c r="OC19" s="272"/>
      <c r="OD19" s="272"/>
      <c r="OE19" s="272"/>
      <c r="OF19" s="272"/>
      <c r="OG19" s="272"/>
      <c r="OH19" s="272"/>
      <c r="OI19" s="272"/>
      <c r="OJ19" s="272"/>
      <c r="OK19" s="272"/>
      <c r="OL19" s="272"/>
      <c r="OM19" s="272"/>
      <c r="ON19" s="272"/>
      <c r="OO19" s="272"/>
      <c r="OP19" s="272"/>
      <c r="OQ19" s="272"/>
      <c r="OR19" s="272"/>
      <c r="OS19" s="272"/>
      <c r="OT19" s="272"/>
      <c r="OU19" s="272"/>
      <c r="OV19" s="272"/>
      <c r="OW19" s="272"/>
      <c r="OX19" s="272"/>
      <c r="OY19" s="272"/>
      <c r="OZ19" s="272"/>
      <c r="PA19" s="272"/>
      <c r="PB19" s="272"/>
      <c r="PC19" s="272"/>
      <c r="PD19" s="272"/>
      <c r="PE19" s="272"/>
      <c r="PF19" s="272"/>
      <c r="PG19" s="272"/>
      <c r="PH19" s="272"/>
      <c r="PI19" s="272"/>
      <c r="PJ19" s="272"/>
      <c r="PK19" s="272"/>
      <c r="PL19" s="272"/>
      <c r="PM19" s="272"/>
      <c r="PN19" s="272"/>
      <c r="PO19" s="272"/>
      <c r="PP19" s="272"/>
      <c r="PQ19" s="272"/>
      <c r="PR19" s="272"/>
      <c r="PS19" s="272"/>
      <c r="PT19" s="272"/>
      <c r="PU19" s="272"/>
      <c r="PV19" s="272"/>
      <c r="PW19" s="272"/>
      <c r="PX19" s="272"/>
      <c r="PY19" s="272"/>
      <c r="PZ19" s="272"/>
      <c r="QA19" s="272"/>
      <c r="QB19" s="272"/>
      <c r="QC19" s="272"/>
      <c r="QD19" s="272"/>
      <c r="QE19" s="272"/>
      <c r="QF19" s="272"/>
      <c r="QG19" s="272"/>
      <c r="QH19" s="272"/>
      <c r="QI19" s="272"/>
      <c r="QJ19" s="272"/>
      <c r="QK19" s="272"/>
      <c r="QL19" s="272"/>
      <c r="QM19" s="272"/>
      <c r="QN19" s="272"/>
      <c r="QO19" s="272"/>
      <c r="QP19" s="272"/>
      <c r="QQ19" s="272"/>
      <c r="QR19" s="272"/>
      <c r="QS19" s="272"/>
      <c r="QT19" s="272"/>
      <c r="QU19" s="272"/>
      <c r="QV19" s="272"/>
      <c r="QW19" s="272"/>
      <c r="QX19" s="272"/>
      <c r="QY19" s="272"/>
      <c r="QZ19" s="272"/>
      <c r="RA19" s="272"/>
      <c r="RB19" s="272"/>
      <c r="RC19" s="272"/>
      <c r="RD19" s="272"/>
      <c r="RE19" s="272"/>
      <c r="RF19" s="272"/>
      <c r="RG19" s="272"/>
      <c r="RH19" s="272"/>
      <c r="RI19" s="272"/>
      <c r="RJ19" s="272"/>
      <c r="RK19" s="272"/>
      <c r="RL19" s="272"/>
      <c r="RM19" s="272"/>
      <c r="RN19" s="272"/>
      <c r="RO19" s="272"/>
      <c r="RP19" s="272"/>
      <c r="RQ19" s="272"/>
      <c r="RR19" s="272"/>
      <c r="RS19" s="272"/>
      <c r="RT19" s="272"/>
      <c r="RU19" s="272"/>
      <c r="RV19" s="272"/>
      <c r="RW19" s="272"/>
      <c r="RX19" s="272"/>
      <c r="RY19" s="272"/>
      <c r="RZ19" s="272"/>
      <c r="SA19" s="272"/>
      <c r="SB19" s="272"/>
      <c r="SC19" s="272"/>
      <c r="SD19" s="272"/>
      <c r="SE19" s="272"/>
      <c r="SF19" s="272"/>
      <c r="SG19" s="272"/>
      <c r="SH19" s="272"/>
      <c r="SI19" s="272"/>
      <c r="SJ19" s="272"/>
      <c r="SK19" s="272"/>
      <c r="SL19" s="272"/>
      <c r="SM19" s="272"/>
      <c r="SN19" s="272"/>
      <c r="SO19" s="272"/>
      <c r="SP19" s="272"/>
      <c r="SQ19" s="272"/>
      <c r="SR19" s="272"/>
      <c r="SS19" s="272"/>
      <c r="ST19" s="272"/>
      <c r="SU19" s="272"/>
      <c r="SV19" s="272"/>
      <c r="SW19" s="272"/>
      <c r="SX19" s="272"/>
      <c r="SY19" s="272"/>
      <c r="SZ19" s="272"/>
      <c r="TA19" s="272"/>
      <c r="TB19" s="272"/>
      <c r="TC19" s="272"/>
      <c r="TD19" s="272"/>
      <c r="TE19" s="272"/>
      <c r="TF19" s="272"/>
      <c r="TG19" s="272"/>
      <c r="TH19" s="272"/>
      <c r="TI19" s="272"/>
      <c r="TJ19" s="272"/>
      <c r="TK19" s="272"/>
      <c r="TL19" s="272"/>
      <c r="TM19" s="272"/>
      <c r="TN19" s="272"/>
      <c r="TO19" s="272"/>
      <c r="TP19" s="272"/>
      <c r="TQ19" s="272"/>
      <c r="TR19" s="272"/>
      <c r="TS19" s="272"/>
      <c r="TT19" s="272"/>
      <c r="TU19" s="272"/>
      <c r="TV19" s="272"/>
      <c r="TW19" s="272"/>
      <c r="TX19" s="272"/>
      <c r="TY19" s="272"/>
      <c r="TZ19" s="272"/>
      <c r="UA19" s="272"/>
      <c r="UB19" s="272"/>
      <c r="UC19" s="272"/>
      <c r="UD19" s="272"/>
      <c r="UE19" s="272"/>
      <c r="UF19" s="272"/>
      <c r="UG19" s="272"/>
      <c r="UH19" s="272"/>
      <c r="UI19" s="272"/>
      <c r="UJ19" s="272"/>
      <c r="UK19" s="272"/>
      <c r="UL19" s="272"/>
      <c r="UM19" s="272"/>
      <c r="UN19" s="272"/>
      <c r="UO19" s="272"/>
      <c r="UP19" s="272"/>
      <c r="UQ19" s="272"/>
      <c r="UR19" s="272"/>
      <c r="US19" s="272"/>
      <c r="UT19" s="272"/>
      <c r="UU19" s="272"/>
      <c r="UV19" s="272"/>
      <c r="UW19" s="272"/>
      <c r="UX19" s="272"/>
      <c r="UY19" s="272"/>
      <c r="UZ19" s="272"/>
      <c r="VA19" s="272"/>
      <c r="VB19" s="272"/>
      <c r="VC19" s="272"/>
      <c r="VD19" s="272"/>
      <c r="VE19" s="272"/>
      <c r="VF19" s="272"/>
      <c r="VG19" s="272"/>
      <c r="VH19" s="272"/>
      <c r="VI19" s="272"/>
      <c r="VJ19" s="272"/>
      <c r="VK19" s="272"/>
      <c r="VL19" s="272"/>
      <c r="VM19" s="272"/>
      <c r="VN19" s="272"/>
      <c r="VO19" s="272"/>
      <c r="VP19" s="272"/>
      <c r="VQ19" s="272"/>
      <c r="VR19" s="272"/>
      <c r="VS19" s="272"/>
      <c r="VT19" s="272"/>
      <c r="VU19" s="272"/>
      <c r="VV19" s="272"/>
      <c r="VW19" s="272"/>
      <c r="VX19" s="272"/>
      <c r="VY19" s="272"/>
      <c r="VZ19" s="272"/>
      <c r="WA19" s="272"/>
      <c r="WB19" s="272"/>
      <c r="WC19" s="272"/>
      <c r="WD19" s="272"/>
      <c r="WE19" s="272"/>
      <c r="WF19" s="272"/>
      <c r="WG19" s="272"/>
      <c r="WH19" s="272"/>
      <c r="WI19" s="272"/>
      <c r="WJ19" s="272"/>
      <c r="WK19" s="272"/>
      <c r="WL19" s="272"/>
      <c r="WM19" s="272"/>
      <c r="WN19" s="272"/>
      <c r="WO19" s="272"/>
      <c r="WP19" s="272"/>
      <c r="WQ19" s="272"/>
      <c r="WR19" s="272"/>
      <c r="WS19" s="272"/>
      <c r="WT19" s="272"/>
      <c r="WU19" s="272"/>
      <c r="WV19" s="272"/>
      <c r="WW19" s="272"/>
      <c r="WX19" s="272"/>
      <c r="WY19" s="272"/>
      <c r="WZ19" s="272"/>
      <c r="XA19" s="272"/>
      <c r="XB19" s="272"/>
      <c r="XC19" s="272"/>
      <c r="XD19" s="272"/>
      <c r="XE19" s="272"/>
      <c r="XF19" s="272"/>
      <c r="XG19" s="272"/>
      <c r="XH19" s="272"/>
      <c r="XI19" s="272"/>
      <c r="XJ19" s="272"/>
      <c r="XK19" s="272"/>
      <c r="XL19" s="272"/>
      <c r="XM19" s="272"/>
      <c r="XN19" s="272"/>
      <c r="XO19" s="272"/>
      <c r="XP19" s="272"/>
      <c r="XQ19" s="272"/>
      <c r="XR19" s="272"/>
      <c r="XS19" s="272"/>
      <c r="XT19" s="272"/>
      <c r="XU19" s="272"/>
      <c r="XV19" s="272"/>
      <c r="XW19" s="272"/>
      <c r="XX19" s="272"/>
      <c r="XY19" s="272"/>
      <c r="XZ19" s="272"/>
      <c r="YA19" s="272"/>
      <c r="YB19" s="272"/>
      <c r="YC19" s="272"/>
      <c r="YD19" s="272"/>
      <c r="YE19" s="272"/>
      <c r="YF19" s="272"/>
      <c r="YG19" s="272"/>
      <c r="YH19" s="272"/>
      <c r="YI19" s="272"/>
      <c r="YJ19" s="272"/>
      <c r="YK19" s="272"/>
      <c r="YL19" s="272"/>
      <c r="YM19" s="272"/>
      <c r="YN19" s="272"/>
      <c r="YO19" s="272"/>
      <c r="YP19" s="272"/>
      <c r="YQ19" s="272"/>
      <c r="YR19" s="272"/>
      <c r="YS19" s="272"/>
      <c r="YT19" s="272"/>
      <c r="YU19" s="272"/>
      <c r="YV19" s="272"/>
      <c r="YW19" s="272"/>
      <c r="YX19" s="272"/>
      <c r="YY19" s="272"/>
      <c r="YZ19" s="272"/>
      <c r="ZA19" s="272"/>
      <c r="ZB19" s="272"/>
      <c r="ZC19" s="272"/>
      <c r="ZD19" s="272"/>
      <c r="ZE19" s="272"/>
      <c r="ZF19" s="272"/>
      <c r="ZG19" s="272"/>
      <c r="ZH19" s="272"/>
      <c r="ZI19" s="272"/>
      <c r="ZJ19" s="272"/>
      <c r="ZK19" s="272"/>
      <c r="ZL19" s="272"/>
      <c r="ZM19" s="272"/>
      <c r="ZN19" s="272"/>
      <c r="ZO19" s="272"/>
      <c r="ZP19" s="272"/>
      <c r="ZQ19" s="272"/>
      <c r="ZR19" s="272"/>
      <c r="ZS19" s="272"/>
      <c r="ZT19" s="272"/>
    </row>
    <row r="20" spans="1:696" s="19" customFormat="1" ht="18.75" customHeight="1">
      <c r="A20" s="44"/>
      <c r="B20" s="597"/>
      <c r="C20" s="597"/>
      <c r="D20" s="642"/>
      <c r="E20" s="619"/>
      <c r="F20" s="619"/>
      <c r="G20" s="626"/>
      <c r="H20" s="626"/>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2"/>
      <c r="EV20" s="272"/>
      <c r="EW20" s="272"/>
      <c r="EX20" s="272"/>
      <c r="EY20" s="272"/>
      <c r="EZ20" s="272"/>
      <c r="FA20" s="272"/>
      <c r="FB20" s="272"/>
      <c r="FC20" s="272"/>
      <c r="FD20" s="272"/>
      <c r="FE20" s="272"/>
      <c r="FF20" s="272"/>
      <c r="FG20" s="272"/>
      <c r="FH20" s="272"/>
      <c r="FI20" s="272"/>
      <c r="FJ20" s="272"/>
      <c r="FK20" s="272"/>
      <c r="FL20" s="272"/>
      <c r="FM20" s="272"/>
      <c r="FN20" s="272"/>
      <c r="FO20" s="272"/>
      <c r="FP20" s="272"/>
      <c r="FQ20" s="272"/>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2"/>
      <c r="HX20" s="272"/>
      <c r="HY20" s="272"/>
      <c r="HZ20" s="272"/>
      <c r="IA20" s="272"/>
      <c r="IB20" s="272"/>
      <c r="IC20" s="272"/>
      <c r="ID20" s="272"/>
      <c r="IE20" s="272"/>
      <c r="IF20" s="272"/>
      <c r="IG20" s="272"/>
      <c r="IH20" s="272"/>
      <c r="II20" s="272"/>
      <c r="IJ20" s="272"/>
      <c r="IK20" s="272"/>
      <c r="IL20" s="272"/>
      <c r="IM20" s="272"/>
      <c r="IN20" s="272"/>
      <c r="IO20" s="272"/>
      <c r="IP20" s="272"/>
      <c r="IQ20" s="272"/>
      <c r="IR20" s="272"/>
      <c r="IS20" s="272"/>
      <c r="IT20" s="272"/>
      <c r="IU20" s="272"/>
      <c r="IV20" s="272"/>
      <c r="IW20" s="272"/>
      <c r="IX20" s="272"/>
      <c r="IY20" s="272"/>
      <c r="IZ20" s="272"/>
      <c r="JA20" s="272"/>
      <c r="JB20" s="272"/>
      <c r="JC20" s="272"/>
      <c r="JD20" s="272"/>
      <c r="JE20" s="272"/>
      <c r="JF20" s="272"/>
      <c r="JG20" s="272"/>
      <c r="JH20" s="272"/>
      <c r="JI20" s="272"/>
      <c r="JJ20" s="272"/>
      <c r="JK20" s="272"/>
      <c r="JL20" s="272"/>
      <c r="JM20" s="272"/>
      <c r="JN20" s="272"/>
      <c r="JO20" s="272"/>
      <c r="JP20" s="272"/>
      <c r="JQ20" s="272"/>
      <c r="JR20" s="272"/>
      <c r="JS20" s="272"/>
      <c r="JT20" s="272"/>
      <c r="JU20" s="272"/>
      <c r="JV20" s="272"/>
      <c r="JW20" s="272"/>
      <c r="JX20" s="272"/>
      <c r="JY20" s="272"/>
      <c r="JZ20" s="272"/>
      <c r="KA20" s="272"/>
      <c r="KB20" s="272"/>
      <c r="KC20" s="272"/>
      <c r="KD20" s="272"/>
      <c r="KE20" s="272"/>
      <c r="KF20" s="272"/>
      <c r="KG20" s="272"/>
      <c r="KH20" s="272"/>
      <c r="KI20" s="272"/>
      <c r="KJ20" s="272"/>
      <c r="KK20" s="272"/>
      <c r="KL20" s="272"/>
      <c r="KM20" s="272"/>
      <c r="KN20" s="272"/>
      <c r="KO20" s="272"/>
      <c r="KP20" s="272"/>
      <c r="KQ20" s="272"/>
      <c r="KR20" s="272"/>
      <c r="KS20" s="272"/>
      <c r="KT20" s="272"/>
      <c r="KU20" s="272"/>
      <c r="KV20" s="272"/>
      <c r="KW20" s="272"/>
      <c r="KX20" s="272"/>
      <c r="KY20" s="272"/>
      <c r="KZ20" s="272"/>
      <c r="LA20" s="272"/>
      <c r="LB20" s="272"/>
      <c r="LC20" s="272"/>
      <c r="LD20" s="272"/>
      <c r="LE20" s="272"/>
      <c r="LF20" s="272"/>
      <c r="LG20" s="272"/>
      <c r="LH20" s="272"/>
      <c r="LI20" s="272"/>
      <c r="LJ20" s="272"/>
      <c r="LK20" s="272"/>
      <c r="LL20" s="272"/>
      <c r="LM20" s="272"/>
      <c r="LN20" s="272"/>
      <c r="LO20" s="272"/>
      <c r="LP20" s="272"/>
      <c r="LQ20" s="272"/>
      <c r="LR20" s="272"/>
      <c r="LS20" s="272"/>
      <c r="LT20" s="272"/>
      <c r="LU20" s="272"/>
      <c r="LV20" s="272"/>
      <c r="LW20" s="272"/>
      <c r="LX20" s="272"/>
      <c r="LY20" s="272"/>
      <c r="LZ20" s="272"/>
      <c r="MA20" s="272"/>
      <c r="MB20" s="272"/>
      <c r="MC20" s="272"/>
      <c r="MD20" s="272"/>
      <c r="ME20" s="272"/>
      <c r="MF20" s="272"/>
      <c r="MG20" s="272"/>
      <c r="MH20" s="272"/>
      <c r="MI20" s="272"/>
      <c r="MJ20" s="272"/>
      <c r="MK20" s="272"/>
      <c r="ML20" s="272"/>
      <c r="MM20" s="272"/>
      <c r="MN20" s="272"/>
      <c r="MO20" s="272"/>
      <c r="MP20" s="272"/>
      <c r="MQ20" s="272"/>
      <c r="MR20" s="272"/>
      <c r="MS20" s="272"/>
      <c r="MT20" s="272"/>
      <c r="MU20" s="272"/>
      <c r="MV20" s="272"/>
      <c r="MW20" s="272"/>
      <c r="MX20" s="272"/>
      <c r="MY20" s="272"/>
      <c r="MZ20" s="272"/>
      <c r="NA20" s="272"/>
      <c r="NB20" s="272"/>
      <c r="NC20" s="272"/>
      <c r="ND20" s="272"/>
      <c r="NE20" s="272"/>
      <c r="NF20" s="272"/>
      <c r="NG20" s="272"/>
      <c r="NH20" s="272"/>
      <c r="NI20" s="272"/>
      <c r="NJ20" s="272"/>
      <c r="NK20" s="272"/>
      <c r="NL20" s="272"/>
      <c r="NM20" s="272"/>
      <c r="NN20" s="272"/>
      <c r="NO20" s="272"/>
      <c r="NP20" s="272"/>
      <c r="NQ20" s="272"/>
      <c r="NR20" s="272"/>
      <c r="NS20" s="272"/>
      <c r="NT20" s="272"/>
      <c r="NU20" s="272"/>
      <c r="NV20" s="272"/>
      <c r="NW20" s="272"/>
      <c r="NX20" s="272"/>
      <c r="NY20" s="272"/>
      <c r="NZ20" s="272"/>
      <c r="OA20" s="272"/>
      <c r="OB20" s="272"/>
      <c r="OC20" s="272"/>
      <c r="OD20" s="272"/>
      <c r="OE20" s="272"/>
      <c r="OF20" s="272"/>
      <c r="OG20" s="272"/>
      <c r="OH20" s="272"/>
      <c r="OI20" s="272"/>
      <c r="OJ20" s="272"/>
      <c r="OK20" s="272"/>
      <c r="OL20" s="272"/>
      <c r="OM20" s="272"/>
      <c r="ON20" s="272"/>
      <c r="OO20" s="272"/>
      <c r="OP20" s="272"/>
      <c r="OQ20" s="272"/>
      <c r="OR20" s="272"/>
      <c r="OS20" s="272"/>
      <c r="OT20" s="272"/>
      <c r="OU20" s="272"/>
      <c r="OV20" s="272"/>
      <c r="OW20" s="272"/>
      <c r="OX20" s="272"/>
      <c r="OY20" s="272"/>
      <c r="OZ20" s="272"/>
      <c r="PA20" s="272"/>
      <c r="PB20" s="272"/>
      <c r="PC20" s="272"/>
      <c r="PD20" s="272"/>
      <c r="PE20" s="272"/>
      <c r="PF20" s="272"/>
      <c r="PG20" s="272"/>
      <c r="PH20" s="272"/>
      <c r="PI20" s="272"/>
      <c r="PJ20" s="272"/>
      <c r="PK20" s="272"/>
      <c r="PL20" s="272"/>
      <c r="PM20" s="272"/>
      <c r="PN20" s="272"/>
      <c r="PO20" s="272"/>
      <c r="PP20" s="272"/>
      <c r="PQ20" s="272"/>
      <c r="PR20" s="272"/>
      <c r="PS20" s="272"/>
      <c r="PT20" s="272"/>
      <c r="PU20" s="272"/>
      <c r="PV20" s="272"/>
      <c r="PW20" s="272"/>
      <c r="PX20" s="272"/>
      <c r="PY20" s="272"/>
      <c r="PZ20" s="272"/>
      <c r="QA20" s="272"/>
      <c r="QB20" s="272"/>
      <c r="QC20" s="272"/>
      <c r="QD20" s="272"/>
      <c r="QE20" s="272"/>
      <c r="QF20" s="272"/>
      <c r="QG20" s="272"/>
      <c r="QH20" s="272"/>
      <c r="QI20" s="272"/>
      <c r="QJ20" s="272"/>
      <c r="QK20" s="272"/>
      <c r="QL20" s="272"/>
      <c r="QM20" s="272"/>
      <c r="QN20" s="272"/>
      <c r="QO20" s="272"/>
      <c r="QP20" s="272"/>
      <c r="QQ20" s="272"/>
      <c r="QR20" s="272"/>
      <c r="QS20" s="272"/>
      <c r="QT20" s="272"/>
      <c r="QU20" s="272"/>
      <c r="QV20" s="272"/>
      <c r="QW20" s="272"/>
      <c r="QX20" s="272"/>
      <c r="QY20" s="272"/>
      <c r="QZ20" s="272"/>
      <c r="RA20" s="272"/>
      <c r="RB20" s="272"/>
      <c r="RC20" s="272"/>
      <c r="RD20" s="272"/>
      <c r="RE20" s="272"/>
      <c r="RF20" s="272"/>
      <c r="RG20" s="272"/>
      <c r="RH20" s="272"/>
      <c r="RI20" s="272"/>
      <c r="RJ20" s="272"/>
      <c r="RK20" s="272"/>
      <c r="RL20" s="272"/>
      <c r="RM20" s="272"/>
      <c r="RN20" s="272"/>
      <c r="RO20" s="272"/>
      <c r="RP20" s="272"/>
      <c r="RQ20" s="272"/>
      <c r="RR20" s="272"/>
      <c r="RS20" s="272"/>
      <c r="RT20" s="272"/>
      <c r="RU20" s="272"/>
      <c r="RV20" s="272"/>
      <c r="RW20" s="272"/>
      <c r="RX20" s="272"/>
      <c r="RY20" s="272"/>
      <c r="RZ20" s="272"/>
      <c r="SA20" s="272"/>
      <c r="SB20" s="272"/>
      <c r="SC20" s="272"/>
      <c r="SD20" s="272"/>
      <c r="SE20" s="272"/>
      <c r="SF20" s="272"/>
      <c r="SG20" s="272"/>
      <c r="SH20" s="272"/>
      <c r="SI20" s="272"/>
      <c r="SJ20" s="272"/>
      <c r="SK20" s="272"/>
      <c r="SL20" s="272"/>
      <c r="SM20" s="272"/>
      <c r="SN20" s="272"/>
      <c r="SO20" s="272"/>
      <c r="SP20" s="272"/>
      <c r="SQ20" s="272"/>
      <c r="SR20" s="272"/>
      <c r="SS20" s="272"/>
      <c r="ST20" s="272"/>
      <c r="SU20" s="272"/>
      <c r="SV20" s="272"/>
      <c r="SW20" s="272"/>
      <c r="SX20" s="272"/>
      <c r="SY20" s="272"/>
      <c r="SZ20" s="272"/>
      <c r="TA20" s="272"/>
      <c r="TB20" s="272"/>
      <c r="TC20" s="272"/>
      <c r="TD20" s="272"/>
      <c r="TE20" s="272"/>
      <c r="TF20" s="272"/>
      <c r="TG20" s="272"/>
      <c r="TH20" s="272"/>
      <c r="TI20" s="272"/>
      <c r="TJ20" s="272"/>
      <c r="TK20" s="272"/>
      <c r="TL20" s="272"/>
      <c r="TM20" s="272"/>
      <c r="TN20" s="272"/>
      <c r="TO20" s="272"/>
      <c r="TP20" s="272"/>
      <c r="TQ20" s="272"/>
      <c r="TR20" s="272"/>
      <c r="TS20" s="272"/>
      <c r="TT20" s="272"/>
      <c r="TU20" s="272"/>
      <c r="TV20" s="272"/>
      <c r="TW20" s="272"/>
      <c r="TX20" s="272"/>
      <c r="TY20" s="272"/>
      <c r="TZ20" s="272"/>
      <c r="UA20" s="272"/>
      <c r="UB20" s="272"/>
      <c r="UC20" s="272"/>
      <c r="UD20" s="272"/>
      <c r="UE20" s="272"/>
      <c r="UF20" s="272"/>
      <c r="UG20" s="272"/>
      <c r="UH20" s="272"/>
      <c r="UI20" s="272"/>
      <c r="UJ20" s="272"/>
      <c r="UK20" s="272"/>
      <c r="UL20" s="272"/>
      <c r="UM20" s="272"/>
      <c r="UN20" s="272"/>
      <c r="UO20" s="272"/>
      <c r="UP20" s="272"/>
      <c r="UQ20" s="272"/>
      <c r="UR20" s="272"/>
      <c r="US20" s="272"/>
      <c r="UT20" s="272"/>
      <c r="UU20" s="272"/>
      <c r="UV20" s="272"/>
      <c r="UW20" s="272"/>
      <c r="UX20" s="272"/>
      <c r="UY20" s="272"/>
      <c r="UZ20" s="272"/>
      <c r="VA20" s="272"/>
      <c r="VB20" s="272"/>
      <c r="VC20" s="272"/>
      <c r="VD20" s="272"/>
      <c r="VE20" s="272"/>
      <c r="VF20" s="272"/>
      <c r="VG20" s="272"/>
      <c r="VH20" s="272"/>
      <c r="VI20" s="272"/>
      <c r="VJ20" s="272"/>
      <c r="VK20" s="272"/>
      <c r="VL20" s="272"/>
      <c r="VM20" s="272"/>
      <c r="VN20" s="272"/>
      <c r="VO20" s="272"/>
      <c r="VP20" s="272"/>
      <c r="VQ20" s="272"/>
      <c r="VR20" s="272"/>
      <c r="VS20" s="272"/>
      <c r="VT20" s="272"/>
      <c r="VU20" s="272"/>
      <c r="VV20" s="272"/>
      <c r="VW20" s="272"/>
      <c r="VX20" s="272"/>
      <c r="VY20" s="272"/>
      <c r="VZ20" s="272"/>
      <c r="WA20" s="272"/>
      <c r="WB20" s="272"/>
      <c r="WC20" s="272"/>
      <c r="WD20" s="272"/>
      <c r="WE20" s="272"/>
      <c r="WF20" s="272"/>
      <c r="WG20" s="272"/>
      <c r="WH20" s="272"/>
      <c r="WI20" s="272"/>
      <c r="WJ20" s="272"/>
      <c r="WK20" s="272"/>
      <c r="WL20" s="272"/>
      <c r="WM20" s="272"/>
      <c r="WN20" s="272"/>
      <c r="WO20" s="272"/>
      <c r="WP20" s="272"/>
      <c r="WQ20" s="272"/>
      <c r="WR20" s="272"/>
      <c r="WS20" s="272"/>
      <c r="WT20" s="272"/>
      <c r="WU20" s="272"/>
      <c r="WV20" s="272"/>
      <c r="WW20" s="272"/>
      <c r="WX20" s="272"/>
      <c r="WY20" s="272"/>
      <c r="WZ20" s="272"/>
      <c r="XA20" s="272"/>
      <c r="XB20" s="272"/>
      <c r="XC20" s="272"/>
      <c r="XD20" s="272"/>
      <c r="XE20" s="272"/>
      <c r="XF20" s="272"/>
      <c r="XG20" s="272"/>
      <c r="XH20" s="272"/>
      <c r="XI20" s="272"/>
      <c r="XJ20" s="272"/>
      <c r="XK20" s="272"/>
      <c r="XL20" s="272"/>
      <c r="XM20" s="272"/>
      <c r="XN20" s="272"/>
      <c r="XO20" s="272"/>
      <c r="XP20" s="272"/>
      <c r="XQ20" s="272"/>
      <c r="XR20" s="272"/>
      <c r="XS20" s="272"/>
      <c r="XT20" s="272"/>
      <c r="XU20" s="272"/>
      <c r="XV20" s="272"/>
      <c r="XW20" s="272"/>
      <c r="XX20" s="272"/>
      <c r="XY20" s="272"/>
      <c r="XZ20" s="272"/>
      <c r="YA20" s="272"/>
      <c r="YB20" s="272"/>
      <c r="YC20" s="272"/>
      <c r="YD20" s="272"/>
      <c r="YE20" s="272"/>
      <c r="YF20" s="272"/>
      <c r="YG20" s="272"/>
      <c r="YH20" s="272"/>
      <c r="YI20" s="272"/>
      <c r="YJ20" s="272"/>
      <c r="YK20" s="272"/>
      <c r="YL20" s="272"/>
      <c r="YM20" s="272"/>
      <c r="YN20" s="272"/>
      <c r="YO20" s="272"/>
      <c r="YP20" s="272"/>
      <c r="YQ20" s="272"/>
      <c r="YR20" s="272"/>
      <c r="YS20" s="272"/>
      <c r="YT20" s="272"/>
      <c r="YU20" s="272"/>
      <c r="YV20" s="272"/>
      <c r="YW20" s="272"/>
      <c r="YX20" s="272"/>
      <c r="YY20" s="272"/>
      <c r="YZ20" s="272"/>
      <c r="ZA20" s="272"/>
      <c r="ZB20" s="272"/>
      <c r="ZC20" s="272"/>
      <c r="ZD20" s="272"/>
      <c r="ZE20" s="272"/>
      <c r="ZF20" s="272"/>
      <c r="ZG20" s="272"/>
      <c r="ZH20" s="272"/>
      <c r="ZI20" s="272"/>
      <c r="ZJ20" s="272"/>
      <c r="ZK20" s="272"/>
      <c r="ZL20" s="272"/>
      <c r="ZM20" s="272"/>
      <c r="ZN20" s="272"/>
      <c r="ZO20" s="272"/>
      <c r="ZP20" s="272"/>
      <c r="ZQ20" s="272"/>
      <c r="ZR20" s="272"/>
      <c r="ZS20" s="272"/>
      <c r="ZT20" s="272"/>
    </row>
    <row r="21" spans="1:696" s="19" customFormat="1" ht="18.75" customHeight="1">
      <c r="A21" s="44"/>
      <c r="B21" s="597"/>
      <c r="C21" s="597"/>
      <c r="D21" s="642"/>
      <c r="E21" s="619"/>
      <c r="F21" s="619"/>
      <c r="G21" s="626"/>
      <c r="H21" s="626"/>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272"/>
      <c r="ES21" s="272"/>
      <c r="ET21" s="272"/>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c r="HA21" s="272"/>
      <c r="HB21" s="272"/>
      <c r="HC21" s="272"/>
      <c r="HD21" s="272"/>
      <c r="HE21" s="272"/>
      <c r="HF21" s="272"/>
      <c r="HG21" s="272"/>
      <c r="HH21" s="272"/>
      <c r="HI21" s="272"/>
      <c r="HJ21" s="272"/>
      <c r="HK21" s="272"/>
      <c r="HL21" s="272"/>
      <c r="HM21" s="272"/>
      <c r="HN21" s="272"/>
      <c r="HO21" s="272"/>
      <c r="HP21" s="272"/>
      <c r="HQ21" s="272"/>
      <c r="HR21" s="272"/>
      <c r="HS21" s="272"/>
      <c r="HT21" s="272"/>
      <c r="HU21" s="272"/>
      <c r="HV21" s="272"/>
      <c r="HW21" s="272"/>
      <c r="HX21" s="272"/>
      <c r="HY21" s="272"/>
      <c r="HZ21" s="272"/>
      <c r="IA21" s="272"/>
      <c r="IB21" s="272"/>
      <c r="IC21" s="272"/>
      <c r="ID21" s="272"/>
      <c r="IE21" s="272"/>
      <c r="IF21" s="272"/>
      <c r="IG21" s="272"/>
      <c r="IH21" s="272"/>
      <c r="II21" s="272"/>
      <c r="IJ21" s="272"/>
      <c r="IK21" s="272"/>
      <c r="IL21" s="272"/>
      <c r="IM21" s="272"/>
      <c r="IN21" s="272"/>
      <c r="IO21" s="272"/>
      <c r="IP21" s="272"/>
      <c r="IQ21" s="272"/>
      <c r="IR21" s="272"/>
      <c r="IS21" s="272"/>
      <c r="IT21" s="272"/>
      <c r="IU21" s="272"/>
      <c r="IV21" s="272"/>
      <c r="IW21" s="272"/>
      <c r="IX21" s="272"/>
      <c r="IY21" s="272"/>
      <c r="IZ21" s="272"/>
      <c r="JA21" s="272"/>
      <c r="JB21" s="272"/>
      <c r="JC21" s="272"/>
      <c r="JD21" s="272"/>
      <c r="JE21" s="272"/>
      <c r="JF21" s="272"/>
      <c r="JG21" s="272"/>
      <c r="JH21" s="272"/>
      <c r="JI21" s="272"/>
      <c r="JJ21" s="272"/>
      <c r="JK21" s="272"/>
      <c r="JL21" s="272"/>
      <c r="JM21" s="272"/>
      <c r="JN21" s="272"/>
      <c r="JO21" s="272"/>
      <c r="JP21" s="272"/>
      <c r="JQ21" s="272"/>
      <c r="JR21" s="272"/>
      <c r="JS21" s="272"/>
      <c r="JT21" s="272"/>
      <c r="JU21" s="272"/>
      <c r="JV21" s="272"/>
      <c r="JW21" s="272"/>
      <c r="JX21" s="272"/>
      <c r="JY21" s="272"/>
      <c r="JZ21" s="272"/>
      <c r="KA21" s="272"/>
      <c r="KB21" s="272"/>
      <c r="KC21" s="272"/>
      <c r="KD21" s="272"/>
      <c r="KE21" s="272"/>
      <c r="KF21" s="272"/>
      <c r="KG21" s="272"/>
      <c r="KH21" s="272"/>
      <c r="KI21" s="272"/>
      <c r="KJ21" s="272"/>
      <c r="KK21" s="272"/>
      <c r="KL21" s="272"/>
      <c r="KM21" s="272"/>
      <c r="KN21" s="272"/>
      <c r="KO21" s="272"/>
      <c r="KP21" s="272"/>
      <c r="KQ21" s="272"/>
      <c r="KR21" s="272"/>
      <c r="KS21" s="272"/>
      <c r="KT21" s="272"/>
      <c r="KU21" s="272"/>
      <c r="KV21" s="272"/>
      <c r="KW21" s="272"/>
      <c r="KX21" s="272"/>
      <c r="KY21" s="272"/>
      <c r="KZ21" s="272"/>
      <c r="LA21" s="272"/>
      <c r="LB21" s="272"/>
      <c r="LC21" s="272"/>
      <c r="LD21" s="272"/>
      <c r="LE21" s="272"/>
      <c r="LF21" s="272"/>
      <c r="LG21" s="272"/>
      <c r="LH21" s="272"/>
      <c r="LI21" s="272"/>
      <c r="LJ21" s="272"/>
      <c r="LK21" s="272"/>
      <c r="LL21" s="272"/>
      <c r="LM21" s="272"/>
      <c r="LN21" s="272"/>
      <c r="LO21" s="272"/>
      <c r="LP21" s="272"/>
      <c r="LQ21" s="272"/>
      <c r="LR21" s="272"/>
      <c r="LS21" s="272"/>
      <c r="LT21" s="272"/>
      <c r="LU21" s="272"/>
      <c r="LV21" s="272"/>
      <c r="LW21" s="272"/>
      <c r="LX21" s="272"/>
      <c r="LY21" s="272"/>
      <c r="LZ21" s="272"/>
      <c r="MA21" s="272"/>
      <c r="MB21" s="272"/>
      <c r="MC21" s="272"/>
      <c r="MD21" s="272"/>
      <c r="ME21" s="272"/>
      <c r="MF21" s="272"/>
      <c r="MG21" s="272"/>
      <c r="MH21" s="272"/>
      <c r="MI21" s="272"/>
      <c r="MJ21" s="272"/>
      <c r="MK21" s="272"/>
      <c r="ML21" s="272"/>
      <c r="MM21" s="272"/>
      <c r="MN21" s="272"/>
      <c r="MO21" s="272"/>
      <c r="MP21" s="272"/>
      <c r="MQ21" s="272"/>
      <c r="MR21" s="272"/>
      <c r="MS21" s="272"/>
      <c r="MT21" s="272"/>
      <c r="MU21" s="272"/>
      <c r="MV21" s="272"/>
      <c r="MW21" s="272"/>
      <c r="MX21" s="272"/>
      <c r="MY21" s="272"/>
      <c r="MZ21" s="272"/>
      <c r="NA21" s="272"/>
      <c r="NB21" s="272"/>
      <c r="NC21" s="272"/>
      <c r="ND21" s="272"/>
      <c r="NE21" s="272"/>
      <c r="NF21" s="272"/>
      <c r="NG21" s="272"/>
      <c r="NH21" s="272"/>
      <c r="NI21" s="272"/>
      <c r="NJ21" s="272"/>
      <c r="NK21" s="272"/>
      <c r="NL21" s="272"/>
      <c r="NM21" s="272"/>
      <c r="NN21" s="272"/>
      <c r="NO21" s="272"/>
      <c r="NP21" s="272"/>
      <c r="NQ21" s="272"/>
      <c r="NR21" s="272"/>
      <c r="NS21" s="272"/>
      <c r="NT21" s="272"/>
      <c r="NU21" s="272"/>
      <c r="NV21" s="272"/>
      <c r="NW21" s="272"/>
      <c r="NX21" s="272"/>
      <c r="NY21" s="272"/>
      <c r="NZ21" s="272"/>
      <c r="OA21" s="272"/>
      <c r="OB21" s="272"/>
      <c r="OC21" s="272"/>
      <c r="OD21" s="272"/>
      <c r="OE21" s="272"/>
      <c r="OF21" s="272"/>
      <c r="OG21" s="272"/>
      <c r="OH21" s="272"/>
      <c r="OI21" s="272"/>
      <c r="OJ21" s="272"/>
      <c r="OK21" s="272"/>
      <c r="OL21" s="272"/>
      <c r="OM21" s="272"/>
      <c r="ON21" s="272"/>
      <c r="OO21" s="272"/>
      <c r="OP21" s="272"/>
      <c r="OQ21" s="272"/>
      <c r="OR21" s="272"/>
      <c r="OS21" s="272"/>
      <c r="OT21" s="272"/>
      <c r="OU21" s="272"/>
      <c r="OV21" s="272"/>
      <c r="OW21" s="272"/>
      <c r="OX21" s="272"/>
      <c r="OY21" s="272"/>
      <c r="OZ21" s="272"/>
      <c r="PA21" s="272"/>
      <c r="PB21" s="272"/>
      <c r="PC21" s="272"/>
      <c r="PD21" s="272"/>
      <c r="PE21" s="272"/>
      <c r="PF21" s="272"/>
      <c r="PG21" s="272"/>
      <c r="PH21" s="272"/>
      <c r="PI21" s="272"/>
      <c r="PJ21" s="272"/>
      <c r="PK21" s="272"/>
      <c r="PL21" s="272"/>
      <c r="PM21" s="272"/>
      <c r="PN21" s="272"/>
      <c r="PO21" s="272"/>
      <c r="PP21" s="272"/>
      <c r="PQ21" s="272"/>
      <c r="PR21" s="272"/>
      <c r="PS21" s="272"/>
      <c r="PT21" s="272"/>
      <c r="PU21" s="272"/>
      <c r="PV21" s="272"/>
      <c r="PW21" s="272"/>
      <c r="PX21" s="272"/>
      <c r="PY21" s="272"/>
      <c r="PZ21" s="272"/>
      <c r="QA21" s="272"/>
      <c r="QB21" s="272"/>
      <c r="QC21" s="272"/>
      <c r="QD21" s="272"/>
      <c r="QE21" s="272"/>
      <c r="QF21" s="272"/>
      <c r="QG21" s="272"/>
      <c r="QH21" s="272"/>
      <c r="QI21" s="272"/>
      <c r="QJ21" s="272"/>
      <c r="QK21" s="272"/>
      <c r="QL21" s="272"/>
      <c r="QM21" s="272"/>
      <c r="QN21" s="272"/>
      <c r="QO21" s="272"/>
      <c r="QP21" s="272"/>
      <c r="QQ21" s="272"/>
      <c r="QR21" s="272"/>
      <c r="QS21" s="272"/>
      <c r="QT21" s="272"/>
      <c r="QU21" s="272"/>
      <c r="QV21" s="272"/>
      <c r="QW21" s="272"/>
      <c r="QX21" s="272"/>
      <c r="QY21" s="272"/>
      <c r="QZ21" s="272"/>
      <c r="RA21" s="272"/>
      <c r="RB21" s="272"/>
      <c r="RC21" s="272"/>
      <c r="RD21" s="272"/>
      <c r="RE21" s="272"/>
      <c r="RF21" s="272"/>
      <c r="RG21" s="272"/>
      <c r="RH21" s="272"/>
      <c r="RI21" s="272"/>
      <c r="RJ21" s="272"/>
      <c r="RK21" s="272"/>
      <c r="RL21" s="272"/>
      <c r="RM21" s="272"/>
      <c r="RN21" s="272"/>
      <c r="RO21" s="272"/>
      <c r="RP21" s="272"/>
      <c r="RQ21" s="272"/>
      <c r="RR21" s="272"/>
      <c r="RS21" s="272"/>
      <c r="RT21" s="272"/>
      <c r="RU21" s="272"/>
      <c r="RV21" s="272"/>
      <c r="RW21" s="272"/>
      <c r="RX21" s="272"/>
      <c r="RY21" s="272"/>
      <c r="RZ21" s="272"/>
      <c r="SA21" s="272"/>
      <c r="SB21" s="272"/>
      <c r="SC21" s="272"/>
      <c r="SD21" s="272"/>
      <c r="SE21" s="272"/>
      <c r="SF21" s="272"/>
      <c r="SG21" s="272"/>
      <c r="SH21" s="272"/>
      <c r="SI21" s="272"/>
      <c r="SJ21" s="272"/>
      <c r="SK21" s="272"/>
      <c r="SL21" s="272"/>
      <c r="SM21" s="272"/>
      <c r="SN21" s="272"/>
      <c r="SO21" s="272"/>
      <c r="SP21" s="272"/>
      <c r="SQ21" s="272"/>
      <c r="SR21" s="272"/>
      <c r="SS21" s="272"/>
      <c r="ST21" s="272"/>
      <c r="SU21" s="272"/>
      <c r="SV21" s="272"/>
      <c r="SW21" s="272"/>
      <c r="SX21" s="272"/>
      <c r="SY21" s="272"/>
      <c r="SZ21" s="272"/>
      <c r="TA21" s="272"/>
      <c r="TB21" s="272"/>
      <c r="TC21" s="272"/>
      <c r="TD21" s="272"/>
      <c r="TE21" s="272"/>
      <c r="TF21" s="272"/>
      <c r="TG21" s="272"/>
      <c r="TH21" s="272"/>
      <c r="TI21" s="272"/>
      <c r="TJ21" s="272"/>
      <c r="TK21" s="272"/>
      <c r="TL21" s="272"/>
      <c r="TM21" s="272"/>
      <c r="TN21" s="272"/>
      <c r="TO21" s="272"/>
      <c r="TP21" s="272"/>
      <c r="TQ21" s="272"/>
      <c r="TR21" s="272"/>
      <c r="TS21" s="272"/>
      <c r="TT21" s="272"/>
      <c r="TU21" s="272"/>
      <c r="TV21" s="272"/>
      <c r="TW21" s="272"/>
      <c r="TX21" s="272"/>
      <c r="TY21" s="272"/>
      <c r="TZ21" s="272"/>
      <c r="UA21" s="272"/>
      <c r="UB21" s="272"/>
      <c r="UC21" s="272"/>
      <c r="UD21" s="272"/>
      <c r="UE21" s="272"/>
      <c r="UF21" s="272"/>
      <c r="UG21" s="272"/>
      <c r="UH21" s="272"/>
      <c r="UI21" s="272"/>
      <c r="UJ21" s="272"/>
      <c r="UK21" s="272"/>
      <c r="UL21" s="272"/>
      <c r="UM21" s="272"/>
      <c r="UN21" s="272"/>
      <c r="UO21" s="272"/>
      <c r="UP21" s="272"/>
      <c r="UQ21" s="272"/>
      <c r="UR21" s="272"/>
      <c r="US21" s="272"/>
      <c r="UT21" s="272"/>
      <c r="UU21" s="272"/>
      <c r="UV21" s="272"/>
      <c r="UW21" s="272"/>
      <c r="UX21" s="272"/>
      <c r="UY21" s="272"/>
      <c r="UZ21" s="272"/>
      <c r="VA21" s="272"/>
      <c r="VB21" s="272"/>
      <c r="VC21" s="272"/>
      <c r="VD21" s="272"/>
      <c r="VE21" s="272"/>
      <c r="VF21" s="272"/>
      <c r="VG21" s="272"/>
      <c r="VH21" s="272"/>
      <c r="VI21" s="272"/>
      <c r="VJ21" s="272"/>
      <c r="VK21" s="272"/>
      <c r="VL21" s="272"/>
      <c r="VM21" s="272"/>
      <c r="VN21" s="272"/>
      <c r="VO21" s="272"/>
      <c r="VP21" s="272"/>
      <c r="VQ21" s="272"/>
      <c r="VR21" s="272"/>
      <c r="VS21" s="272"/>
      <c r="VT21" s="272"/>
      <c r="VU21" s="272"/>
      <c r="VV21" s="272"/>
      <c r="VW21" s="272"/>
      <c r="VX21" s="272"/>
      <c r="VY21" s="272"/>
      <c r="VZ21" s="272"/>
      <c r="WA21" s="272"/>
      <c r="WB21" s="272"/>
      <c r="WC21" s="272"/>
      <c r="WD21" s="272"/>
      <c r="WE21" s="272"/>
      <c r="WF21" s="272"/>
      <c r="WG21" s="272"/>
      <c r="WH21" s="272"/>
      <c r="WI21" s="272"/>
      <c r="WJ21" s="272"/>
      <c r="WK21" s="272"/>
      <c r="WL21" s="272"/>
      <c r="WM21" s="272"/>
      <c r="WN21" s="272"/>
      <c r="WO21" s="272"/>
      <c r="WP21" s="272"/>
      <c r="WQ21" s="272"/>
      <c r="WR21" s="272"/>
      <c r="WS21" s="272"/>
      <c r="WT21" s="272"/>
      <c r="WU21" s="272"/>
      <c r="WV21" s="272"/>
      <c r="WW21" s="272"/>
      <c r="WX21" s="272"/>
      <c r="WY21" s="272"/>
      <c r="WZ21" s="272"/>
      <c r="XA21" s="272"/>
      <c r="XB21" s="272"/>
      <c r="XC21" s="272"/>
      <c r="XD21" s="272"/>
      <c r="XE21" s="272"/>
      <c r="XF21" s="272"/>
      <c r="XG21" s="272"/>
      <c r="XH21" s="272"/>
      <c r="XI21" s="272"/>
      <c r="XJ21" s="272"/>
      <c r="XK21" s="272"/>
      <c r="XL21" s="272"/>
      <c r="XM21" s="272"/>
      <c r="XN21" s="272"/>
      <c r="XO21" s="272"/>
      <c r="XP21" s="272"/>
      <c r="XQ21" s="272"/>
      <c r="XR21" s="272"/>
      <c r="XS21" s="272"/>
      <c r="XT21" s="272"/>
      <c r="XU21" s="272"/>
      <c r="XV21" s="272"/>
      <c r="XW21" s="272"/>
      <c r="XX21" s="272"/>
      <c r="XY21" s="272"/>
      <c r="XZ21" s="272"/>
      <c r="YA21" s="272"/>
      <c r="YB21" s="272"/>
      <c r="YC21" s="272"/>
      <c r="YD21" s="272"/>
      <c r="YE21" s="272"/>
      <c r="YF21" s="272"/>
      <c r="YG21" s="272"/>
      <c r="YH21" s="272"/>
      <c r="YI21" s="272"/>
      <c r="YJ21" s="272"/>
      <c r="YK21" s="272"/>
      <c r="YL21" s="272"/>
      <c r="YM21" s="272"/>
      <c r="YN21" s="272"/>
      <c r="YO21" s="272"/>
      <c r="YP21" s="272"/>
      <c r="YQ21" s="272"/>
      <c r="YR21" s="272"/>
      <c r="YS21" s="272"/>
      <c r="YT21" s="272"/>
      <c r="YU21" s="272"/>
      <c r="YV21" s="272"/>
      <c r="YW21" s="272"/>
      <c r="YX21" s="272"/>
      <c r="YY21" s="272"/>
      <c r="YZ21" s="272"/>
      <c r="ZA21" s="272"/>
      <c r="ZB21" s="272"/>
      <c r="ZC21" s="272"/>
      <c r="ZD21" s="272"/>
      <c r="ZE21" s="272"/>
      <c r="ZF21" s="272"/>
      <c r="ZG21" s="272"/>
      <c r="ZH21" s="272"/>
      <c r="ZI21" s="272"/>
      <c r="ZJ21" s="272"/>
      <c r="ZK21" s="272"/>
      <c r="ZL21" s="272"/>
      <c r="ZM21" s="272"/>
      <c r="ZN21" s="272"/>
      <c r="ZO21" s="272"/>
      <c r="ZP21" s="272"/>
      <c r="ZQ21" s="272"/>
      <c r="ZR21" s="272"/>
      <c r="ZS21" s="272"/>
      <c r="ZT21" s="272"/>
    </row>
    <row r="22" spans="1:696" s="19" customFormat="1" ht="18" customHeight="1">
      <c r="A22" s="44"/>
      <c r="B22" s="597"/>
      <c r="C22" s="597"/>
      <c r="D22" s="642"/>
      <c r="E22" s="619"/>
      <c r="F22" s="619"/>
      <c r="G22" s="626"/>
      <c r="H22" s="626"/>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2"/>
      <c r="HX22" s="272"/>
      <c r="HY22" s="272"/>
      <c r="HZ22" s="272"/>
      <c r="IA22" s="272"/>
      <c r="IB22" s="272"/>
      <c r="IC22" s="272"/>
      <c r="ID22" s="272"/>
      <c r="IE22" s="272"/>
      <c r="IF22" s="272"/>
      <c r="IG22" s="272"/>
      <c r="IH22" s="272"/>
      <c r="II22" s="272"/>
      <c r="IJ22" s="272"/>
      <c r="IK22" s="272"/>
      <c r="IL22" s="272"/>
      <c r="IM22" s="272"/>
      <c r="IN22" s="272"/>
      <c r="IO22" s="272"/>
      <c r="IP22" s="272"/>
      <c r="IQ22" s="272"/>
      <c r="IR22" s="272"/>
      <c r="IS22" s="272"/>
      <c r="IT22" s="272"/>
      <c r="IU22" s="272"/>
      <c r="IV22" s="272"/>
      <c r="IW22" s="272"/>
      <c r="IX22" s="272"/>
      <c r="IY22" s="272"/>
      <c r="IZ22" s="272"/>
      <c r="JA22" s="272"/>
      <c r="JB22" s="272"/>
      <c r="JC22" s="272"/>
      <c r="JD22" s="272"/>
      <c r="JE22" s="272"/>
      <c r="JF22" s="272"/>
      <c r="JG22" s="272"/>
      <c r="JH22" s="272"/>
      <c r="JI22" s="272"/>
      <c r="JJ22" s="272"/>
      <c r="JK22" s="272"/>
      <c r="JL22" s="272"/>
      <c r="JM22" s="272"/>
      <c r="JN22" s="272"/>
      <c r="JO22" s="272"/>
      <c r="JP22" s="272"/>
      <c r="JQ22" s="272"/>
      <c r="JR22" s="272"/>
      <c r="JS22" s="272"/>
      <c r="JT22" s="272"/>
      <c r="JU22" s="272"/>
      <c r="JV22" s="272"/>
      <c r="JW22" s="272"/>
      <c r="JX22" s="272"/>
      <c r="JY22" s="272"/>
      <c r="JZ22" s="272"/>
      <c r="KA22" s="272"/>
      <c r="KB22" s="272"/>
      <c r="KC22" s="272"/>
      <c r="KD22" s="272"/>
      <c r="KE22" s="272"/>
      <c r="KF22" s="272"/>
      <c r="KG22" s="272"/>
      <c r="KH22" s="272"/>
      <c r="KI22" s="272"/>
      <c r="KJ22" s="272"/>
      <c r="KK22" s="272"/>
      <c r="KL22" s="272"/>
      <c r="KM22" s="272"/>
      <c r="KN22" s="272"/>
      <c r="KO22" s="272"/>
      <c r="KP22" s="272"/>
      <c r="KQ22" s="272"/>
      <c r="KR22" s="272"/>
      <c r="KS22" s="272"/>
      <c r="KT22" s="272"/>
      <c r="KU22" s="272"/>
      <c r="KV22" s="272"/>
      <c r="KW22" s="272"/>
      <c r="KX22" s="272"/>
      <c r="KY22" s="272"/>
      <c r="KZ22" s="272"/>
      <c r="LA22" s="272"/>
      <c r="LB22" s="272"/>
      <c r="LC22" s="272"/>
      <c r="LD22" s="272"/>
      <c r="LE22" s="272"/>
      <c r="LF22" s="272"/>
      <c r="LG22" s="272"/>
      <c r="LH22" s="272"/>
      <c r="LI22" s="272"/>
      <c r="LJ22" s="272"/>
      <c r="LK22" s="272"/>
      <c r="LL22" s="272"/>
      <c r="LM22" s="272"/>
      <c r="LN22" s="272"/>
      <c r="LO22" s="272"/>
      <c r="LP22" s="272"/>
      <c r="LQ22" s="272"/>
      <c r="LR22" s="272"/>
      <c r="LS22" s="272"/>
      <c r="LT22" s="272"/>
      <c r="LU22" s="272"/>
      <c r="LV22" s="272"/>
      <c r="LW22" s="272"/>
      <c r="LX22" s="272"/>
      <c r="LY22" s="272"/>
      <c r="LZ22" s="272"/>
      <c r="MA22" s="272"/>
      <c r="MB22" s="272"/>
      <c r="MC22" s="272"/>
      <c r="MD22" s="272"/>
      <c r="ME22" s="272"/>
      <c r="MF22" s="272"/>
      <c r="MG22" s="272"/>
      <c r="MH22" s="272"/>
      <c r="MI22" s="272"/>
      <c r="MJ22" s="272"/>
      <c r="MK22" s="272"/>
      <c r="ML22" s="272"/>
      <c r="MM22" s="272"/>
      <c r="MN22" s="272"/>
      <c r="MO22" s="272"/>
      <c r="MP22" s="272"/>
      <c r="MQ22" s="272"/>
      <c r="MR22" s="272"/>
      <c r="MS22" s="272"/>
      <c r="MT22" s="272"/>
      <c r="MU22" s="272"/>
      <c r="MV22" s="272"/>
      <c r="MW22" s="272"/>
      <c r="MX22" s="272"/>
      <c r="MY22" s="272"/>
      <c r="MZ22" s="272"/>
      <c r="NA22" s="272"/>
      <c r="NB22" s="272"/>
      <c r="NC22" s="272"/>
      <c r="ND22" s="272"/>
      <c r="NE22" s="272"/>
      <c r="NF22" s="272"/>
      <c r="NG22" s="272"/>
      <c r="NH22" s="272"/>
      <c r="NI22" s="272"/>
      <c r="NJ22" s="272"/>
      <c r="NK22" s="272"/>
      <c r="NL22" s="272"/>
      <c r="NM22" s="272"/>
      <c r="NN22" s="272"/>
      <c r="NO22" s="272"/>
      <c r="NP22" s="272"/>
      <c r="NQ22" s="272"/>
      <c r="NR22" s="272"/>
      <c r="NS22" s="272"/>
      <c r="NT22" s="272"/>
      <c r="NU22" s="272"/>
      <c r="NV22" s="272"/>
      <c r="NW22" s="272"/>
      <c r="NX22" s="272"/>
      <c r="NY22" s="272"/>
      <c r="NZ22" s="272"/>
      <c r="OA22" s="272"/>
      <c r="OB22" s="272"/>
      <c r="OC22" s="272"/>
      <c r="OD22" s="272"/>
      <c r="OE22" s="272"/>
      <c r="OF22" s="272"/>
      <c r="OG22" s="272"/>
      <c r="OH22" s="272"/>
      <c r="OI22" s="272"/>
      <c r="OJ22" s="272"/>
      <c r="OK22" s="272"/>
      <c r="OL22" s="272"/>
      <c r="OM22" s="272"/>
      <c r="ON22" s="272"/>
      <c r="OO22" s="272"/>
      <c r="OP22" s="272"/>
      <c r="OQ22" s="272"/>
      <c r="OR22" s="272"/>
      <c r="OS22" s="272"/>
      <c r="OT22" s="272"/>
      <c r="OU22" s="272"/>
      <c r="OV22" s="272"/>
      <c r="OW22" s="272"/>
      <c r="OX22" s="272"/>
      <c r="OY22" s="272"/>
      <c r="OZ22" s="272"/>
      <c r="PA22" s="272"/>
      <c r="PB22" s="272"/>
      <c r="PC22" s="272"/>
      <c r="PD22" s="272"/>
      <c r="PE22" s="272"/>
      <c r="PF22" s="272"/>
      <c r="PG22" s="272"/>
      <c r="PH22" s="272"/>
      <c r="PI22" s="272"/>
      <c r="PJ22" s="272"/>
      <c r="PK22" s="272"/>
      <c r="PL22" s="272"/>
      <c r="PM22" s="272"/>
      <c r="PN22" s="272"/>
      <c r="PO22" s="272"/>
      <c r="PP22" s="272"/>
      <c r="PQ22" s="272"/>
      <c r="PR22" s="272"/>
      <c r="PS22" s="272"/>
      <c r="PT22" s="272"/>
      <c r="PU22" s="272"/>
      <c r="PV22" s="272"/>
      <c r="PW22" s="272"/>
      <c r="PX22" s="272"/>
      <c r="PY22" s="272"/>
      <c r="PZ22" s="272"/>
      <c r="QA22" s="272"/>
      <c r="QB22" s="272"/>
      <c r="QC22" s="272"/>
      <c r="QD22" s="272"/>
      <c r="QE22" s="272"/>
      <c r="QF22" s="272"/>
      <c r="QG22" s="272"/>
      <c r="QH22" s="272"/>
      <c r="QI22" s="272"/>
      <c r="QJ22" s="272"/>
      <c r="QK22" s="272"/>
      <c r="QL22" s="272"/>
      <c r="QM22" s="272"/>
      <c r="QN22" s="272"/>
      <c r="QO22" s="272"/>
      <c r="QP22" s="272"/>
      <c r="QQ22" s="272"/>
      <c r="QR22" s="272"/>
      <c r="QS22" s="272"/>
      <c r="QT22" s="272"/>
      <c r="QU22" s="272"/>
      <c r="QV22" s="272"/>
      <c r="QW22" s="272"/>
      <c r="QX22" s="272"/>
      <c r="QY22" s="272"/>
      <c r="QZ22" s="272"/>
      <c r="RA22" s="272"/>
      <c r="RB22" s="272"/>
      <c r="RC22" s="272"/>
      <c r="RD22" s="272"/>
      <c r="RE22" s="272"/>
      <c r="RF22" s="272"/>
      <c r="RG22" s="272"/>
      <c r="RH22" s="272"/>
      <c r="RI22" s="272"/>
      <c r="RJ22" s="272"/>
      <c r="RK22" s="272"/>
      <c r="RL22" s="272"/>
      <c r="RM22" s="272"/>
      <c r="RN22" s="272"/>
      <c r="RO22" s="272"/>
      <c r="RP22" s="272"/>
      <c r="RQ22" s="272"/>
      <c r="RR22" s="272"/>
      <c r="RS22" s="272"/>
      <c r="RT22" s="272"/>
      <c r="RU22" s="272"/>
      <c r="RV22" s="272"/>
      <c r="RW22" s="272"/>
      <c r="RX22" s="272"/>
      <c r="RY22" s="272"/>
      <c r="RZ22" s="272"/>
      <c r="SA22" s="272"/>
      <c r="SB22" s="272"/>
      <c r="SC22" s="272"/>
      <c r="SD22" s="272"/>
      <c r="SE22" s="272"/>
      <c r="SF22" s="272"/>
      <c r="SG22" s="272"/>
      <c r="SH22" s="272"/>
      <c r="SI22" s="272"/>
      <c r="SJ22" s="272"/>
      <c r="SK22" s="272"/>
      <c r="SL22" s="272"/>
      <c r="SM22" s="272"/>
      <c r="SN22" s="272"/>
      <c r="SO22" s="272"/>
      <c r="SP22" s="272"/>
      <c r="SQ22" s="272"/>
      <c r="SR22" s="272"/>
      <c r="SS22" s="272"/>
      <c r="ST22" s="272"/>
      <c r="SU22" s="272"/>
      <c r="SV22" s="272"/>
      <c r="SW22" s="272"/>
      <c r="SX22" s="272"/>
      <c r="SY22" s="272"/>
      <c r="SZ22" s="272"/>
      <c r="TA22" s="272"/>
      <c r="TB22" s="272"/>
      <c r="TC22" s="272"/>
      <c r="TD22" s="272"/>
      <c r="TE22" s="272"/>
      <c r="TF22" s="272"/>
      <c r="TG22" s="272"/>
      <c r="TH22" s="272"/>
      <c r="TI22" s="272"/>
      <c r="TJ22" s="272"/>
      <c r="TK22" s="272"/>
      <c r="TL22" s="272"/>
      <c r="TM22" s="272"/>
      <c r="TN22" s="272"/>
      <c r="TO22" s="272"/>
      <c r="TP22" s="272"/>
      <c r="TQ22" s="272"/>
      <c r="TR22" s="272"/>
      <c r="TS22" s="272"/>
      <c r="TT22" s="272"/>
      <c r="TU22" s="272"/>
      <c r="TV22" s="272"/>
      <c r="TW22" s="272"/>
      <c r="TX22" s="272"/>
      <c r="TY22" s="272"/>
      <c r="TZ22" s="272"/>
      <c r="UA22" s="272"/>
      <c r="UB22" s="272"/>
      <c r="UC22" s="272"/>
      <c r="UD22" s="272"/>
      <c r="UE22" s="272"/>
      <c r="UF22" s="272"/>
      <c r="UG22" s="272"/>
      <c r="UH22" s="272"/>
      <c r="UI22" s="272"/>
      <c r="UJ22" s="272"/>
      <c r="UK22" s="272"/>
      <c r="UL22" s="272"/>
      <c r="UM22" s="272"/>
      <c r="UN22" s="272"/>
      <c r="UO22" s="272"/>
      <c r="UP22" s="272"/>
      <c r="UQ22" s="272"/>
      <c r="UR22" s="272"/>
      <c r="US22" s="272"/>
      <c r="UT22" s="272"/>
      <c r="UU22" s="272"/>
      <c r="UV22" s="272"/>
      <c r="UW22" s="272"/>
      <c r="UX22" s="272"/>
      <c r="UY22" s="272"/>
      <c r="UZ22" s="272"/>
      <c r="VA22" s="272"/>
      <c r="VB22" s="272"/>
      <c r="VC22" s="272"/>
      <c r="VD22" s="272"/>
      <c r="VE22" s="272"/>
      <c r="VF22" s="272"/>
      <c r="VG22" s="272"/>
      <c r="VH22" s="272"/>
      <c r="VI22" s="272"/>
      <c r="VJ22" s="272"/>
      <c r="VK22" s="272"/>
      <c r="VL22" s="272"/>
      <c r="VM22" s="272"/>
      <c r="VN22" s="272"/>
      <c r="VO22" s="272"/>
      <c r="VP22" s="272"/>
      <c r="VQ22" s="272"/>
      <c r="VR22" s="272"/>
      <c r="VS22" s="272"/>
      <c r="VT22" s="272"/>
      <c r="VU22" s="272"/>
      <c r="VV22" s="272"/>
      <c r="VW22" s="272"/>
      <c r="VX22" s="272"/>
      <c r="VY22" s="272"/>
      <c r="VZ22" s="272"/>
      <c r="WA22" s="272"/>
      <c r="WB22" s="272"/>
      <c r="WC22" s="272"/>
      <c r="WD22" s="272"/>
      <c r="WE22" s="272"/>
      <c r="WF22" s="272"/>
      <c r="WG22" s="272"/>
      <c r="WH22" s="272"/>
      <c r="WI22" s="272"/>
      <c r="WJ22" s="272"/>
      <c r="WK22" s="272"/>
      <c r="WL22" s="272"/>
      <c r="WM22" s="272"/>
      <c r="WN22" s="272"/>
      <c r="WO22" s="272"/>
      <c r="WP22" s="272"/>
      <c r="WQ22" s="272"/>
      <c r="WR22" s="272"/>
      <c r="WS22" s="272"/>
      <c r="WT22" s="272"/>
      <c r="WU22" s="272"/>
      <c r="WV22" s="272"/>
      <c r="WW22" s="272"/>
      <c r="WX22" s="272"/>
      <c r="WY22" s="272"/>
      <c r="WZ22" s="272"/>
      <c r="XA22" s="272"/>
      <c r="XB22" s="272"/>
      <c r="XC22" s="272"/>
      <c r="XD22" s="272"/>
      <c r="XE22" s="272"/>
      <c r="XF22" s="272"/>
      <c r="XG22" s="272"/>
      <c r="XH22" s="272"/>
      <c r="XI22" s="272"/>
      <c r="XJ22" s="272"/>
      <c r="XK22" s="272"/>
      <c r="XL22" s="272"/>
      <c r="XM22" s="272"/>
      <c r="XN22" s="272"/>
      <c r="XO22" s="272"/>
      <c r="XP22" s="272"/>
      <c r="XQ22" s="272"/>
      <c r="XR22" s="272"/>
      <c r="XS22" s="272"/>
      <c r="XT22" s="272"/>
      <c r="XU22" s="272"/>
      <c r="XV22" s="272"/>
      <c r="XW22" s="272"/>
      <c r="XX22" s="272"/>
      <c r="XY22" s="272"/>
      <c r="XZ22" s="272"/>
      <c r="YA22" s="272"/>
      <c r="YB22" s="272"/>
      <c r="YC22" s="272"/>
      <c r="YD22" s="272"/>
      <c r="YE22" s="272"/>
      <c r="YF22" s="272"/>
      <c r="YG22" s="272"/>
      <c r="YH22" s="272"/>
      <c r="YI22" s="272"/>
      <c r="YJ22" s="272"/>
      <c r="YK22" s="272"/>
      <c r="YL22" s="272"/>
      <c r="YM22" s="272"/>
      <c r="YN22" s="272"/>
      <c r="YO22" s="272"/>
      <c r="YP22" s="272"/>
      <c r="YQ22" s="272"/>
      <c r="YR22" s="272"/>
      <c r="YS22" s="272"/>
      <c r="YT22" s="272"/>
      <c r="YU22" s="272"/>
      <c r="YV22" s="272"/>
      <c r="YW22" s="272"/>
      <c r="YX22" s="272"/>
      <c r="YY22" s="272"/>
      <c r="YZ22" s="272"/>
      <c r="ZA22" s="272"/>
      <c r="ZB22" s="272"/>
      <c r="ZC22" s="272"/>
      <c r="ZD22" s="272"/>
      <c r="ZE22" s="272"/>
      <c r="ZF22" s="272"/>
      <c r="ZG22" s="272"/>
      <c r="ZH22" s="272"/>
      <c r="ZI22" s="272"/>
      <c r="ZJ22" s="272"/>
      <c r="ZK22" s="272"/>
      <c r="ZL22" s="272"/>
      <c r="ZM22" s="272"/>
      <c r="ZN22" s="272"/>
      <c r="ZO22" s="272"/>
      <c r="ZP22" s="272"/>
      <c r="ZQ22" s="272"/>
      <c r="ZR22" s="272"/>
      <c r="ZS22" s="272"/>
      <c r="ZT22" s="272"/>
    </row>
    <row r="23" spans="1:696" s="19" customFormat="1" ht="12.75" customHeight="1" hidden="1">
      <c r="A23" s="44"/>
      <c r="B23" s="597"/>
      <c r="C23" s="598"/>
      <c r="D23" s="643"/>
      <c r="E23" s="620"/>
      <c r="F23" s="620"/>
      <c r="G23" s="627"/>
      <c r="H23" s="627"/>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c r="IV23" s="272"/>
      <c r="IW23" s="272"/>
      <c r="IX23" s="272"/>
      <c r="IY23" s="272"/>
      <c r="IZ23" s="272"/>
      <c r="JA23" s="272"/>
      <c r="JB23" s="272"/>
      <c r="JC23" s="272"/>
      <c r="JD23" s="272"/>
      <c r="JE23" s="272"/>
      <c r="JF23" s="272"/>
      <c r="JG23" s="272"/>
      <c r="JH23" s="272"/>
      <c r="JI23" s="272"/>
      <c r="JJ23" s="272"/>
      <c r="JK23" s="272"/>
      <c r="JL23" s="272"/>
      <c r="JM23" s="272"/>
      <c r="JN23" s="272"/>
      <c r="JO23" s="272"/>
      <c r="JP23" s="272"/>
      <c r="JQ23" s="272"/>
      <c r="JR23" s="272"/>
      <c r="JS23" s="272"/>
      <c r="JT23" s="272"/>
      <c r="JU23" s="272"/>
      <c r="JV23" s="272"/>
      <c r="JW23" s="272"/>
      <c r="JX23" s="272"/>
      <c r="JY23" s="272"/>
      <c r="JZ23" s="272"/>
      <c r="KA23" s="272"/>
      <c r="KB23" s="272"/>
      <c r="KC23" s="272"/>
      <c r="KD23" s="272"/>
      <c r="KE23" s="272"/>
      <c r="KF23" s="272"/>
      <c r="KG23" s="272"/>
      <c r="KH23" s="272"/>
      <c r="KI23" s="272"/>
      <c r="KJ23" s="272"/>
      <c r="KK23" s="272"/>
      <c r="KL23" s="272"/>
      <c r="KM23" s="272"/>
      <c r="KN23" s="272"/>
      <c r="KO23" s="272"/>
      <c r="KP23" s="272"/>
      <c r="KQ23" s="272"/>
      <c r="KR23" s="272"/>
      <c r="KS23" s="272"/>
      <c r="KT23" s="272"/>
      <c r="KU23" s="272"/>
      <c r="KV23" s="272"/>
      <c r="KW23" s="272"/>
      <c r="KX23" s="272"/>
      <c r="KY23" s="272"/>
      <c r="KZ23" s="272"/>
      <c r="LA23" s="272"/>
      <c r="LB23" s="272"/>
      <c r="LC23" s="272"/>
      <c r="LD23" s="272"/>
      <c r="LE23" s="272"/>
      <c r="LF23" s="272"/>
      <c r="LG23" s="272"/>
      <c r="LH23" s="272"/>
      <c r="LI23" s="272"/>
      <c r="LJ23" s="272"/>
      <c r="LK23" s="272"/>
      <c r="LL23" s="272"/>
      <c r="LM23" s="272"/>
      <c r="LN23" s="272"/>
      <c r="LO23" s="272"/>
      <c r="LP23" s="272"/>
      <c r="LQ23" s="272"/>
      <c r="LR23" s="272"/>
      <c r="LS23" s="272"/>
      <c r="LT23" s="272"/>
      <c r="LU23" s="272"/>
      <c r="LV23" s="272"/>
      <c r="LW23" s="272"/>
      <c r="LX23" s="272"/>
      <c r="LY23" s="272"/>
      <c r="LZ23" s="272"/>
      <c r="MA23" s="272"/>
      <c r="MB23" s="272"/>
      <c r="MC23" s="272"/>
      <c r="MD23" s="272"/>
      <c r="ME23" s="272"/>
      <c r="MF23" s="272"/>
      <c r="MG23" s="272"/>
      <c r="MH23" s="272"/>
      <c r="MI23" s="272"/>
      <c r="MJ23" s="272"/>
      <c r="MK23" s="272"/>
      <c r="ML23" s="272"/>
      <c r="MM23" s="272"/>
      <c r="MN23" s="272"/>
      <c r="MO23" s="272"/>
      <c r="MP23" s="272"/>
      <c r="MQ23" s="272"/>
      <c r="MR23" s="272"/>
      <c r="MS23" s="272"/>
      <c r="MT23" s="272"/>
      <c r="MU23" s="272"/>
      <c r="MV23" s="272"/>
      <c r="MW23" s="272"/>
      <c r="MX23" s="272"/>
      <c r="MY23" s="272"/>
      <c r="MZ23" s="272"/>
      <c r="NA23" s="272"/>
      <c r="NB23" s="272"/>
      <c r="NC23" s="272"/>
      <c r="ND23" s="272"/>
      <c r="NE23" s="272"/>
      <c r="NF23" s="272"/>
      <c r="NG23" s="272"/>
      <c r="NH23" s="272"/>
      <c r="NI23" s="272"/>
      <c r="NJ23" s="272"/>
      <c r="NK23" s="272"/>
      <c r="NL23" s="272"/>
      <c r="NM23" s="272"/>
      <c r="NN23" s="272"/>
      <c r="NO23" s="272"/>
      <c r="NP23" s="272"/>
      <c r="NQ23" s="272"/>
      <c r="NR23" s="272"/>
      <c r="NS23" s="272"/>
      <c r="NT23" s="272"/>
      <c r="NU23" s="272"/>
      <c r="NV23" s="272"/>
      <c r="NW23" s="272"/>
      <c r="NX23" s="272"/>
      <c r="NY23" s="272"/>
      <c r="NZ23" s="272"/>
      <c r="OA23" s="272"/>
      <c r="OB23" s="272"/>
      <c r="OC23" s="272"/>
      <c r="OD23" s="272"/>
      <c r="OE23" s="272"/>
      <c r="OF23" s="272"/>
      <c r="OG23" s="272"/>
      <c r="OH23" s="272"/>
      <c r="OI23" s="272"/>
      <c r="OJ23" s="272"/>
      <c r="OK23" s="272"/>
      <c r="OL23" s="272"/>
      <c r="OM23" s="272"/>
      <c r="ON23" s="272"/>
      <c r="OO23" s="272"/>
      <c r="OP23" s="272"/>
      <c r="OQ23" s="272"/>
      <c r="OR23" s="272"/>
      <c r="OS23" s="272"/>
      <c r="OT23" s="272"/>
      <c r="OU23" s="272"/>
      <c r="OV23" s="272"/>
      <c r="OW23" s="272"/>
      <c r="OX23" s="272"/>
      <c r="OY23" s="272"/>
      <c r="OZ23" s="272"/>
      <c r="PA23" s="272"/>
      <c r="PB23" s="272"/>
      <c r="PC23" s="272"/>
      <c r="PD23" s="272"/>
      <c r="PE23" s="272"/>
      <c r="PF23" s="272"/>
      <c r="PG23" s="272"/>
      <c r="PH23" s="272"/>
      <c r="PI23" s="272"/>
      <c r="PJ23" s="272"/>
      <c r="PK23" s="272"/>
      <c r="PL23" s="272"/>
      <c r="PM23" s="272"/>
      <c r="PN23" s="272"/>
      <c r="PO23" s="272"/>
      <c r="PP23" s="272"/>
      <c r="PQ23" s="272"/>
      <c r="PR23" s="272"/>
      <c r="PS23" s="272"/>
      <c r="PT23" s="272"/>
      <c r="PU23" s="272"/>
      <c r="PV23" s="272"/>
      <c r="PW23" s="272"/>
      <c r="PX23" s="272"/>
      <c r="PY23" s="272"/>
      <c r="PZ23" s="272"/>
      <c r="QA23" s="272"/>
      <c r="QB23" s="272"/>
      <c r="QC23" s="272"/>
      <c r="QD23" s="272"/>
      <c r="QE23" s="272"/>
      <c r="QF23" s="272"/>
      <c r="QG23" s="272"/>
      <c r="QH23" s="272"/>
      <c r="QI23" s="272"/>
      <c r="QJ23" s="272"/>
      <c r="QK23" s="272"/>
      <c r="QL23" s="272"/>
      <c r="QM23" s="272"/>
      <c r="QN23" s="272"/>
      <c r="QO23" s="272"/>
      <c r="QP23" s="272"/>
      <c r="QQ23" s="272"/>
      <c r="QR23" s="272"/>
      <c r="QS23" s="272"/>
      <c r="QT23" s="272"/>
      <c r="QU23" s="272"/>
      <c r="QV23" s="272"/>
      <c r="QW23" s="272"/>
      <c r="QX23" s="272"/>
      <c r="QY23" s="272"/>
      <c r="QZ23" s="272"/>
      <c r="RA23" s="272"/>
      <c r="RB23" s="272"/>
      <c r="RC23" s="272"/>
      <c r="RD23" s="272"/>
      <c r="RE23" s="272"/>
      <c r="RF23" s="272"/>
      <c r="RG23" s="272"/>
      <c r="RH23" s="272"/>
      <c r="RI23" s="272"/>
      <c r="RJ23" s="272"/>
      <c r="RK23" s="272"/>
      <c r="RL23" s="272"/>
      <c r="RM23" s="272"/>
      <c r="RN23" s="272"/>
      <c r="RO23" s="272"/>
      <c r="RP23" s="272"/>
      <c r="RQ23" s="272"/>
      <c r="RR23" s="272"/>
      <c r="RS23" s="272"/>
      <c r="RT23" s="272"/>
      <c r="RU23" s="272"/>
      <c r="RV23" s="272"/>
      <c r="RW23" s="272"/>
      <c r="RX23" s="272"/>
      <c r="RY23" s="272"/>
      <c r="RZ23" s="272"/>
      <c r="SA23" s="272"/>
      <c r="SB23" s="272"/>
      <c r="SC23" s="272"/>
      <c r="SD23" s="272"/>
      <c r="SE23" s="272"/>
      <c r="SF23" s="272"/>
      <c r="SG23" s="272"/>
      <c r="SH23" s="272"/>
      <c r="SI23" s="272"/>
      <c r="SJ23" s="272"/>
      <c r="SK23" s="272"/>
      <c r="SL23" s="272"/>
      <c r="SM23" s="272"/>
      <c r="SN23" s="272"/>
      <c r="SO23" s="272"/>
      <c r="SP23" s="272"/>
      <c r="SQ23" s="272"/>
      <c r="SR23" s="272"/>
      <c r="SS23" s="272"/>
      <c r="ST23" s="272"/>
      <c r="SU23" s="272"/>
      <c r="SV23" s="272"/>
      <c r="SW23" s="272"/>
      <c r="SX23" s="272"/>
      <c r="SY23" s="272"/>
      <c r="SZ23" s="272"/>
      <c r="TA23" s="272"/>
      <c r="TB23" s="272"/>
      <c r="TC23" s="272"/>
      <c r="TD23" s="272"/>
      <c r="TE23" s="272"/>
      <c r="TF23" s="272"/>
      <c r="TG23" s="272"/>
      <c r="TH23" s="272"/>
      <c r="TI23" s="272"/>
      <c r="TJ23" s="272"/>
      <c r="TK23" s="272"/>
      <c r="TL23" s="272"/>
      <c r="TM23" s="272"/>
      <c r="TN23" s="272"/>
      <c r="TO23" s="272"/>
      <c r="TP23" s="272"/>
      <c r="TQ23" s="272"/>
      <c r="TR23" s="272"/>
      <c r="TS23" s="272"/>
      <c r="TT23" s="272"/>
      <c r="TU23" s="272"/>
      <c r="TV23" s="272"/>
      <c r="TW23" s="272"/>
      <c r="TX23" s="272"/>
      <c r="TY23" s="272"/>
      <c r="TZ23" s="272"/>
      <c r="UA23" s="272"/>
      <c r="UB23" s="272"/>
      <c r="UC23" s="272"/>
      <c r="UD23" s="272"/>
      <c r="UE23" s="272"/>
      <c r="UF23" s="272"/>
      <c r="UG23" s="272"/>
      <c r="UH23" s="272"/>
      <c r="UI23" s="272"/>
      <c r="UJ23" s="272"/>
      <c r="UK23" s="272"/>
      <c r="UL23" s="272"/>
      <c r="UM23" s="272"/>
      <c r="UN23" s="272"/>
      <c r="UO23" s="272"/>
      <c r="UP23" s="272"/>
      <c r="UQ23" s="272"/>
      <c r="UR23" s="272"/>
      <c r="US23" s="272"/>
      <c r="UT23" s="272"/>
      <c r="UU23" s="272"/>
      <c r="UV23" s="272"/>
      <c r="UW23" s="272"/>
      <c r="UX23" s="272"/>
      <c r="UY23" s="272"/>
      <c r="UZ23" s="272"/>
      <c r="VA23" s="272"/>
      <c r="VB23" s="272"/>
      <c r="VC23" s="272"/>
      <c r="VD23" s="272"/>
      <c r="VE23" s="272"/>
      <c r="VF23" s="272"/>
      <c r="VG23" s="272"/>
      <c r="VH23" s="272"/>
      <c r="VI23" s="272"/>
      <c r="VJ23" s="272"/>
      <c r="VK23" s="272"/>
      <c r="VL23" s="272"/>
      <c r="VM23" s="272"/>
      <c r="VN23" s="272"/>
      <c r="VO23" s="272"/>
      <c r="VP23" s="272"/>
      <c r="VQ23" s="272"/>
      <c r="VR23" s="272"/>
      <c r="VS23" s="272"/>
      <c r="VT23" s="272"/>
      <c r="VU23" s="272"/>
      <c r="VV23" s="272"/>
      <c r="VW23" s="272"/>
      <c r="VX23" s="272"/>
      <c r="VY23" s="272"/>
      <c r="VZ23" s="272"/>
      <c r="WA23" s="272"/>
      <c r="WB23" s="272"/>
      <c r="WC23" s="272"/>
      <c r="WD23" s="272"/>
      <c r="WE23" s="272"/>
      <c r="WF23" s="272"/>
      <c r="WG23" s="272"/>
      <c r="WH23" s="272"/>
      <c r="WI23" s="272"/>
      <c r="WJ23" s="272"/>
      <c r="WK23" s="272"/>
      <c r="WL23" s="272"/>
      <c r="WM23" s="272"/>
      <c r="WN23" s="272"/>
      <c r="WO23" s="272"/>
      <c r="WP23" s="272"/>
      <c r="WQ23" s="272"/>
      <c r="WR23" s="272"/>
      <c r="WS23" s="272"/>
      <c r="WT23" s="272"/>
      <c r="WU23" s="272"/>
      <c r="WV23" s="272"/>
      <c r="WW23" s="272"/>
      <c r="WX23" s="272"/>
      <c r="WY23" s="272"/>
      <c r="WZ23" s="272"/>
      <c r="XA23" s="272"/>
      <c r="XB23" s="272"/>
      <c r="XC23" s="272"/>
      <c r="XD23" s="272"/>
      <c r="XE23" s="272"/>
      <c r="XF23" s="272"/>
      <c r="XG23" s="272"/>
      <c r="XH23" s="272"/>
      <c r="XI23" s="272"/>
      <c r="XJ23" s="272"/>
      <c r="XK23" s="272"/>
      <c r="XL23" s="272"/>
      <c r="XM23" s="272"/>
      <c r="XN23" s="272"/>
      <c r="XO23" s="272"/>
      <c r="XP23" s="272"/>
      <c r="XQ23" s="272"/>
      <c r="XR23" s="272"/>
      <c r="XS23" s="272"/>
      <c r="XT23" s="272"/>
      <c r="XU23" s="272"/>
      <c r="XV23" s="272"/>
      <c r="XW23" s="272"/>
      <c r="XX23" s="272"/>
      <c r="XY23" s="272"/>
      <c r="XZ23" s="272"/>
      <c r="YA23" s="272"/>
      <c r="YB23" s="272"/>
      <c r="YC23" s="272"/>
      <c r="YD23" s="272"/>
      <c r="YE23" s="272"/>
      <c r="YF23" s="272"/>
      <c r="YG23" s="272"/>
      <c r="YH23" s="272"/>
      <c r="YI23" s="272"/>
      <c r="YJ23" s="272"/>
      <c r="YK23" s="272"/>
      <c r="YL23" s="272"/>
      <c r="YM23" s="272"/>
      <c r="YN23" s="272"/>
      <c r="YO23" s="272"/>
      <c r="YP23" s="272"/>
      <c r="YQ23" s="272"/>
      <c r="YR23" s="272"/>
      <c r="YS23" s="272"/>
      <c r="YT23" s="272"/>
      <c r="YU23" s="272"/>
      <c r="YV23" s="272"/>
      <c r="YW23" s="272"/>
      <c r="YX23" s="272"/>
      <c r="YY23" s="272"/>
      <c r="YZ23" s="272"/>
      <c r="ZA23" s="272"/>
      <c r="ZB23" s="272"/>
      <c r="ZC23" s="272"/>
      <c r="ZD23" s="272"/>
      <c r="ZE23" s="272"/>
      <c r="ZF23" s="272"/>
      <c r="ZG23" s="272"/>
      <c r="ZH23" s="272"/>
      <c r="ZI23" s="272"/>
      <c r="ZJ23" s="272"/>
      <c r="ZK23" s="272"/>
      <c r="ZL23" s="272"/>
      <c r="ZM23" s="272"/>
      <c r="ZN23" s="272"/>
      <c r="ZO23" s="272"/>
      <c r="ZP23" s="272"/>
      <c r="ZQ23" s="272"/>
      <c r="ZR23" s="272"/>
      <c r="ZS23" s="272"/>
      <c r="ZT23" s="272"/>
    </row>
    <row r="24" spans="1:696" s="19" customFormat="1" ht="15">
      <c r="A24" s="44"/>
      <c r="B24" s="44"/>
      <c r="C24" s="24" t="s">
        <v>53</v>
      </c>
      <c r="D24" s="508"/>
      <c r="E24" s="532"/>
      <c r="F24" s="509"/>
      <c r="G24" s="506"/>
      <c r="H24" s="506"/>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2"/>
      <c r="CU24" s="272"/>
      <c r="CV24" s="272"/>
      <c r="CW24" s="272"/>
      <c r="CX24" s="272"/>
      <c r="CY24" s="272"/>
      <c r="CZ24" s="272"/>
      <c r="DA24" s="272"/>
      <c r="DB24" s="272"/>
      <c r="DC24" s="272"/>
      <c r="DD24" s="272"/>
      <c r="DE24" s="272"/>
      <c r="DF24" s="272"/>
      <c r="DG24" s="272"/>
      <c r="DH24" s="272"/>
      <c r="DI24" s="272"/>
      <c r="DJ24" s="272"/>
      <c r="DK24" s="272"/>
      <c r="DL24" s="272"/>
      <c r="DM24" s="272"/>
      <c r="DN24" s="272"/>
      <c r="DO24" s="272"/>
      <c r="DP24" s="272"/>
      <c r="DQ24" s="272"/>
      <c r="DR24" s="272"/>
      <c r="DS24" s="272"/>
      <c r="DT24" s="272"/>
      <c r="DU24" s="272"/>
      <c r="DV24" s="272"/>
      <c r="DW24" s="272"/>
      <c r="DX24" s="272"/>
      <c r="DY24" s="272"/>
      <c r="DZ24" s="272"/>
      <c r="EA24" s="272"/>
      <c r="EB24" s="272"/>
      <c r="EC24" s="272"/>
      <c r="ED24" s="272"/>
      <c r="EE24" s="272"/>
      <c r="EF24" s="272"/>
      <c r="EG24" s="272"/>
      <c r="EH24" s="272"/>
      <c r="EI24" s="272"/>
      <c r="EJ24" s="272"/>
      <c r="EK24" s="272"/>
      <c r="EL24" s="272"/>
      <c r="EM24" s="272"/>
      <c r="EN24" s="272"/>
      <c r="EO24" s="272"/>
      <c r="EP24" s="272"/>
      <c r="EQ24" s="272"/>
      <c r="ER24" s="272"/>
      <c r="ES24" s="272"/>
      <c r="ET24" s="272"/>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c r="FT24" s="272"/>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c r="HA24" s="272"/>
      <c r="HB24" s="272"/>
      <c r="HC24" s="272"/>
      <c r="HD24" s="272"/>
      <c r="HE24" s="272"/>
      <c r="HF24" s="272"/>
      <c r="HG24" s="272"/>
      <c r="HH24" s="272"/>
      <c r="HI24" s="272"/>
      <c r="HJ24" s="272"/>
      <c r="HK24" s="272"/>
      <c r="HL24" s="272"/>
      <c r="HM24" s="272"/>
      <c r="HN24" s="272"/>
      <c r="HO24" s="272"/>
      <c r="HP24" s="272"/>
      <c r="HQ24" s="272"/>
      <c r="HR24" s="272"/>
      <c r="HS24" s="272"/>
      <c r="HT24" s="272"/>
      <c r="HU24" s="272"/>
      <c r="HV24" s="272"/>
      <c r="HW24" s="272"/>
      <c r="HX24" s="272"/>
      <c r="HY24" s="272"/>
      <c r="HZ24" s="272"/>
      <c r="IA24" s="272"/>
      <c r="IB24" s="272"/>
      <c r="IC24" s="272"/>
      <c r="ID24" s="272"/>
      <c r="IE24" s="272"/>
      <c r="IF24" s="272"/>
      <c r="IG24" s="272"/>
      <c r="IH24" s="272"/>
      <c r="II24" s="272"/>
      <c r="IJ24" s="272"/>
      <c r="IK24" s="272"/>
      <c r="IL24" s="272"/>
      <c r="IM24" s="272"/>
      <c r="IN24" s="272"/>
      <c r="IO24" s="272"/>
      <c r="IP24" s="272"/>
      <c r="IQ24" s="272"/>
      <c r="IR24" s="272"/>
      <c r="IS24" s="272"/>
      <c r="IT24" s="272"/>
      <c r="IU24" s="272"/>
      <c r="IV24" s="272"/>
      <c r="IW24" s="272"/>
      <c r="IX24" s="272"/>
      <c r="IY24" s="272"/>
      <c r="IZ24" s="272"/>
      <c r="JA24" s="272"/>
      <c r="JB24" s="272"/>
      <c r="JC24" s="272"/>
      <c r="JD24" s="272"/>
      <c r="JE24" s="272"/>
      <c r="JF24" s="272"/>
      <c r="JG24" s="272"/>
      <c r="JH24" s="272"/>
      <c r="JI24" s="272"/>
      <c r="JJ24" s="272"/>
      <c r="JK24" s="272"/>
      <c r="JL24" s="272"/>
      <c r="JM24" s="272"/>
      <c r="JN24" s="272"/>
      <c r="JO24" s="272"/>
      <c r="JP24" s="272"/>
      <c r="JQ24" s="272"/>
      <c r="JR24" s="272"/>
      <c r="JS24" s="272"/>
      <c r="JT24" s="272"/>
      <c r="JU24" s="272"/>
      <c r="JV24" s="272"/>
      <c r="JW24" s="272"/>
      <c r="JX24" s="272"/>
      <c r="JY24" s="272"/>
      <c r="JZ24" s="272"/>
      <c r="KA24" s="272"/>
      <c r="KB24" s="272"/>
      <c r="KC24" s="272"/>
      <c r="KD24" s="272"/>
      <c r="KE24" s="272"/>
      <c r="KF24" s="272"/>
      <c r="KG24" s="272"/>
      <c r="KH24" s="272"/>
      <c r="KI24" s="272"/>
      <c r="KJ24" s="272"/>
      <c r="KK24" s="272"/>
      <c r="KL24" s="272"/>
      <c r="KM24" s="272"/>
      <c r="KN24" s="272"/>
      <c r="KO24" s="272"/>
      <c r="KP24" s="272"/>
      <c r="KQ24" s="272"/>
      <c r="KR24" s="272"/>
      <c r="KS24" s="272"/>
      <c r="KT24" s="272"/>
      <c r="KU24" s="272"/>
      <c r="KV24" s="272"/>
      <c r="KW24" s="272"/>
      <c r="KX24" s="272"/>
      <c r="KY24" s="272"/>
      <c r="KZ24" s="272"/>
      <c r="LA24" s="272"/>
      <c r="LB24" s="272"/>
      <c r="LC24" s="272"/>
      <c r="LD24" s="272"/>
      <c r="LE24" s="272"/>
      <c r="LF24" s="272"/>
      <c r="LG24" s="272"/>
      <c r="LH24" s="272"/>
      <c r="LI24" s="272"/>
      <c r="LJ24" s="272"/>
      <c r="LK24" s="272"/>
      <c r="LL24" s="272"/>
      <c r="LM24" s="272"/>
      <c r="LN24" s="272"/>
      <c r="LO24" s="272"/>
      <c r="LP24" s="272"/>
      <c r="LQ24" s="272"/>
      <c r="LR24" s="272"/>
      <c r="LS24" s="272"/>
      <c r="LT24" s="272"/>
      <c r="LU24" s="272"/>
      <c r="LV24" s="272"/>
      <c r="LW24" s="272"/>
      <c r="LX24" s="272"/>
      <c r="LY24" s="272"/>
      <c r="LZ24" s="272"/>
      <c r="MA24" s="272"/>
      <c r="MB24" s="272"/>
      <c r="MC24" s="272"/>
      <c r="MD24" s="272"/>
      <c r="ME24" s="272"/>
      <c r="MF24" s="272"/>
      <c r="MG24" s="272"/>
      <c r="MH24" s="272"/>
      <c r="MI24" s="272"/>
      <c r="MJ24" s="272"/>
      <c r="MK24" s="272"/>
      <c r="ML24" s="272"/>
      <c r="MM24" s="272"/>
      <c r="MN24" s="272"/>
      <c r="MO24" s="272"/>
      <c r="MP24" s="272"/>
      <c r="MQ24" s="272"/>
      <c r="MR24" s="272"/>
      <c r="MS24" s="272"/>
      <c r="MT24" s="272"/>
      <c r="MU24" s="272"/>
      <c r="MV24" s="272"/>
      <c r="MW24" s="272"/>
      <c r="MX24" s="272"/>
      <c r="MY24" s="272"/>
      <c r="MZ24" s="272"/>
      <c r="NA24" s="272"/>
      <c r="NB24" s="272"/>
      <c r="NC24" s="272"/>
      <c r="ND24" s="272"/>
      <c r="NE24" s="272"/>
      <c r="NF24" s="272"/>
      <c r="NG24" s="272"/>
      <c r="NH24" s="272"/>
      <c r="NI24" s="272"/>
      <c r="NJ24" s="272"/>
      <c r="NK24" s="272"/>
      <c r="NL24" s="272"/>
      <c r="NM24" s="272"/>
      <c r="NN24" s="272"/>
      <c r="NO24" s="272"/>
      <c r="NP24" s="272"/>
      <c r="NQ24" s="272"/>
      <c r="NR24" s="272"/>
      <c r="NS24" s="272"/>
      <c r="NT24" s="272"/>
      <c r="NU24" s="272"/>
      <c r="NV24" s="272"/>
      <c r="NW24" s="272"/>
      <c r="NX24" s="272"/>
      <c r="NY24" s="272"/>
      <c r="NZ24" s="272"/>
      <c r="OA24" s="272"/>
      <c r="OB24" s="272"/>
      <c r="OC24" s="272"/>
      <c r="OD24" s="272"/>
      <c r="OE24" s="272"/>
      <c r="OF24" s="272"/>
      <c r="OG24" s="272"/>
      <c r="OH24" s="272"/>
      <c r="OI24" s="272"/>
      <c r="OJ24" s="272"/>
      <c r="OK24" s="272"/>
      <c r="OL24" s="272"/>
      <c r="OM24" s="272"/>
      <c r="ON24" s="272"/>
      <c r="OO24" s="272"/>
      <c r="OP24" s="272"/>
      <c r="OQ24" s="272"/>
      <c r="OR24" s="272"/>
      <c r="OS24" s="272"/>
      <c r="OT24" s="272"/>
      <c r="OU24" s="272"/>
      <c r="OV24" s="272"/>
      <c r="OW24" s="272"/>
      <c r="OX24" s="272"/>
      <c r="OY24" s="272"/>
      <c r="OZ24" s="272"/>
      <c r="PA24" s="272"/>
      <c r="PB24" s="272"/>
      <c r="PC24" s="272"/>
      <c r="PD24" s="272"/>
      <c r="PE24" s="272"/>
      <c r="PF24" s="272"/>
      <c r="PG24" s="272"/>
      <c r="PH24" s="272"/>
      <c r="PI24" s="272"/>
      <c r="PJ24" s="272"/>
      <c r="PK24" s="272"/>
      <c r="PL24" s="272"/>
      <c r="PM24" s="272"/>
      <c r="PN24" s="272"/>
      <c r="PO24" s="272"/>
      <c r="PP24" s="272"/>
      <c r="PQ24" s="272"/>
      <c r="PR24" s="272"/>
      <c r="PS24" s="272"/>
      <c r="PT24" s="272"/>
      <c r="PU24" s="272"/>
      <c r="PV24" s="272"/>
      <c r="PW24" s="272"/>
      <c r="PX24" s="272"/>
      <c r="PY24" s="272"/>
      <c r="PZ24" s="272"/>
      <c r="QA24" s="272"/>
      <c r="QB24" s="272"/>
      <c r="QC24" s="272"/>
      <c r="QD24" s="272"/>
      <c r="QE24" s="272"/>
      <c r="QF24" s="272"/>
      <c r="QG24" s="272"/>
      <c r="QH24" s="272"/>
      <c r="QI24" s="272"/>
      <c r="QJ24" s="272"/>
      <c r="QK24" s="272"/>
      <c r="QL24" s="272"/>
      <c r="QM24" s="272"/>
      <c r="QN24" s="272"/>
      <c r="QO24" s="272"/>
      <c r="QP24" s="272"/>
      <c r="QQ24" s="272"/>
      <c r="QR24" s="272"/>
      <c r="QS24" s="272"/>
      <c r="QT24" s="272"/>
      <c r="QU24" s="272"/>
      <c r="QV24" s="272"/>
      <c r="QW24" s="272"/>
      <c r="QX24" s="272"/>
      <c r="QY24" s="272"/>
      <c r="QZ24" s="272"/>
      <c r="RA24" s="272"/>
      <c r="RB24" s="272"/>
      <c r="RC24" s="272"/>
      <c r="RD24" s="272"/>
      <c r="RE24" s="272"/>
      <c r="RF24" s="272"/>
      <c r="RG24" s="272"/>
      <c r="RH24" s="272"/>
      <c r="RI24" s="272"/>
      <c r="RJ24" s="272"/>
      <c r="RK24" s="272"/>
      <c r="RL24" s="272"/>
      <c r="RM24" s="272"/>
      <c r="RN24" s="272"/>
      <c r="RO24" s="272"/>
      <c r="RP24" s="272"/>
      <c r="RQ24" s="272"/>
      <c r="RR24" s="272"/>
      <c r="RS24" s="272"/>
      <c r="RT24" s="272"/>
      <c r="RU24" s="272"/>
      <c r="RV24" s="272"/>
      <c r="RW24" s="272"/>
      <c r="RX24" s="272"/>
      <c r="RY24" s="272"/>
      <c r="RZ24" s="272"/>
      <c r="SA24" s="272"/>
      <c r="SB24" s="272"/>
      <c r="SC24" s="272"/>
      <c r="SD24" s="272"/>
      <c r="SE24" s="272"/>
      <c r="SF24" s="272"/>
      <c r="SG24" s="272"/>
      <c r="SH24" s="272"/>
      <c r="SI24" s="272"/>
      <c r="SJ24" s="272"/>
      <c r="SK24" s="272"/>
      <c r="SL24" s="272"/>
      <c r="SM24" s="272"/>
      <c r="SN24" s="272"/>
      <c r="SO24" s="272"/>
      <c r="SP24" s="272"/>
      <c r="SQ24" s="272"/>
      <c r="SR24" s="272"/>
      <c r="SS24" s="272"/>
      <c r="ST24" s="272"/>
      <c r="SU24" s="272"/>
      <c r="SV24" s="272"/>
      <c r="SW24" s="272"/>
      <c r="SX24" s="272"/>
      <c r="SY24" s="272"/>
      <c r="SZ24" s="272"/>
      <c r="TA24" s="272"/>
      <c r="TB24" s="272"/>
      <c r="TC24" s="272"/>
      <c r="TD24" s="272"/>
      <c r="TE24" s="272"/>
      <c r="TF24" s="272"/>
      <c r="TG24" s="272"/>
      <c r="TH24" s="272"/>
      <c r="TI24" s="272"/>
      <c r="TJ24" s="272"/>
      <c r="TK24" s="272"/>
      <c r="TL24" s="272"/>
      <c r="TM24" s="272"/>
      <c r="TN24" s="272"/>
      <c r="TO24" s="272"/>
      <c r="TP24" s="272"/>
      <c r="TQ24" s="272"/>
      <c r="TR24" s="272"/>
      <c r="TS24" s="272"/>
      <c r="TT24" s="272"/>
      <c r="TU24" s="272"/>
      <c r="TV24" s="272"/>
      <c r="TW24" s="272"/>
      <c r="TX24" s="272"/>
      <c r="TY24" s="272"/>
      <c r="TZ24" s="272"/>
      <c r="UA24" s="272"/>
      <c r="UB24" s="272"/>
      <c r="UC24" s="272"/>
      <c r="UD24" s="272"/>
      <c r="UE24" s="272"/>
      <c r="UF24" s="272"/>
      <c r="UG24" s="272"/>
      <c r="UH24" s="272"/>
      <c r="UI24" s="272"/>
      <c r="UJ24" s="272"/>
      <c r="UK24" s="272"/>
      <c r="UL24" s="272"/>
      <c r="UM24" s="272"/>
      <c r="UN24" s="272"/>
      <c r="UO24" s="272"/>
      <c r="UP24" s="272"/>
      <c r="UQ24" s="272"/>
      <c r="UR24" s="272"/>
      <c r="US24" s="272"/>
      <c r="UT24" s="272"/>
      <c r="UU24" s="272"/>
      <c r="UV24" s="272"/>
      <c r="UW24" s="272"/>
      <c r="UX24" s="272"/>
      <c r="UY24" s="272"/>
      <c r="UZ24" s="272"/>
      <c r="VA24" s="272"/>
      <c r="VB24" s="272"/>
      <c r="VC24" s="272"/>
      <c r="VD24" s="272"/>
      <c r="VE24" s="272"/>
      <c r="VF24" s="272"/>
      <c r="VG24" s="272"/>
      <c r="VH24" s="272"/>
      <c r="VI24" s="272"/>
      <c r="VJ24" s="272"/>
      <c r="VK24" s="272"/>
      <c r="VL24" s="272"/>
      <c r="VM24" s="272"/>
      <c r="VN24" s="272"/>
      <c r="VO24" s="272"/>
      <c r="VP24" s="272"/>
      <c r="VQ24" s="272"/>
      <c r="VR24" s="272"/>
      <c r="VS24" s="272"/>
      <c r="VT24" s="272"/>
      <c r="VU24" s="272"/>
      <c r="VV24" s="272"/>
      <c r="VW24" s="272"/>
      <c r="VX24" s="272"/>
      <c r="VY24" s="272"/>
      <c r="VZ24" s="272"/>
      <c r="WA24" s="272"/>
      <c r="WB24" s="272"/>
      <c r="WC24" s="272"/>
      <c r="WD24" s="272"/>
      <c r="WE24" s="272"/>
      <c r="WF24" s="272"/>
      <c r="WG24" s="272"/>
      <c r="WH24" s="272"/>
      <c r="WI24" s="272"/>
      <c r="WJ24" s="272"/>
      <c r="WK24" s="272"/>
      <c r="WL24" s="272"/>
      <c r="WM24" s="272"/>
      <c r="WN24" s="272"/>
      <c r="WO24" s="272"/>
      <c r="WP24" s="272"/>
      <c r="WQ24" s="272"/>
      <c r="WR24" s="272"/>
      <c r="WS24" s="272"/>
      <c r="WT24" s="272"/>
      <c r="WU24" s="272"/>
      <c r="WV24" s="272"/>
      <c r="WW24" s="272"/>
      <c r="WX24" s="272"/>
      <c r="WY24" s="272"/>
      <c r="WZ24" s="272"/>
      <c r="XA24" s="272"/>
      <c r="XB24" s="272"/>
      <c r="XC24" s="272"/>
      <c r="XD24" s="272"/>
      <c r="XE24" s="272"/>
      <c r="XF24" s="272"/>
      <c r="XG24" s="272"/>
      <c r="XH24" s="272"/>
      <c r="XI24" s="272"/>
      <c r="XJ24" s="272"/>
      <c r="XK24" s="272"/>
      <c r="XL24" s="272"/>
      <c r="XM24" s="272"/>
      <c r="XN24" s="272"/>
      <c r="XO24" s="272"/>
      <c r="XP24" s="272"/>
      <c r="XQ24" s="272"/>
      <c r="XR24" s="272"/>
      <c r="XS24" s="272"/>
      <c r="XT24" s="272"/>
      <c r="XU24" s="272"/>
      <c r="XV24" s="272"/>
      <c r="XW24" s="272"/>
      <c r="XX24" s="272"/>
      <c r="XY24" s="272"/>
      <c r="XZ24" s="272"/>
      <c r="YA24" s="272"/>
      <c r="YB24" s="272"/>
      <c r="YC24" s="272"/>
      <c r="YD24" s="272"/>
      <c r="YE24" s="272"/>
      <c r="YF24" s="272"/>
      <c r="YG24" s="272"/>
      <c r="YH24" s="272"/>
      <c r="YI24" s="272"/>
      <c r="YJ24" s="272"/>
      <c r="YK24" s="272"/>
      <c r="YL24" s="272"/>
      <c r="YM24" s="272"/>
      <c r="YN24" s="272"/>
      <c r="YO24" s="272"/>
      <c r="YP24" s="272"/>
      <c r="YQ24" s="272"/>
      <c r="YR24" s="272"/>
      <c r="YS24" s="272"/>
      <c r="YT24" s="272"/>
      <c r="YU24" s="272"/>
      <c r="YV24" s="272"/>
      <c r="YW24" s="272"/>
      <c r="YX24" s="272"/>
      <c r="YY24" s="272"/>
      <c r="YZ24" s="272"/>
      <c r="ZA24" s="272"/>
      <c r="ZB24" s="272"/>
      <c r="ZC24" s="272"/>
      <c r="ZD24" s="272"/>
      <c r="ZE24" s="272"/>
      <c r="ZF24" s="272"/>
      <c r="ZG24" s="272"/>
      <c r="ZH24" s="272"/>
      <c r="ZI24" s="272"/>
      <c r="ZJ24" s="272"/>
      <c r="ZK24" s="272"/>
      <c r="ZL24" s="272"/>
      <c r="ZM24" s="272"/>
      <c r="ZN24" s="272"/>
      <c r="ZO24" s="272"/>
      <c r="ZP24" s="272"/>
      <c r="ZQ24" s="272"/>
      <c r="ZR24" s="272"/>
      <c r="ZS24" s="272"/>
      <c r="ZT24" s="272"/>
    </row>
    <row r="25" spans="1:696" s="19" customFormat="1" ht="15">
      <c r="A25" s="44"/>
      <c r="B25" s="72"/>
      <c r="C25" s="24" t="s">
        <v>54</v>
      </c>
      <c r="D25" s="505"/>
      <c r="E25" s="532"/>
      <c r="F25" s="509"/>
      <c r="G25" s="506"/>
      <c r="H25" s="506"/>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c r="DJ25" s="272"/>
      <c r="DK25" s="272"/>
      <c r="DL25" s="272"/>
      <c r="DM25" s="272"/>
      <c r="DN25" s="272"/>
      <c r="DO25" s="272"/>
      <c r="DP25" s="272"/>
      <c r="DQ25" s="272"/>
      <c r="DR25" s="272"/>
      <c r="DS25" s="272"/>
      <c r="DT25" s="272"/>
      <c r="DU25" s="272"/>
      <c r="DV25" s="272"/>
      <c r="DW25" s="272"/>
      <c r="DX25" s="272"/>
      <c r="DY25" s="272"/>
      <c r="DZ25" s="272"/>
      <c r="EA25" s="272"/>
      <c r="EB25" s="272"/>
      <c r="EC25" s="272"/>
      <c r="ED25" s="272"/>
      <c r="EE25" s="272"/>
      <c r="EF25" s="272"/>
      <c r="EG25" s="272"/>
      <c r="EH25" s="272"/>
      <c r="EI25" s="272"/>
      <c r="EJ25" s="272"/>
      <c r="EK25" s="272"/>
      <c r="EL25" s="272"/>
      <c r="EM25" s="272"/>
      <c r="EN25" s="272"/>
      <c r="EO25" s="272"/>
      <c r="EP25" s="272"/>
      <c r="EQ25" s="272"/>
      <c r="ER25" s="272"/>
      <c r="ES25" s="272"/>
      <c r="ET25" s="272"/>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c r="FT25" s="272"/>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c r="IO25" s="272"/>
      <c r="IP25" s="272"/>
      <c r="IQ25" s="272"/>
      <c r="IR25" s="272"/>
      <c r="IS25" s="272"/>
      <c r="IT25" s="272"/>
      <c r="IU25" s="272"/>
      <c r="IV25" s="272"/>
      <c r="IW25" s="272"/>
      <c r="IX25" s="272"/>
      <c r="IY25" s="272"/>
      <c r="IZ25" s="272"/>
      <c r="JA25" s="272"/>
      <c r="JB25" s="272"/>
      <c r="JC25" s="272"/>
      <c r="JD25" s="272"/>
      <c r="JE25" s="272"/>
      <c r="JF25" s="272"/>
      <c r="JG25" s="272"/>
      <c r="JH25" s="272"/>
      <c r="JI25" s="272"/>
      <c r="JJ25" s="272"/>
      <c r="JK25" s="272"/>
      <c r="JL25" s="272"/>
      <c r="JM25" s="272"/>
      <c r="JN25" s="272"/>
      <c r="JO25" s="272"/>
      <c r="JP25" s="272"/>
      <c r="JQ25" s="272"/>
      <c r="JR25" s="272"/>
      <c r="JS25" s="272"/>
      <c r="JT25" s="272"/>
      <c r="JU25" s="272"/>
      <c r="JV25" s="272"/>
      <c r="JW25" s="272"/>
      <c r="JX25" s="272"/>
      <c r="JY25" s="272"/>
      <c r="JZ25" s="272"/>
      <c r="KA25" s="272"/>
      <c r="KB25" s="272"/>
      <c r="KC25" s="272"/>
      <c r="KD25" s="272"/>
      <c r="KE25" s="272"/>
      <c r="KF25" s="272"/>
      <c r="KG25" s="272"/>
      <c r="KH25" s="272"/>
      <c r="KI25" s="272"/>
      <c r="KJ25" s="272"/>
      <c r="KK25" s="272"/>
      <c r="KL25" s="272"/>
      <c r="KM25" s="272"/>
      <c r="KN25" s="272"/>
      <c r="KO25" s="272"/>
      <c r="KP25" s="272"/>
      <c r="KQ25" s="272"/>
      <c r="KR25" s="272"/>
      <c r="KS25" s="272"/>
      <c r="KT25" s="272"/>
      <c r="KU25" s="272"/>
      <c r="KV25" s="272"/>
      <c r="KW25" s="272"/>
      <c r="KX25" s="272"/>
      <c r="KY25" s="272"/>
      <c r="KZ25" s="272"/>
      <c r="LA25" s="272"/>
      <c r="LB25" s="272"/>
      <c r="LC25" s="272"/>
      <c r="LD25" s="272"/>
      <c r="LE25" s="272"/>
      <c r="LF25" s="272"/>
      <c r="LG25" s="272"/>
      <c r="LH25" s="272"/>
      <c r="LI25" s="272"/>
      <c r="LJ25" s="272"/>
      <c r="LK25" s="272"/>
      <c r="LL25" s="272"/>
      <c r="LM25" s="272"/>
      <c r="LN25" s="272"/>
      <c r="LO25" s="272"/>
      <c r="LP25" s="272"/>
      <c r="LQ25" s="272"/>
      <c r="LR25" s="272"/>
      <c r="LS25" s="272"/>
      <c r="LT25" s="272"/>
      <c r="LU25" s="272"/>
      <c r="LV25" s="272"/>
      <c r="LW25" s="272"/>
      <c r="LX25" s="272"/>
      <c r="LY25" s="272"/>
      <c r="LZ25" s="272"/>
      <c r="MA25" s="272"/>
      <c r="MB25" s="272"/>
      <c r="MC25" s="272"/>
      <c r="MD25" s="272"/>
      <c r="ME25" s="272"/>
      <c r="MF25" s="272"/>
      <c r="MG25" s="272"/>
      <c r="MH25" s="272"/>
      <c r="MI25" s="272"/>
      <c r="MJ25" s="272"/>
      <c r="MK25" s="272"/>
      <c r="ML25" s="272"/>
      <c r="MM25" s="272"/>
      <c r="MN25" s="272"/>
      <c r="MO25" s="272"/>
      <c r="MP25" s="272"/>
      <c r="MQ25" s="272"/>
      <c r="MR25" s="272"/>
      <c r="MS25" s="272"/>
      <c r="MT25" s="272"/>
      <c r="MU25" s="272"/>
      <c r="MV25" s="272"/>
      <c r="MW25" s="272"/>
      <c r="MX25" s="272"/>
      <c r="MY25" s="272"/>
      <c r="MZ25" s="272"/>
      <c r="NA25" s="272"/>
      <c r="NB25" s="272"/>
      <c r="NC25" s="272"/>
      <c r="ND25" s="272"/>
      <c r="NE25" s="272"/>
      <c r="NF25" s="272"/>
      <c r="NG25" s="272"/>
      <c r="NH25" s="272"/>
      <c r="NI25" s="272"/>
      <c r="NJ25" s="272"/>
      <c r="NK25" s="272"/>
      <c r="NL25" s="272"/>
      <c r="NM25" s="272"/>
      <c r="NN25" s="272"/>
      <c r="NO25" s="272"/>
      <c r="NP25" s="272"/>
      <c r="NQ25" s="272"/>
      <c r="NR25" s="272"/>
      <c r="NS25" s="272"/>
      <c r="NT25" s="272"/>
      <c r="NU25" s="272"/>
      <c r="NV25" s="272"/>
      <c r="NW25" s="272"/>
      <c r="NX25" s="272"/>
      <c r="NY25" s="272"/>
      <c r="NZ25" s="272"/>
      <c r="OA25" s="272"/>
      <c r="OB25" s="272"/>
      <c r="OC25" s="272"/>
      <c r="OD25" s="272"/>
      <c r="OE25" s="272"/>
      <c r="OF25" s="272"/>
      <c r="OG25" s="272"/>
      <c r="OH25" s="272"/>
      <c r="OI25" s="272"/>
      <c r="OJ25" s="272"/>
      <c r="OK25" s="272"/>
      <c r="OL25" s="272"/>
      <c r="OM25" s="272"/>
      <c r="ON25" s="272"/>
      <c r="OO25" s="272"/>
      <c r="OP25" s="272"/>
      <c r="OQ25" s="272"/>
      <c r="OR25" s="272"/>
      <c r="OS25" s="272"/>
      <c r="OT25" s="272"/>
      <c r="OU25" s="272"/>
      <c r="OV25" s="272"/>
      <c r="OW25" s="272"/>
      <c r="OX25" s="272"/>
      <c r="OY25" s="272"/>
      <c r="OZ25" s="272"/>
      <c r="PA25" s="272"/>
      <c r="PB25" s="272"/>
      <c r="PC25" s="272"/>
      <c r="PD25" s="272"/>
      <c r="PE25" s="272"/>
      <c r="PF25" s="272"/>
      <c r="PG25" s="272"/>
      <c r="PH25" s="272"/>
      <c r="PI25" s="272"/>
      <c r="PJ25" s="272"/>
      <c r="PK25" s="272"/>
      <c r="PL25" s="272"/>
      <c r="PM25" s="272"/>
      <c r="PN25" s="272"/>
      <c r="PO25" s="272"/>
      <c r="PP25" s="272"/>
      <c r="PQ25" s="272"/>
      <c r="PR25" s="272"/>
      <c r="PS25" s="272"/>
      <c r="PT25" s="272"/>
      <c r="PU25" s="272"/>
      <c r="PV25" s="272"/>
      <c r="PW25" s="272"/>
      <c r="PX25" s="272"/>
      <c r="PY25" s="272"/>
      <c r="PZ25" s="272"/>
      <c r="QA25" s="272"/>
      <c r="QB25" s="272"/>
      <c r="QC25" s="272"/>
      <c r="QD25" s="272"/>
      <c r="QE25" s="272"/>
      <c r="QF25" s="272"/>
      <c r="QG25" s="272"/>
      <c r="QH25" s="272"/>
      <c r="QI25" s="272"/>
      <c r="QJ25" s="272"/>
      <c r="QK25" s="272"/>
      <c r="QL25" s="272"/>
      <c r="QM25" s="272"/>
      <c r="QN25" s="272"/>
      <c r="QO25" s="272"/>
      <c r="QP25" s="272"/>
      <c r="QQ25" s="272"/>
      <c r="QR25" s="272"/>
      <c r="QS25" s="272"/>
      <c r="QT25" s="272"/>
      <c r="QU25" s="272"/>
      <c r="QV25" s="272"/>
      <c r="QW25" s="272"/>
      <c r="QX25" s="272"/>
      <c r="QY25" s="272"/>
      <c r="QZ25" s="272"/>
      <c r="RA25" s="272"/>
      <c r="RB25" s="272"/>
      <c r="RC25" s="272"/>
      <c r="RD25" s="272"/>
      <c r="RE25" s="272"/>
      <c r="RF25" s="272"/>
      <c r="RG25" s="272"/>
      <c r="RH25" s="272"/>
      <c r="RI25" s="272"/>
      <c r="RJ25" s="272"/>
      <c r="RK25" s="272"/>
      <c r="RL25" s="272"/>
      <c r="RM25" s="272"/>
      <c r="RN25" s="272"/>
      <c r="RO25" s="272"/>
      <c r="RP25" s="272"/>
      <c r="RQ25" s="272"/>
      <c r="RR25" s="272"/>
      <c r="RS25" s="272"/>
      <c r="RT25" s="272"/>
      <c r="RU25" s="272"/>
      <c r="RV25" s="272"/>
      <c r="RW25" s="272"/>
      <c r="RX25" s="272"/>
      <c r="RY25" s="272"/>
      <c r="RZ25" s="272"/>
      <c r="SA25" s="272"/>
      <c r="SB25" s="272"/>
      <c r="SC25" s="272"/>
      <c r="SD25" s="272"/>
      <c r="SE25" s="272"/>
      <c r="SF25" s="272"/>
      <c r="SG25" s="272"/>
      <c r="SH25" s="272"/>
      <c r="SI25" s="272"/>
      <c r="SJ25" s="272"/>
      <c r="SK25" s="272"/>
      <c r="SL25" s="272"/>
      <c r="SM25" s="272"/>
      <c r="SN25" s="272"/>
      <c r="SO25" s="272"/>
      <c r="SP25" s="272"/>
      <c r="SQ25" s="272"/>
      <c r="SR25" s="272"/>
      <c r="SS25" s="272"/>
      <c r="ST25" s="272"/>
      <c r="SU25" s="272"/>
      <c r="SV25" s="272"/>
      <c r="SW25" s="272"/>
      <c r="SX25" s="272"/>
      <c r="SY25" s="272"/>
      <c r="SZ25" s="272"/>
      <c r="TA25" s="272"/>
      <c r="TB25" s="272"/>
      <c r="TC25" s="272"/>
      <c r="TD25" s="272"/>
      <c r="TE25" s="272"/>
      <c r="TF25" s="272"/>
      <c r="TG25" s="272"/>
      <c r="TH25" s="272"/>
      <c r="TI25" s="272"/>
      <c r="TJ25" s="272"/>
      <c r="TK25" s="272"/>
      <c r="TL25" s="272"/>
      <c r="TM25" s="272"/>
      <c r="TN25" s="272"/>
      <c r="TO25" s="272"/>
      <c r="TP25" s="272"/>
      <c r="TQ25" s="272"/>
      <c r="TR25" s="272"/>
      <c r="TS25" s="272"/>
      <c r="TT25" s="272"/>
      <c r="TU25" s="272"/>
      <c r="TV25" s="272"/>
      <c r="TW25" s="272"/>
      <c r="TX25" s="272"/>
      <c r="TY25" s="272"/>
      <c r="TZ25" s="272"/>
      <c r="UA25" s="272"/>
      <c r="UB25" s="272"/>
      <c r="UC25" s="272"/>
      <c r="UD25" s="272"/>
      <c r="UE25" s="272"/>
      <c r="UF25" s="272"/>
      <c r="UG25" s="272"/>
      <c r="UH25" s="272"/>
      <c r="UI25" s="272"/>
      <c r="UJ25" s="272"/>
      <c r="UK25" s="272"/>
      <c r="UL25" s="272"/>
      <c r="UM25" s="272"/>
      <c r="UN25" s="272"/>
      <c r="UO25" s="272"/>
      <c r="UP25" s="272"/>
      <c r="UQ25" s="272"/>
      <c r="UR25" s="272"/>
      <c r="US25" s="272"/>
      <c r="UT25" s="272"/>
      <c r="UU25" s="272"/>
      <c r="UV25" s="272"/>
      <c r="UW25" s="272"/>
      <c r="UX25" s="272"/>
      <c r="UY25" s="272"/>
      <c r="UZ25" s="272"/>
      <c r="VA25" s="272"/>
      <c r="VB25" s="272"/>
      <c r="VC25" s="272"/>
      <c r="VD25" s="272"/>
      <c r="VE25" s="272"/>
      <c r="VF25" s="272"/>
      <c r="VG25" s="272"/>
      <c r="VH25" s="272"/>
      <c r="VI25" s="272"/>
      <c r="VJ25" s="272"/>
      <c r="VK25" s="272"/>
      <c r="VL25" s="272"/>
      <c r="VM25" s="272"/>
      <c r="VN25" s="272"/>
      <c r="VO25" s="272"/>
      <c r="VP25" s="272"/>
      <c r="VQ25" s="272"/>
      <c r="VR25" s="272"/>
      <c r="VS25" s="272"/>
      <c r="VT25" s="272"/>
      <c r="VU25" s="272"/>
      <c r="VV25" s="272"/>
      <c r="VW25" s="272"/>
      <c r="VX25" s="272"/>
      <c r="VY25" s="272"/>
      <c r="VZ25" s="272"/>
      <c r="WA25" s="272"/>
      <c r="WB25" s="272"/>
      <c r="WC25" s="272"/>
      <c r="WD25" s="272"/>
      <c r="WE25" s="272"/>
      <c r="WF25" s="272"/>
      <c r="WG25" s="272"/>
      <c r="WH25" s="272"/>
      <c r="WI25" s="272"/>
      <c r="WJ25" s="272"/>
      <c r="WK25" s="272"/>
      <c r="WL25" s="272"/>
      <c r="WM25" s="272"/>
      <c r="WN25" s="272"/>
      <c r="WO25" s="272"/>
      <c r="WP25" s="272"/>
      <c r="WQ25" s="272"/>
      <c r="WR25" s="272"/>
      <c r="WS25" s="272"/>
      <c r="WT25" s="272"/>
      <c r="WU25" s="272"/>
      <c r="WV25" s="272"/>
      <c r="WW25" s="272"/>
      <c r="WX25" s="272"/>
      <c r="WY25" s="272"/>
      <c r="WZ25" s="272"/>
      <c r="XA25" s="272"/>
      <c r="XB25" s="272"/>
      <c r="XC25" s="272"/>
      <c r="XD25" s="272"/>
      <c r="XE25" s="272"/>
      <c r="XF25" s="272"/>
      <c r="XG25" s="272"/>
      <c r="XH25" s="272"/>
      <c r="XI25" s="272"/>
      <c r="XJ25" s="272"/>
      <c r="XK25" s="272"/>
      <c r="XL25" s="272"/>
      <c r="XM25" s="272"/>
      <c r="XN25" s="272"/>
      <c r="XO25" s="272"/>
      <c r="XP25" s="272"/>
      <c r="XQ25" s="272"/>
      <c r="XR25" s="272"/>
      <c r="XS25" s="272"/>
      <c r="XT25" s="272"/>
      <c r="XU25" s="272"/>
      <c r="XV25" s="272"/>
      <c r="XW25" s="272"/>
      <c r="XX25" s="272"/>
      <c r="XY25" s="272"/>
      <c r="XZ25" s="272"/>
      <c r="YA25" s="272"/>
      <c r="YB25" s="272"/>
      <c r="YC25" s="272"/>
      <c r="YD25" s="272"/>
      <c r="YE25" s="272"/>
      <c r="YF25" s="272"/>
      <c r="YG25" s="272"/>
      <c r="YH25" s="272"/>
      <c r="YI25" s="272"/>
      <c r="YJ25" s="272"/>
      <c r="YK25" s="272"/>
      <c r="YL25" s="272"/>
      <c r="YM25" s="272"/>
      <c r="YN25" s="272"/>
      <c r="YO25" s="272"/>
      <c r="YP25" s="272"/>
      <c r="YQ25" s="272"/>
      <c r="YR25" s="272"/>
      <c r="YS25" s="272"/>
      <c r="YT25" s="272"/>
      <c r="YU25" s="272"/>
      <c r="YV25" s="272"/>
      <c r="YW25" s="272"/>
      <c r="YX25" s="272"/>
      <c r="YY25" s="272"/>
      <c r="YZ25" s="272"/>
      <c r="ZA25" s="272"/>
      <c r="ZB25" s="272"/>
      <c r="ZC25" s="272"/>
      <c r="ZD25" s="272"/>
      <c r="ZE25" s="272"/>
      <c r="ZF25" s="272"/>
      <c r="ZG25" s="272"/>
      <c r="ZH25" s="272"/>
      <c r="ZI25" s="272"/>
      <c r="ZJ25" s="272"/>
      <c r="ZK25" s="272"/>
      <c r="ZL25" s="272"/>
      <c r="ZM25" s="272"/>
      <c r="ZN25" s="272"/>
      <c r="ZO25" s="272"/>
      <c r="ZP25" s="272"/>
      <c r="ZQ25" s="272"/>
      <c r="ZR25" s="272"/>
      <c r="ZS25" s="272"/>
      <c r="ZT25" s="272"/>
    </row>
    <row r="26" spans="1:696" s="19" customFormat="1" ht="33.75" customHeight="1">
      <c r="A26" s="44"/>
      <c r="B26" s="596" t="s">
        <v>23</v>
      </c>
      <c r="C26" s="596" t="s">
        <v>52</v>
      </c>
      <c r="D26" s="599"/>
      <c r="E26" s="641"/>
      <c r="F26" s="621"/>
      <c r="G26" s="624"/>
      <c r="H26" s="624"/>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c r="FT26" s="272"/>
      <c r="FU26" s="272"/>
      <c r="FV26" s="272"/>
      <c r="FW26" s="272"/>
      <c r="FX26" s="272"/>
      <c r="FY26" s="272"/>
      <c r="FZ26" s="272"/>
      <c r="GA26" s="272"/>
      <c r="GB26" s="272"/>
      <c r="GC26" s="272"/>
      <c r="GD26" s="272"/>
      <c r="GE26" s="272"/>
      <c r="GF26" s="272"/>
      <c r="GG26" s="272"/>
      <c r="GH26" s="272"/>
      <c r="GI26" s="272"/>
      <c r="GJ26" s="272"/>
      <c r="GK26" s="272"/>
      <c r="GL26" s="272"/>
      <c r="GM26" s="272"/>
      <c r="GN26" s="272"/>
      <c r="GO26" s="272"/>
      <c r="GP26" s="272"/>
      <c r="GQ26" s="272"/>
      <c r="GR26" s="272"/>
      <c r="GS26" s="272"/>
      <c r="GT26" s="272"/>
      <c r="GU26" s="272"/>
      <c r="GV26" s="272"/>
      <c r="GW26" s="272"/>
      <c r="GX26" s="272"/>
      <c r="GY26" s="272"/>
      <c r="GZ26" s="272"/>
      <c r="HA26" s="272"/>
      <c r="HB26" s="272"/>
      <c r="HC26" s="272"/>
      <c r="HD26" s="272"/>
      <c r="HE26" s="272"/>
      <c r="HF26" s="272"/>
      <c r="HG26" s="272"/>
      <c r="HH26" s="272"/>
      <c r="HI26" s="272"/>
      <c r="HJ26" s="272"/>
      <c r="HK26" s="272"/>
      <c r="HL26" s="272"/>
      <c r="HM26" s="272"/>
      <c r="HN26" s="272"/>
      <c r="HO26" s="272"/>
      <c r="HP26" s="272"/>
      <c r="HQ26" s="272"/>
      <c r="HR26" s="272"/>
      <c r="HS26" s="272"/>
      <c r="HT26" s="272"/>
      <c r="HU26" s="272"/>
      <c r="HV26" s="272"/>
      <c r="HW26" s="272"/>
      <c r="HX26" s="272"/>
      <c r="HY26" s="272"/>
      <c r="HZ26" s="272"/>
      <c r="IA26" s="272"/>
      <c r="IB26" s="272"/>
      <c r="IC26" s="272"/>
      <c r="ID26" s="272"/>
      <c r="IE26" s="272"/>
      <c r="IF26" s="272"/>
      <c r="IG26" s="272"/>
      <c r="IH26" s="272"/>
      <c r="II26" s="272"/>
      <c r="IJ26" s="272"/>
      <c r="IK26" s="272"/>
      <c r="IL26" s="272"/>
      <c r="IM26" s="272"/>
      <c r="IN26" s="272"/>
      <c r="IO26" s="272"/>
      <c r="IP26" s="272"/>
      <c r="IQ26" s="272"/>
      <c r="IR26" s="272"/>
      <c r="IS26" s="272"/>
      <c r="IT26" s="272"/>
      <c r="IU26" s="272"/>
      <c r="IV26" s="272"/>
      <c r="IW26" s="272"/>
      <c r="IX26" s="272"/>
      <c r="IY26" s="272"/>
      <c r="IZ26" s="272"/>
      <c r="JA26" s="272"/>
      <c r="JB26" s="272"/>
      <c r="JC26" s="272"/>
      <c r="JD26" s="272"/>
      <c r="JE26" s="272"/>
      <c r="JF26" s="272"/>
      <c r="JG26" s="272"/>
      <c r="JH26" s="272"/>
      <c r="JI26" s="272"/>
      <c r="JJ26" s="272"/>
      <c r="JK26" s="272"/>
      <c r="JL26" s="272"/>
      <c r="JM26" s="272"/>
      <c r="JN26" s="272"/>
      <c r="JO26" s="272"/>
      <c r="JP26" s="272"/>
      <c r="JQ26" s="272"/>
      <c r="JR26" s="272"/>
      <c r="JS26" s="272"/>
      <c r="JT26" s="272"/>
      <c r="JU26" s="272"/>
      <c r="JV26" s="272"/>
      <c r="JW26" s="272"/>
      <c r="JX26" s="272"/>
      <c r="JY26" s="272"/>
      <c r="JZ26" s="272"/>
      <c r="KA26" s="272"/>
      <c r="KB26" s="272"/>
      <c r="KC26" s="272"/>
      <c r="KD26" s="272"/>
      <c r="KE26" s="272"/>
      <c r="KF26" s="272"/>
      <c r="KG26" s="272"/>
      <c r="KH26" s="272"/>
      <c r="KI26" s="272"/>
      <c r="KJ26" s="272"/>
      <c r="KK26" s="272"/>
      <c r="KL26" s="272"/>
      <c r="KM26" s="272"/>
      <c r="KN26" s="272"/>
      <c r="KO26" s="272"/>
      <c r="KP26" s="272"/>
      <c r="KQ26" s="272"/>
      <c r="KR26" s="272"/>
      <c r="KS26" s="272"/>
      <c r="KT26" s="272"/>
      <c r="KU26" s="272"/>
      <c r="KV26" s="272"/>
      <c r="KW26" s="272"/>
      <c r="KX26" s="272"/>
      <c r="KY26" s="272"/>
      <c r="KZ26" s="272"/>
      <c r="LA26" s="272"/>
      <c r="LB26" s="272"/>
      <c r="LC26" s="272"/>
      <c r="LD26" s="272"/>
      <c r="LE26" s="272"/>
      <c r="LF26" s="272"/>
      <c r="LG26" s="272"/>
      <c r="LH26" s="272"/>
      <c r="LI26" s="272"/>
      <c r="LJ26" s="272"/>
      <c r="LK26" s="272"/>
      <c r="LL26" s="272"/>
      <c r="LM26" s="272"/>
      <c r="LN26" s="272"/>
      <c r="LO26" s="272"/>
      <c r="LP26" s="272"/>
      <c r="LQ26" s="272"/>
      <c r="LR26" s="272"/>
      <c r="LS26" s="272"/>
      <c r="LT26" s="272"/>
      <c r="LU26" s="272"/>
      <c r="LV26" s="272"/>
      <c r="LW26" s="272"/>
      <c r="LX26" s="272"/>
      <c r="LY26" s="272"/>
      <c r="LZ26" s="272"/>
      <c r="MA26" s="272"/>
      <c r="MB26" s="272"/>
      <c r="MC26" s="272"/>
      <c r="MD26" s="272"/>
      <c r="ME26" s="272"/>
      <c r="MF26" s="272"/>
      <c r="MG26" s="272"/>
      <c r="MH26" s="272"/>
      <c r="MI26" s="272"/>
      <c r="MJ26" s="272"/>
      <c r="MK26" s="272"/>
      <c r="ML26" s="272"/>
      <c r="MM26" s="272"/>
      <c r="MN26" s="272"/>
      <c r="MO26" s="272"/>
      <c r="MP26" s="272"/>
      <c r="MQ26" s="272"/>
      <c r="MR26" s="272"/>
      <c r="MS26" s="272"/>
      <c r="MT26" s="272"/>
      <c r="MU26" s="272"/>
      <c r="MV26" s="272"/>
      <c r="MW26" s="272"/>
      <c r="MX26" s="272"/>
      <c r="MY26" s="272"/>
      <c r="MZ26" s="272"/>
      <c r="NA26" s="272"/>
      <c r="NB26" s="272"/>
      <c r="NC26" s="272"/>
      <c r="ND26" s="272"/>
      <c r="NE26" s="272"/>
      <c r="NF26" s="272"/>
      <c r="NG26" s="272"/>
      <c r="NH26" s="272"/>
      <c r="NI26" s="272"/>
      <c r="NJ26" s="272"/>
      <c r="NK26" s="272"/>
      <c r="NL26" s="272"/>
      <c r="NM26" s="272"/>
      <c r="NN26" s="272"/>
      <c r="NO26" s="272"/>
      <c r="NP26" s="272"/>
      <c r="NQ26" s="272"/>
      <c r="NR26" s="272"/>
      <c r="NS26" s="272"/>
      <c r="NT26" s="272"/>
      <c r="NU26" s="272"/>
      <c r="NV26" s="272"/>
      <c r="NW26" s="272"/>
      <c r="NX26" s="272"/>
      <c r="NY26" s="272"/>
      <c r="NZ26" s="272"/>
      <c r="OA26" s="272"/>
      <c r="OB26" s="272"/>
      <c r="OC26" s="272"/>
      <c r="OD26" s="272"/>
      <c r="OE26" s="272"/>
      <c r="OF26" s="272"/>
      <c r="OG26" s="272"/>
      <c r="OH26" s="272"/>
      <c r="OI26" s="272"/>
      <c r="OJ26" s="272"/>
      <c r="OK26" s="272"/>
      <c r="OL26" s="272"/>
      <c r="OM26" s="272"/>
      <c r="ON26" s="272"/>
      <c r="OO26" s="272"/>
      <c r="OP26" s="272"/>
      <c r="OQ26" s="272"/>
      <c r="OR26" s="272"/>
      <c r="OS26" s="272"/>
      <c r="OT26" s="272"/>
      <c r="OU26" s="272"/>
      <c r="OV26" s="272"/>
      <c r="OW26" s="272"/>
      <c r="OX26" s="272"/>
      <c r="OY26" s="272"/>
      <c r="OZ26" s="272"/>
      <c r="PA26" s="272"/>
      <c r="PB26" s="272"/>
      <c r="PC26" s="272"/>
      <c r="PD26" s="272"/>
      <c r="PE26" s="272"/>
      <c r="PF26" s="272"/>
      <c r="PG26" s="272"/>
      <c r="PH26" s="272"/>
      <c r="PI26" s="272"/>
      <c r="PJ26" s="272"/>
      <c r="PK26" s="272"/>
      <c r="PL26" s="272"/>
      <c r="PM26" s="272"/>
      <c r="PN26" s="272"/>
      <c r="PO26" s="272"/>
      <c r="PP26" s="272"/>
      <c r="PQ26" s="272"/>
      <c r="PR26" s="272"/>
      <c r="PS26" s="272"/>
      <c r="PT26" s="272"/>
      <c r="PU26" s="272"/>
      <c r="PV26" s="272"/>
      <c r="PW26" s="272"/>
      <c r="PX26" s="272"/>
      <c r="PY26" s="272"/>
      <c r="PZ26" s="272"/>
      <c r="QA26" s="272"/>
      <c r="QB26" s="272"/>
      <c r="QC26" s="272"/>
      <c r="QD26" s="272"/>
      <c r="QE26" s="272"/>
      <c r="QF26" s="272"/>
      <c r="QG26" s="272"/>
      <c r="QH26" s="272"/>
      <c r="QI26" s="272"/>
      <c r="QJ26" s="272"/>
      <c r="QK26" s="272"/>
      <c r="QL26" s="272"/>
      <c r="QM26" s="272"/>
      <c r="QN26" s="272"/>
      <c r="QO26" s="272"/>
      <c r="QP26" s="272"/>
      <c r="QQ26" s="272"/>
      <c r="QR26" s="272"/>
      <c r="QS26" s="272"/>
      <c r="QT26" s="272"/>
      <c r="QU26" s="272"/>
      <c r="QV26" s="272"/>
      <c r="QW26" s="272"/>
      <c r="QX26" s="272"/>
      <c r="QY26" s="272"/>
      <c r="QZ26" s="272"/>
      <c r="RA26" s="272"/>
      <c r="RB26" s="272"/>
      <c r="RC26" s="272"/>
      <c r="RD26" s="272"/>
      <c r="RE26" s="272"/>
      <c r="RF26" s="272"/>
      <c r="RG26" s="272"/>
      <c r="RH26" s="272"/>
      <c r="RI26" s="272"/>
      <c r="RJ26" s="272"/>
      <c r="RK26" s="272"/>
      <c r="RL26" s="272"/>
      <c r="RM26" s="272"/>
      <c r="RN26" s="272"/>
      <c r="RO26" s="272"/>
      <c r="RP26" s="272"/>
      <c r="RQ26" s="272"/>
      <c r="RR26" s="272"/>
      <c r="RS26" s="272"/>
      <c r="RT26" s="272"/>
      <c r="RU26" s="272"/>
      <c r="RV26" s="272"/>
      <c r="RW26" s="272"/>
      <c r="RX26" s="272"/>
      <c r="RY26" s="272"/>
      <c r="RZ26" s="272"/>
      <c r="SA26" s="272"/>
      <c r="SB26" s="272"/>
      <c r="SC26" s="272"/>
      <c r="SD26" s="272"/>
      <c r="SE26" s="272"/>
      <c r="SF26" s="272"/>
      <c r="SG26" s="272"/>
      <c r="SH26" s="272"/>
      <c r="SI26" s="272"/>
      <c r="SJ26" s="272"/>
      <c r="SK26" s="272"/>
      <c r="SL26" s="272"/>
      <c r="SM26" s="272"/>
      <c r="SN26" s="272"/>
      <c r="SO26" s="272"/>
      <c r="SP26" s="272"/>
      <c r="SQ26" s="272"/>
      <c r="SR26" s="272"/>
      <c r="SS26" s="272"/>
      <c r="ST26" s="272"/>
      <c r="SU26" s="272"/>
      <c r="SV26" s="272"/>
      <c r="SW26" s="272"/>
      <c r="SX26" s="272"/>
      <c r="SY26" s="272"/>
      <c r="SZ26" s="272"/>
      <c r="TA26" s="272"/>
      <c r="TB26" s="272"/>
      <c r="TC26" s="272"/>
      <c r="TD26" s="272"/>
      <c r="TE26" s="272"/>
      <c r="TF26" s="272"/>
      <c r="TG26" s="272"/>
      <c r="TH26" s="272"/>
      <c r="TI26" s="272"/>
      <c r="TJ26" s="272"/>
      <c r="TK26" s="272"/>
      <c r="TL26" s="272"/>
      <c r="TM26" s="272"/>
      <c r="TN26" s="272"/>
      <c r="TO26" s="272"/>
      <c r="TP26" s="272"/>
      <c r="TQ26" s="272"/>
      <c r="TR26" s="272"/>
      <c r="TS26" s="272"/>
      <c r="TT26" s="272"/>
      <c r="TU26" s="272"/>
      <c r="TV26" s="272"/>
      <c r="TW26" s="272"/>
      <c r="TX26" s="272"/>
      <c r="TY26" s="272"/>
      <c r="TZ26" s="272"/>
      <c r="UA26" s="272"/>
      <c r="UB26" s="272"/>
      <c r="UC26" s="272"/>
      <c r="UD26" s="272"/>
      <c r="UE26" s="272"/>
      <c r="UF26" s="272"/>
      <c r="UG26" s="272"/>
      <c r="UH26" s="272"/>
      <c r="UI26" s="272"/>
      <c r="UJ26" s="272"/>
      <c r="UK26" s="272"/>
      <c r="UL26" s="272"/>
      <c r="UM26" s="272"/>
      <c r="UN26" s="272"/>
      <c r="UO26" s="272"/>
      <c r="UP26" s="272"/>
      <c r="UQ26" s="272"/>
      <c r="UR26" s="272"/>
      <c r="US26" s="272"/>
      <c r="UT26" s="272"/>
      <c r="UU26" s="272"/>
      <c r="UV26" s="272"/>
      <c r="UW26" s="272"/>
      <c r="UX26" s="272"/>
      <c r="UY26" s="272"/>
      <c r="UZ26" s="272"/>
      <c r="VA26" s="272"/>
      <c r="VB26" s="272"/>
      <c r="VC26" s="272"/>
      <c r="VD26" s="272"/>
      <c r="VE26" s="272"/>
      <c r="VF26" s="272"/>
      <c r="VG26" s="272"/>
      <c r="VH26" s="272"/>
      <c r="VI26" s="272"/>
      <c r="VJ26" s="272"/>
      <c r="VK26" s="272"/>
      <c r="VL26" s="272"/>
      <c r="VM26" s="272"/>
      <c r="VN26" s="272"/>
      <c r="VO26" s="272"/>
      <c r="VP26" s="272"/>
      <c r="VQ26" s="272"/>
      <c r="VR26" s="272"/>
      <c r="VS26" s="272"/>
      <c r="VT26" s="272"/>
      <c r="VU26" s="272"/>
      <c r="VV26" s="272"/>
      <c r="VW26" s="272"/>
      <c r="VX26" s="272"/>
      <c r="VY26" s="272"/>
      <c r="VZ26" s="272"/>
      <c r="WA26" s="272"/>
      <c r="WB26" s="272"/>
      <c r="WC26" s="272"/>
      <c r="WD26" s="272"/>
      <c r="WE26" s="272"/>
      <c r="WF26" s="272"/>
      <c r="WG26" s="272"/>
      <c r="WH26" s="272"/>
      <c r="WI26" s="272"/>
      <c r="WJ26" s="272"/>
      <c r="WK26" s="272"/>
      <c r="WL26" s="272"/>
      <c r="WM26" s="272"/>
      <c r="WN26" s="272"/>
      <c r="WO26" s="272"/>
      <c r="WP26" s="272"/>
      <c r="WQ26" s="272"/>
      <c r="WR26" s="272"/>
      <c r="WS26" s="272"/>
      <c r="WT26" s="272"/>
      <c r="WU26" s="272"/>
      <c r="WV26" s="272"/>
      <c r="WW26" s="272"/>
      <c r="WX26" s="272"/>
      <c r="WY26" s="272"/>
      <c r="WZ26" s="272"/>
      <c r="XA26" s="272"/>
      <c r="XB26" s="272"/>
      <c r="XC26" s="272"/>
      <c r="XD26" s="272"/>
      <c r="XE26" s="272"/>
      <c r="XF26" s="272"/>
      <c r="XG26" s="272"/>
      <c r="XH26" s="272"/>
      <c r="XI26" s="272"/>
      <c r="XJ26" s="272"/>
      <c r="XK26" s="272"/>
      <c r="XL26" s="272"/>
      <c r="XM26" s="272"/>
      <c r="XN26" s="272"/>
      <c r="XO26" s="272"/>
      <c r="XP26" s="272"/>
      <c r="XQ26" s="272"/>
      <c r="XR26" s="272"/>
      <c r="XS26" s="272"/>
      <c r="XT26" s="272"/>
      <c r="XU26" s="272"/>
      <c r="XV26" s="272"/>
      <c r="XW26" s="272"/>
      <c r="XX26" s="272"/>
      <c r="XY26" s="272"/>
      <c r="XZ26" s="272"/>
      <c r="YA26" s="272"/>
      <c r="YB26" s="272"/>
      <c r="YC26" s="272"/>
      <c r="YD26" s="272"/>
      <c r="YE26" s="272"/>
      <c r="YF26" s="272"/>
      <c r="YG26" s="272"/>
      <c r="YH26" s="272"/>
      <c r="YI26" s="272"/>
      <c r="YJ26" s="272"/>
      <c r="YK26" s="272"/>
      <c r="YL26" s="272"/>
      <c r="YM26" s="272"/>
      <c r="YN26" s="272"/>
      <c r="YO26" s="272"/>
      <c r="YP26" s="272"/>
      <c r="YQ26" s="272"/>
      <c r="YR26" s="272"/>
      <c r="YS26" s="272"/>
      <c r="YT26" s="272"/>
      <c r="YU26" s="272"/>
      <c r="YV26" s="272"/>
      <c r="YW26" s="272"/>
      <c r="YX26" s="272"/>
      <c r="YY26" s="272"/>
      <c r="YZ26" s="272"/>
      <c r="ZA26" s="272"/>
      <c r="ZB26" s="272"/>
      <c r="ZC26" s="272"/>
      <c r="ZD26" s="272"/>
      <c r="ZE26" s="272"/>
      <c r="ZF26" s="272"/>
      <c r="ZG26" s="272"/>
      <c r="ZH26" s="272"/>
      <c r="ZI26" s="272"/>
      <c r="ZJ26" s="272"/>
      <c r="ZK26" s="272"/>
      <c r="ZL26" s="272"/>
      <c r="ZM26" s="272"/>
      <c r="ZN26" s="272"/>
      <c r="ZO26" s="272"/>
      <c r="ZP26" s="272"/>
      <c r="ZQ26" s="272"/>
      <c r="ZR26" s="272"/>
      <c r="ZS26" s="272"/>
      <c r="ZT26" s="272"/>
    </row>
    <row r="27" spans="1:696" s="19" customFormat="1" ht="28.5" customHeight="1">
      <c r="A27" s="44"/>
      <c r="B27" s="597"/>
      <c r="C27" s="598"/>
      <c r="D27" s="601"/>
      <c r="E27" s="620"/>
      <c r="F27" s="620"/>
      <c r="G27" s="627"/>
      <c r="H27" s="627"/>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c r="FT27" s="272"/>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c r="HE27" s="272"/>
      <c r="HF27" s="272"/>
      <c r="HG27" s="272"/>
      <c r="HH27" s="272"/>
      <c r="HI27" s="272"/>
      <c r="HJ27" s="272"/>
      <c r="HK27" s="272"/>
      <c r="HL27" s="272"/>
      <c r="HM27" s="272"/>
      <c r="HN27" s="272"/>
      <c r="HO27" s="272"/>
      <c r="HP27" s="272"/>
      <c r="HQ27" s="272"/>
      <c r="HR27" s="272"/>
      <c r="HS27" s="272"/>
      <c r="HT27" s="272"/>
      <c r="HU27" s="272"/>
      <c r="HV27" s="272"/>
      <c r="HW27" s="272"/>
      <c r="HX27" s="272"/>
      <c r="HY27" s="272"/>
      <c r="HZ27" s="272"/>
      <c r="IA27" s="272"/>
      <c r="IB27" s="272"/>
      <c r="IC27" s="272"/>
      <c r="ID27" s="272"/>
      <c r="IE27" s="272"/>
      <c r="IF27" s="272"/>
      <c r="IG27" s="272"/>
      <c r="IH27" s="272"/>
      <c r="II27" s="272"/>
      <c r="IJ27" s="272"/>
      <c r="IK27" s="272"/>
      <c r="IL27" s="272"/>
      <c r="IM27" s="272"/>
      <c r="IN27" s="272"/>
      <c r="IO27" s="272"/>
      <c r="IP27" s="272"/>
      <c r="IQ27" s="272"/>
      <c r="IR27" s="272"/>
      <c r="IS27" s="272"/>
      <c r="IT27" s="272"/>
      <c r="IU27" s="272"/>
      <c r="IV27" s="272"/>
      <c r="IW27" s="272"/>
      <c r="IX27" s="272"/>
      <c r="IY27" s="272"/>
      <c r="IZ27" s="272"/>
      <c r="JA27" s="272"/>
      <c r="JB27" s="272"/>
      <c r="JC27" s="272"/>
      <c r="JD27" s="272"/>
      <c r="JE27" s="272"/>
      <c r="JF27" s="272"/>
      <c r="JG27" s="272"/>
      <c r="JH27" s="272"/>
      <c r="JI27" s="272"/>
      <c r="JJ27" s="272"/>
      <c r="JK27" s="272"/>
      <c r="JL27" s="272"/>
      <c r="JM27" s="272"/>
      <c r="JN27" s="272"/>
      <c r="JO27" s="272"/>
      <c r="JP27" s="272"/>
      <c r="JQ27" s="272"/>
      <c r="JR27" s="272"/>
      <c r="JS27" s="272"/>
      <c r="JT27" s="272"/>
      <c r="JU27" s="272"/>
      <c r="JV27" s="272"/>
      <c r="JW27" s="272"/>
      <c r="JX27" s="272"/>
      <c r="JY27" s="272"/>
      <c r="JZ27" s="272"/>
      <c r="KA27" s="272"/>
      <c r="KB27" s="272"/>
      <c r="KC27" s="272"/>
      <c r="KD27" s="272"/>
      <c r="KE27" s="272"/>
      <c r="KF27" s="272"/>
      <c r="KG27" s="272"/>
      <c r="KH27" s="272"/>
      <c r="KI27" s="272"/>
      <c r="KJ27" s="272"/>
      <c r="KK27" s="272"/>
      <c r="KL27" s="272"/>
      <c r="KM27" s="272"/>
      <c r="KN27" s="272"/>
      <c r="KO27" s="272"/>
      <c r="KP27" s="272"/>
      <c r="KQ27" s="272"/>
      <c r="KR27" s="272"/>
      <c r="KS27" s="272"/>
      <c r="KT27" s="272"/>
      <c r="KU27" s="272"/>
      <c r="KV27" s="272"/>
      <c r="KW27" s="272"/>
      <c r="KX27" s="272"/>
      <c r="KY27" s="272"/>
      <c r="KZ27" s="272"/>
      <c r="LA27" s="272"/>
      <c r="LB27" s="272"/>
      <c r="LC27" s="272"/>
      <c r="LD27" s="272"/>
      <c r="LE27" s="272"/>
      <c r="LF27" s="272"/>
      <c r="LG27" s="272"/>
      <c r="LH27" s="272"/>
      <c r="LI27" s="272"/>
      <c r="LJ27" s="272"/>
      <c r="LK27" s="272"/>
      <c r="LL27" s="272"/>
      <c r="LM27" s="272"/>
      <c r="LN27" s="272"/>
      <c r="LO27" s="272"/>
      <c r="LP27" s="272"/>
      <c r="LQ27" s="272"/>
      <c r="LR27" s="272"/>
      <c r="LS27" s="272"/>
      <c r="LT27" s="272"/>
      <c r="LU27" s="272"/>
      <c r="LV27" s="272"/>
      <c r="LW27" s="272"/>
      <c r="LX27" s="272"/>
      <c r="LY27" s="272"/>
      <c r="LZ27" s="272"/>
      <c r="MA27" s="272"/>
      <c r="MB27" s="272"/>
      <c r="MC27" s="272"/>
      <c r="MD27" s="272"/>
      <c r="ME27" s="272"/>
      <c r="MF27" s="272"/>
      <c r="MG27" s="272"/>
      <c r="MH27" s="272"/>
      <c r="MI27" s="272"/>
      <c r="MJ27" s="272"/>
      <c r="MK27" s="272"/>
      <c r="ML27" s="272"/>
      <c r="MM27" s="272"/>
      <c r="MN27" s="272"/>
      <c r="MO27" s="272"/>
      <c r="MP27" s="272"/>
      <c r="MQ27" s="272"/>
      <c r="MR27" s="272"/>
      <c r="MS27" s="272"/>
      <c r="MT27" s="272"/>
      <c r="MU27" s="272"/>
      <c r="MV27" s="272"/>
      <c r="MW27" s="272"/>
      <c r="MX27" s="272"/>
      <c r="MY27" s="272"/>
      <c r="MZ27" s="272"/>
      <c r="NA27" s="272"/>
      <c r="NB27" s="272"/>
      <c r="NC27" s="272"/>
      <c r="ND27" s="272"/>
      <c r="NE27" s="272"/>
      <c r="NF27" s="272"/>
      <c r="NG27" s="272"/>
      <c r="NH27" s="272"/>
      <c r="NI27" s="272"/>
      <c r="NJ27" s="272"/>
      <c r="NK27" s="272"/>
      <c r="NL27" s="272"/>
      <c r="NM27" s="272"/>
      <c r="NN27" s="272"/>
      <c r="NO27" s="272"/>
      <c r="NP27" s="272"/>
      <c r="NQ27" s="272"/>
      <c r="NR27" s="272"/>
      <c r="NS27" s="272"/>
      <c r="NT27" s="272"/>
      <c r="NU27" s="272"/>
      <c r="NV27" s="272"/>
      <c r="NW27" s="272"/>
      <c r="NX27" s="272"/>
      <c r="NY27" s="272"/>
      <c r="NZ27" s="272"/>
      <c r="OA27" s="272"/>
      <c r="OB27" s="272"/>
      <c r="OC27" s="272"/>
      <c r="OD27" s="272"/>
      <c r="OE27" s="272"/>
      <c r="OF27" s="272"/>
      <c r="OG27" s="272"/>
      <c r="OH27" s="272"/>
      <c r="OI27" s="272"/>
      <c r="OJ27" s="272"/>
      <c r="OK27" s="272"/>
      <c r="OL27" s="272"/>
      <c r="OM27" s="272"/>
      <c r="ON27" s="272"/>
      <c r="OO27" s="272"/>
      <c r="OP27" s="272"/>
      <c r="OQ27" s="272"/>
      <c r="OR27" s="272"/>
      <c r="OS27" s="272"/>
      <c r="OT27" s="272"/>
      <c r="OU27" s="272"/>
      <c r="OV27" s="272"/>
      <c r="OW27" s="272"/>
      <c r="OX27" s="272"/>
      <c r="OY27" s="272"/>
      <c r="OZ27" s="272"/>
      <c r="PA27" s="272"/>
      <c r="PB27" s="272"/>
      <c r="PC27" s="272"/>
      <c r="PD27" s="272"/>
      <c r="PE27" s="272"/>
      <c r="PF27" s="272"/>
      <c r="PG27" s="272"/>
      <c r="PH27" s="272"/>
      <c r="PI27" s="272"/>
      <c r="PJ27" s="272"/>
      <c r="PK27" s="272"/>
      <c r="PL27" s="272"/>
      <c r="PM27" s="272"/>
      <c r="PN27" s="272"/>
      <c r="PO27" s="272"/>
      <c r="PP27" s="272"/>
      <c r="PQ27" s="272"/>
      <c r="PR27" s="272"/>
      <c r="PS27" s="272"/>
      <c r="PT27" s="272"/>
      <c r="PU27" s="272"/>
      <c r="PV27" s="272"/>
      <c r="PW27" s="272"/>
      <c r="PX27" s="272"/>
      <c r="PY27" s="272"/>
      <c r="PZ27" s="272"/>
      <c r="QA27" s="272"/>
      <c r="QB27" s="272"/>
      <c r="QC27" s="272"/>
      <c r="QD27" s="272"/>
      <c r="QE27" s="272"/>
      <c r="QF27" s="272"/>
      <c r="QG27" s="272"/>
      <c r="QH27" s="272"/>
      <c r="QI27" s="272"/>
      <c r="QJ27" s="272"/>
      <c r="QK27" s="272"/>
      <c r="QL27" s="272"/>
      <c r="QM27" s="272"/>
      <c r="QN27" s="272"/>
      <c r="QO27" s="272"/>
      <c r="QP27" s="272"/>
      <c r="QQ27" s="272"/>
      <c r="QR27" s="272"/>
      <c r="QS27" s="272"/>
      <c r="QT27" s="272"/>
      <c r="QU27" s="272"/>
      <c r="QV27" s="272"/>
      <c r="QW27" s="272"/>
      <c r="QX27" s="272"/>
      <c r="QY27" s="272"/>
      <c r="QZ27" s="272"/>
      <c r="RA27" s="272"/>
      <c r="RB27" s="272"/>
      <c r="RC27" s="272"/>
      <c r="RD27" s="272"/>
      <c r="RE27" s="272"/>
      <c r="RF27" s="272"/>
      <c r="RG27" s="272"/>
      <c r="RH27" s="272"/>
      <c r="RI27" s="272"/>
      <c r="RJ27" s="272"/>
      <c r="RK27" s="272"/>
      <c r="RL27" s="272"/>
      <c r="RM27" s="272"/>
      <c r="RN27" s="272"/>
      <c r="RO27" s="272"/>
      <c r="RP27" s="272"/>
      <c r="RQ27" s="272"/>
      <c r="RR27" s="272"/>
      <c r="RS27" s="272"/>
      <c r="RT27" s="272"/>
      <c r="RU27" s="272"/>
      <c r="RV27" s="272"/>
      <c r="RW27" s="272"/>
      <c r="RX27" s="272"/>
      <c r="RY27" s="272"/>
      <c r="RZ27" s="272"/>
      <c r="SA27" s="272"/>
      <c r="SB27" s="272"/>
      <c r="SC27" s="272"/>
      <c r="SD27" s="272"/>
      <c r="SE27" s="272"/>
      <c r="SF27" s="272"/>
      <c r="SG27" s="272"/>
      <c r="SH27" s="272"/>
      <c r="SI27" s="272"/>
      <c r="SJ27" s="272"/>
      <c r="SK27" s="272"/>
      <c r="SL27" s="272"/>
      <c r="SM27" s="272"/>
      <c r="SN27" s="272"/>
      <c r="SO27" s="272"/>
      <c r="SP27" s="272"/>
      <c r="SQ27" s="272"/>
      <c r="SR27" s="272"/>
      <c r="SS27" s="272"/>
      <c r="ST27" s="272"/>
      <c r="SU27" s="272"/>
      <c r="SV27" s="272"/>
      <c r="SW27" s="272"/>
      <c r="SX27" s="272"/>
      <c r="SY27" s="272"/>
      <c r="SZ27" s="272"/>
      <c r="TA27" s="272"/>
      <c r="TB27" s="272"/>
      <c r="TC27" s="272"/>
      <c r="TD27" s="272"/>
      <c r="TE27" s="272"/>
      <c r="TF27" s="272"/>
      <c r="TG27" s="272"/>
      <c r="TH27" s="272"/>
      <c r="TI27" s="272"/>
      <c r="TJ27" s="272"/>
      <c r="TK27" s="272"/>
      <c r="TL27" s="272"/>
      <c r="TM27" s="272"/>
      <c r="TN27" s="272"/>
      <c r="TO27" s="272"/>
      <c r="TP27" s="272"/>
      <c r="TQ27" s="272"/>
      <c r="TR27" s="272"/>
      <c r="TS27" s="272"/>
      <c r="TT27" s="272"/>
      <c r="TU27" s="272"/>
      <c r="TV27" s="272"/>
      <c r="TW27" s="272"/>
      <c r="TX27" s="272"/>
      <c r="TY27" s="272"/>
      <c r="TZ27" s="272"/>
      <c r="UA27" s="272"/>
      <c r="UB27" s="272"/>
      <c r="UC27" s="272"/>
      <c r="UD27" s="272"/>
      <c r="UE27" s="272"/>
      <c r="UF27" s="272"/>
      <c r="UG27" s="272"/>
      <c r="UH27" s="272"/>
      <c r="UI27" s="272"/>
      <c r="UJ27" s="272"/>
      <c r="UK27" s="272"/>
      <c r="UL27" s="272"/>
      <c r="UM27" s="272"/>
      <c r="UN27" s="272"/>
      <c r="UO27" s="272"/>
      <c r="UP27" s="272"/>
      <c r="UQ27" s="272"/>
      <c r="UR27" s="272"/>
      <c r="US27" s="272"/>
      <c r="UT27" s="272"/>
      <c r="UU27" s="272"/>
      <c r="UV27" s="272"/>
      <c r="UW27" s="272"/>
      <c r="UX27" s="272"/>
      <c r="UY27" s="272"/>
      <c r="UZ27" s="272"/>
      <c r="VA27" s="272"/>
      <c r="VB27" s="272"/>
      <c r="VC27" s="272"/>
      <c r="VD27" s="272"/>
      <c r="VE27" s="272"/>
      <c r="VF27" s="272"/>
      <c r="VG27" s="272"/>
      <c r="VH27" s="272"/>
      <c r="VI27" s="272"/>
      <c r="VJ27" s="272"/>
      <c r="VK27" s="272"/>
      <c r="VL27" s="272"/>
      <c r="VM27" s="272"/>
      <c r="VN27" s="272"/>
      <c r="VO27" s="272"/>
      <c r="VP27" s="272"/>
      <c r="VQ27" s="272"/>
      <c r="VR27" s="272"/>
      <c r="VS27" s="272"/>
      <c r="VT27" s="272"/>
      <c r="VU27" s="272"/>
      <c r="VV27" s="272"/>
      <c r="VW27" s="272"/>
      <c r="VX27" s="272"/>
      <c r="VY27" s="272"/>
      <c r="VZ27" s="272"/>
      <c r="WA27" s="272"/>
      <c r="WB27" s="272"/>
      <c r="WC27" s="272"/>
      <c r="WD27" s="272"/>
      <c r="WE27" s="272"/>
      <c r="WF27" s="272"/>
      <c r="WG27" s="272"/>
      <c r="WH27" s="272"/>
      <c r="WI27" s="272"/>
      <c r="WJ27" s="272"/>
      <c r="WK27" s="272"/>
      <c r="WL27" s="272"/>
      <c r="WM27" s="272"/>
      <c r="WN27" s="272"/>
      <c r="WO27" s="272"/>
      <c r="WP27" s="272"/>
      <c r="WQ27" s="272"/>
      <c r="WR27" s="272"/>
      <c r="WS27" s="272"/>
      <c r="WT27" s="272"/>
      <c r="WU27" s="272"/>
      <c r="WV27" s="272"/>
      <c r="WW27" s="272"/>
      <c r="WX27" s="272"/>
      <c r="WY27" s="272"/>
      <c r="WZ27" s="272"/>
      <c r="XA27" s="272"/>
      <c r="XB27" s="272"/>
      <c r="XC27" s="272"/>
      <c r="XD27" s="272"/>
      <c r="XE27" s="272"/>
      <c r="XF27" s="272"/>
      <c r="XG27" s="272"/>
      <c r="XH27" s="272"/>
      <c r="XI27" s="272"/>
      <c r="XJ27" s="272"/>
      <c r="XK27" s="272"/>
      <c r="XL27" s="272"/>
      <c r="XM27" s="272"/>
      <c r="XN27" s="272"/>
      <c r="XO27" s="272"/>
      <c r="XP27" s="272"/>
      <c r="XQ27" s="272"/>
      <c r="XR27" s="272"/>
      <c r="XS27" s="272"/>
      <c r="XT27" s="272"/>
      <c r="XU27" s="272"/>
      <c r="XV27" s="272"/>
      <c r="XW27" s="272"/>
      <c r="XX27" s="272"/>
      <c r="XY27" s="272"/>
      <c r="XZ27" s="272"/>
      <c r="YA27" s="272"/>
      <c r="YB27" s="272"/>
      <c r="YC27" s="272"/>
      <c r="YD27" s="272"/>
      <c r="YE27" s="272"/>
      <c r="YF27" s="272"/>
      <c r="YG27" s="272"/>
      <c r="YH27" s="272"/>
      <c r="YI27" s="272"/>
      <c r="YJ27" s="272"/>
      <c r="YK27" s="272"/>
      <c r="YL27" s="272"/>
      <c r="YM27" s="272"/>
      <c r="YN27" s="272"/>
      <c r="YO27" s="272"/>
      <c r="YP27" s="272"/>
      <c r="YQ27" s="272"/>
      <c r="YR27" s="272"/>
      <c r="YS27" s="272"/>
      <c r="YT27" s="272"/>
      <c r="YU27" s="272"/>
      <c r="YV27" s="272"/>
      <c r="YW27" s="272"/>
      <c r="YX27" s="272"/>
      <c r="YY27" s="272"/>
      <c r="YZ27" s="272"/>
      <c r="ZA27" s="272"/>
      <c r="ZB27" s="272"/>
      <c r="ZC27" s="272"/>
      <c r="ZD27" s="272"/>
      <c r="ZE27" s="272"/>
      <c r="ZF27" s="272"/>
      <c r="ZG27" s="272"/>
      <c r="ZH27" s="272"/>
      <c r="ZI27" s="272"/>
      <c r="ZJ27" s="272"/>
      <c r="ZK27" s="272"/>
      <c r="ZL27" s="272"/>
      <c r="ZM27" s="272"/>
      <c r="ZN27" s="272"/>
      <c r="ZO27" s="272"/>
      <c r="ZP27" s="272"/>
      <c r="ZQ27" s="272"/>
      <c r="ZR27" s="272"/>
      <c r="ZS27" s="272"/>
      <c r="ZT27" s="272"/>
    </row>
    <row r="28" spans="1:696" s="19" customFormat="1" ht="15">
      <c r="A28" s="44"/>
      <c r="B28" s="597"/>
      <c r="C28" s="24" t="s">
        <v>53</v>
      </c>
      <c r="D28" s="508"/>
      <c r="E28" s="532"/>
      <c r="F28" s="509"/>
      <c r="G28" s="506"/>
      <c r="H28" s="506"/>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2"/>
      <c r="DT28" s="272"/>
      <c r="DU28" s="272"/>
      <c r="DV28" s="272"/>
      <c r="DW28" s="272"/>
      <c r="DX28" s="272"/>
      <c r="DY28" s="272"/>
      <c r="DZ28" s="272"/>
      <c r="EA28" s="272"/>
      <c r="EB28" s="272"/>
      <c r="EC28" s="272"/>
      <c r="ED28" s="272"/>
      <c r="EE28" s="272"/>
      <c r="EF28" s="272"/>
      <c r="EG28" s="272"/>
      <c r="EH28" s="272"/>
      <c r="EI28" s="272"/>
      <c r="EJ28" s="272"/>
      <c r="EK28" s="272"/>
      <c r="EL28" s="272"/>
      <c r="EM28" s="272"/>
      <c r="EN28" s="272"/>
      <c r="EO28" s="272"/>
      <c r="EP28" s="272"/>
      <c r="EQ28" s="272"/>
      <c r="ER28" s="272"/>
      <c r="ES28" s="272"/>
      <c r="ET28" s="272"/>
      <c r="EU28" s="272"/>
      <c r="EV28" s="272"/>
      <c r="EW28" s="272"/>
      <c r="EX28" s="272"/>
      <c r="EY28" s="272"/>
      <c r="EZ28" s="272"/>
      <c r="FA28" s="272"/>
      <c r="FB28" s="272"/>
      <c r="FC28" s="272"/>
      <c r="FD28" s="272"/>
      <c r="FE28" s="272"/>
      <c r="FF28" s="272"/>
      <c r="FG28" s="272"/>
      <c r="FH28" s="272"/>
      <c r="FI28" s="272"/>
      <c r="FJ28" s="272"/>
      <c r="FK28" s="272"/>
      <c r="FL28" s="272"/>
      <c r="FM28" s="272"/>
      <c r="FN28" s="272"/>
      <c r="FO28" s="272"/>
      <c r="FP28" s="272"/>
      <c r="FQ28" s="272"/>
      <c r="FR28" s="272"/>
      <c r="FS28" s="272"/>
      <c r="FT28" s="272"/>
      <c r="FU28" s="272"/>
      <c r="FV28" s="272"/>
      <c r="FW28" s="272"/>
      <c r="FX28" s="272"/>
      <c r="FY28" s="272"/>
      <c r="FZ28" s="272"/>
      <c r="GA28" s="272"/>
      <c r="GB28" s="272"/>
      <c r="GC28" s="272"/>
      <c r="GD28" s="272"/>
      <c r="GE28" s="272"/>
      <c r="GF28" s="272"/>
      <c r="GG28" s="272"/>
      <c r="GH28" s="272"/>
      <c r="GI28" s="272"/>
      <c r="GJ28" s="272"/>
      <c r="GK28" s="272"/>
      <c r="GL28" s="272"/>
      <c r="GM28" s="272"/>
      <c r="GN28" s="272"/>
      <c r="GO28" s="272"/>
      <c r="GP28" s="272"/>
      <c r="GQ28" s="272"/>
      <c r="GR28" s="272"/>
      <c r="GS28" s="272"/>
      <c r="GT28" s="272"/>
      <c r="GU28" s="272"/>
      <c r="GV28" s="272"/>
      <c r="GW28" s="272"/>
      <c r="GX28" s="272"/>
      <c r="GY28" s="272"/>
      <c r="GZ28" s="272"/>
      <c r="HA28" s="272"/>
      <c r="HB28" s="272"/>
      <c r="HC28" s="272"/>
      <c r="HD28" s="272"/>
      <c r="HE28" s="272"/>
      <c r="HF28" s="272"/>
      <c r="HG28" s="272"/>
      <c r="HH28" s="272"/>
      <c r="HI28" s="272"/>
      <c r="HJ28" s="272"/>
      <c r="HK28" s="272"/>
      <c r="HL28" s="272"/>
      <c r="HM28" s="272"/>
      <c r="HN28" s="272"/>
      <c r="HO28" s="272"/>
      <c r="HP28" s="272"/>
      <c r="HQ28" s="272"/>
      <c r="HR28" s="272"/>
      <c r="HS28" s="272"/>
      <c r="HT28" s="272"/>
      <c r="HU28" s="272"/>
      <c r="HV28" s="272"/>
      <c r="HW28" s="272"/>
      <c r="HX28" s="272"/>
      <c r="HY28" s="272"/>
      <c r="HZ28" s="272"/>
      <c r="IA28" s="272"/>
      <c r="IB28" s="272"/>
      <c r="IC28" s="272"/>
      <c r="ID28" s="272"/>
      <c r="IE28" s="272"/>
      <c r="IF28" s="272"/>
      <c r="IG28" s="272"/>
      <c r="IH28" s="272"/>
      <c r="II28" s="272"/>
      <c r="IJ28" s="272"/>
      <c r="IK28" s="272"/>
      <c r="IL28" s="272"/>
      <c r="IM28" s="272"/>
      <c r="IN28" s="272"/>
      <c r="IO28" s="272"/>
      <c r="IP28" s="272"/>
      <c r="IQ28" s="272"/>
      <c r="IR28" s="272"/>
      <c r="IS28" s="272"/>
      <c r="IT28" s="272"/>
      <c r="IU28" s="272"/>
      <c r="IV28" s="272"/>
      <c r="IW28" s="272"/>
      <c r="IX28" s="272"/>
      <c r="IY28" s="272"/>
      <c r="IZ28" s="272"/>
      <c r="JA28" s="272"/>
      <c r="JB28" s="272"/>
      <c r="JC28" s="272"/>
      <c r="JD28" s="272"/>
      <c r="JE28" s="272"/>
      <c r="JF28" s="272"/>
      <c r="JG28" s="272"/>
      <c r="JH28" s="272"/>
      <c r="JI28" s="272"/>
      <c r="JJ28" s="272"/>
      <c r="JK28" s="272"/>
      <c r="JL28" s="272"/>
      <c r="JM28" s="272"/>
      <c r="JN28" s="272"/>
      <c r="JO28" s="272"/>
      <c r="JP28" s="272"/>
      <c r="JQ28" s="272"/>
      <c r="JR28" s="272"/>
      <c r="JS28" s="272"/>
      <c r="JT28" s="272"/>
      <c r="JU28" s="272"/>
      <c r="JV28" s="272"/>
      <c r="JW28" s="272"/>
      <c r="JX28" s="272"/>
      <c r="JY28" s="272"/>
      <c r="JZ28" s="272"/>
      <c r="KA28" s="272"/>
      <c r="KB28" s="272"/>
      <c r="KC28" s="272"/>
      <c r="KD28" s="272"/>
      <c r="KE28" s="272"/>
      <c r="KF28" s="272"/>
      <c r="KG28" s="272"/>
      <c r="KH28" s="272"/>
      <c r="KI28" s="272"/>
      <c r="KJ28" s="272"/>
      <c r="KK28" s="272"/>
      <c r="KL28" s="272"/>
      <c r="KM28" s="272"/>
      <c r="KN28" s="272"/>
      <c r="KO28" s="272"/>
      <c r="KP28" s="272"/>
      <c r="KQ28" s="272"/>
      <c r="KR28" s="272"/>
      <c r="KS28" s="272"/>
      <c r="KT28" s="272"/>
      <c r="KU28" s="272"/>
      <c r="KV28" s="272"/>
      <c r="KW28" s="272"/>
      <c r="KX28" s="272"/>
      <c r="KY28" s="272"/>
      <c r="KZ28" s="272"/>
      <c r="LA28" s="272"/>
      <c r="LB28" s="272"/>
      <c r="LC28" s="272"/>
      <c r="LD28" s="272"/>
      <c r="LE28" s="272"/>
      <c r="LF28" s="272"/>
      <c r="LG28" s="272"/>
      <c r="LH28" s="272"/>
      <c r="LI28" s="272"/>
      <c r="LJ28" s="272"/>
      <c r="LK28" s="272"/>
      <c r="LL28" s="272"/>
      <c r="LM28" s="272"/>
      <c r="LN28" s="272"/>
      <c r="LO28" s="272"/>
      <c r="LP28" s="272"/>
      <c r="LQ28" s="272"/>
      <c r="LR28" s="272"/>
      <c r="LS28" s="272"/>
      <c r="LT28" s="272"/>
      <c r="LU28" s="272"/>
      <c r="LV28" s="272"/>
      <c r="LW28" s="272"/>
      <c r="LX28" s="272"/>
      <c r="LY28" s="272"/>
      <c r="LZ28" s="272"/>
      <c r="MA28" s="272"/>
      <c r="MB28" s="272"/>
      <c r="MC28" s="272"/>
      <c r="MD28" s="272"/>
      <c r="ME28" s="272"/>
      <c r="MF28" s="272"/>
      <c r="MG28" s="272"/>
      <c r="MH28" s="272"/>
      <c r="MI28" s="272"/>
      <c r="MJ28" s="272"/>
      <c r="MK28" s="272"/>
      <c r="ML28" s="272"/>
      <c r="MM28" s="272"/>
      <c r="MN28" s="272"/>
      <c r="MO28" s="272"/>
      <c r="MP28" s="272"/>
      <c r="MQ28" s="272"/>
      <c r="MR28" s="272"/>
      <c r="MS28" s="272"/>
      <c r="MT28" s="272"/>
      <c r="MU28" s="272"/>
      <c r="MV28" s="272"/>
      <c r="MW28" s="272"/>
      <c r="MX28" s="272"/>
      <c r="MY28" s="272"/>
      <c r="MZ28" s="272"/>
      <c r="NA28" s="272"/>
      <c r="NB28" s="272"/>
      <c r="NC28" s="272"/>
      <c r="ND28" s="272"/>
      <c r="NE28" s="272"/>
      <c r="NF28" s="272"/>
      <c r="NG28" s="272"/>
      <c r="NH28" s="272"/>
      <c r="NI28" s="272"/>
      <c r="NJ28" s="272"/>
      <c r="NK28" s="272"/>
      <c r="NL28" s="272"/>
      <c r="NM28" s="272"/>
      <c r="NN28" s="272"/>
      <c r="NO28" s="272"/>
      <c r="NP28" s="272"/>
      <c r="NQ28" s="272"/>
      <c r="NR28" s="272"/>
      <c r="NS28" s="272"/>
      <c r="NT28" s="272"/>
      <c r="NU28" s="272"/>
      <c r="NV28" s="272"/>
      <c r="NW28" s="272"/>
      <c r="NX28" s="272"/>
      <c r="NY28" s="272"/>
      <c r="NZ28" s="272"/>
      <c r="OA28" s="272"/>
      <c r="OB28" s="272"/>
      <c r="OC28" s="272"/>
      <c r="OD28" s="272"/>
      <c r="OE28" s="272"/>
      <c r="OF28" s="272"/>
      <c r="OG28" s="272"/>
      <c r="OH28" s="272"/>
      <c r="OI28" s="272"/>
      <c r="OJ28" s="272"/>
      <c r="OK28" s="272"/>
      <c r="OL28" s="272"/>
      <c r="OM28" s="272"/>
      <c r="ON28" s="272"/>
      <c r="OO28" s="272"/>
      <c r="OP28" s="272"/>
      <c r="OQ28" s="272"/>
      <c r="OR28" s="272"/>
      <c r="OS28" s="272"/>
      <c r="OT28" s="272"/>
      <c r="OU28" s="272"/>
      <c r="OV28" s="272"/>
      <c r="OW28" s="272"/>
      <c r="OX28" s="272"/>
      <c r="OY28" s="272"/>
      <c r="OZ28" s="272"/>
      <c r="PA28" s="272"/>
      <c r="PB28" s="272"/>
      <c r="PC28" s="272"/>
      <c r="PD28" s="272"/>
      <c r="PE28" s="272"/>
      <c r="PF28" s="272"/>
      <c r="PG28" s="272"/>
      <c r="PH28" s="272"/>
      <c r="PI28" s="272"/>
      <c r="PJ28" s="272"/>
      <c r="PK28" s="272"/>
      <c r="PL28" s="272"/>
      <c r="PM28" s="272"/>
      <c r="PN28" s="272"/>
      <c r="PO28" s="272"/>
      <c r="PP28" s="272"/>
      <c r="PQ28" s="272"/>
      <c r="PR28" s="272"/>
      <c r="PS28" s="272"/>
      <c r="PT28" s="272"/>
      <c r="PU28" s="272"/>
      <c r="PV28" s="272"/>
      <c r="PW28" s="272"/>
      <c r="PX28" s="272"/>
      <c r="PY28" s="272"/>
      <c r="PZ28" s="272"/>
      <c r="QA28" s="272"/>
      <c r="QB28" s="272"/>
      <c r="QC28" s="272"/>
      <c r="QD28" s="272"/>
      <c r="QE28" s="272"/>
      <c r="QF28" s="272"/>
      <c r="QG28" s="272"/>
      <c r="QH28" s="272"/>
      <c r="QI28" s="272"/>
      <c r="QJ28" s="272"/>
      <c r="QK28" s="272"/>
      <c r="QL28" s="272"/>
      <c r="QM28" s="272"/>
      <c r="QN28" s="272"/>
      <c r="QO28" s="272"/>
      <c r="QP28" s="272"/>
      <c r="QQ28" s="272"/>
      <c r="QR28" s="272"/>
      <c r="QS28" s="272"/>
      <c r="QT28" s="272"/>
      <c r="QU28" s="272"/>
      <c r="QV28" s="272"/>
      <c r="QW28" s="272"/>
      <c r="QX28" s="272"/>
      <c r="QY28" s="272"/>
      <c r="QZ28" s="272"/>
      <c r="RA28" s="272"/>
      <c r="RB28" s="272"/>
      <c r="RC28" s="272"/>
      <c r="RD28" s="272"/>
      <c r="RE28" s="272"/>
      <c r="RF28" s="272"/>
      <c r="RG28" s="272"/>
      <c r="RH28" s="272"/>
      <c r="RI28" s="272"/>
      <c r="RJ28" s="272"/>
      <c r="RK28" s="272"/>
      <c r="RL28" s="272"/>
      <c r="RM28" s="272"/>
      <c r="RN28" s="272"/>
      <c r="RO28" s="272"/>
      <c r="RP28" s="272"/>
      <c r="RQ28" s="272"/>
      <c r="RR28" s="272"/>
      <c r="RS28" s="272"/>
      <c r="RT28" s="272"/>
      <c r="RU28" s="272"/>
      <c r="RV28" s="272"/>
      <c r="RW28" s="272"/>
      <c r="RX28" s="272"/>
      <c r="RY28" s="272"/>
      <c r="RZ28" s="272"/>
      <c r="SA28" s="272"/>
      <c r="SB28" s="272"/>
      <c r="SC28" s="272"/>
      <c r="SD28" s="272"/>
      <c r="SE28" s="272"/>
      <c r="SF28" s="272"/>
      <c r="SG28" s="272"/>
      <c r="SH28" s="272"/>
      <c r="SI28" s="272"/>
      <c r="SJ28" s="272"/>
      <c r="SK28" s="272"/>
      <c r="SL28" s="272"/>
      <c r="SM28" s="272"/>
      <c r="SN28" s="272"/>
      <c r="SO28" s="272"/>
      <c r="SP28" s="272"/>
      <c r="SQ28" s="272"/>
      <c r="SR28" s="272"/>
      <c r="SS28" s="272"/>
      <c r="ST28" s="272"/>
      <c r="SU28" s="272"/>
      <c r="SV28" s="272"/>
      <c r="SW28" s="272"/>
      <c r="SX28" s="272"/>
      <c r="SY28" s="272"/>
      <c r="SZ28" s="272"/>
      <c r="TA28" s="272"/>
      <c r="TB28" s="272"/>
      <c r="TC28" s="272"/>
      <c r="TD28" s="272"/>
      <c r="TE28" s="272"/>
      <c r="TF28" s="272"/>
      <c r="TG28" s="272"/>
      <c r="TH28" s="272"/>
      <c r="TI28" s="272"/>
      <c r="TJ28" s="272"/>
      <c r="TK28" s="272"/>
      <c r="TL28" s="272"/>
      <c r="TM28" s="272"/>
      <c r="TN28" s="272"/>
      <c r="TO28" s="272"/>
      <c r="TP28" s="272"/>
      <c r="TQ28" s="272"/>
      <c r="TR28" s="272"/>
      <c r="TS28" s="272"/>
      <c r="TT28" s="272"/>
      <c r="TU28" s="272"/>
      <c r="TV28" s="272"/>
      <c r="TW28" s="272"/>
      <c r="TX28" s="272"/>
      <c r="TY28" s="272"/>
      <c r="TZ28" s="272"/>
      <c r="UA28" s="272"/>
      <c r="UB28" s="272"/>
      <c r="UC28" s="272"/>
      <c r="UD28" s="272"/>
      <c r="UE28" s="272"/>
      <c r="UF28" s="272"/>
      <c r="UG28" s="272"/>
      <c r="UH28" s="272"/>
      <c r="UI28" s="272"/>
      <c r="UJ28" s="272"/>
      <c r="UK28" s="272"/>
      <c r="UL28" s="272"/>
      <c r="UM28" s="272"/>
      <c r="UN28" s="272"/>
      <c r="UO28" s="272"/>
      <c r="UP28" s="272"/>
      <c r="UQ28" s="272"/>
      <c r="UR28" s="272"/>
      <c r="US28" s="272"/>
      <c r="UT28" s="272"/>
      <c r="UU28" s="272"/>
      <c r="UV28" s="272"/>
      <c r="UW28" s="272"/>
      <c r="UX28" s="272"/>
      <c r="UY28" s="272"/>
      <c r="UZ28" s="272"/>
      <c r="VA28" s="272"/>
      <c r="VB28" s="272"/>
      <c r="VC28" s="272"/>
      <c r="VD28" s="272"/>
      <c r="VE28" s="272"/>
      <c r="VF28" s="272"/>
      <c r="VG28" s="272"/>
      <c r="VH28" s="272"/>
      <c r="VI28" s="272"/>
      <c r="VJ28" s="272"/>
      <c r="VK28" s="272"/>
      <c r="VL28" s="272"/>
      <c r="VM28" s="272"/>
      <c r="VN28" s="272"/>
      <c r="VO28" s="272"/>
      <c r="VP28" s="272"/>
      <c r="VQ28" s="272"/>
      <c r="VR28" s="272"/>
      <c r="VS28" s="272"/>
      <c r="VT28" s="272"/>
      <c r="VU28" s="272"/>
      <c r="VV28" s="272"/>
      <c r="VW28" s="272"/>
      <c r="VX28" s="272"/>
      <c r="VY28" s="272"/>
      <c r="VZ28" s="272"/>
      <c r="WA28" s="272"/>
      <c r="WB28" s="272"/>
      <c r="WC28" s="272"/>
      <c r="WD28" s="272"/>
      <c r="WE28" s="272"/>
      <c r="WF28" s="272"/>
      <c r="WG28" s="272"/>
      <c r="WH28" s="272"/>
      <c r="WI28" s="272"/>
      <c r="WJ28" s="272"/>
      <c r="WK28" s="272"/>
      <c r="WL28" s="272"/>
      <c r="WM28" s="272"/>
      <c r="WN28" s="272"/>
      <c r="WO28" s="272"/>
      <c r="WP28" s="272"/>
      <c r="WQ28" s="272"/>
      <c r="WR28" s="272"/>
      <c r="WS28" s="272"/>
      <c r="WT28" s="272"/>
      <c r="WU28" s="272"/>
      <c r="WV28" s="272"/>
      <c r="WW28" s="272"/>
      <c r="WX28" s="272"/>
      <c r="WY28" s="272"/>
      <c r="WZ28" s="272"/>
      <c r="XA28" s="272"/>
      <c r="XB28" s="272"/>
      <c r="XC28" s="272"/>
      <c r="XD28" s="272"/>
      <c r="XE28" s="272"/>
      <c r="XF28" s="272"/>
      <c r="XG28" s="272"/>
      <c r="XH28" s="272"/>
      <c r="XI28" s="272"/>
      <c r="XJ28" s="272"/>
      <c r="XK28" s="272"/>
      <c r="XL28" s="272"/>
      <c r="XM28" s="272"/>
      <c r="XN28" s="272"/>
      <c r="XO28" s="272"/>
      <c r="XP28" s="272"/>
      <c r="XQ28" s="272"/>
      <c r="XR28" s="272"/>
      <c r="XS28" s="272"/>
      <c r="XT28" s="272"/>
      <c r="XU28" s="272"/>
      <c r="XV28" s="272"/>
      <c r="XW28" s="272"/>
      <c r="XX28" s="272"/>
      <c r="XY28" s="272"/>
      <c r="XZ28" s="272"/>
      <c r="YA28" s="272"/>
      <c r="YB28" s="272"/>
      <c r="YC28" s="272"/>
      <c r="YD28" s="272"/>
      <c r="YE28" s="272"/>
      <c r="YF28" s="272"/>
      <c r="YG28" s="272"/>
      <c r="YH28" s="272"/>
      <c r="YI28" s="272"/>
      <c r="YJ28" s="272"/>
      <c r="YK28" s="272"/>
      <c r="YL28" s="272"/>
      <c r="YM28" s="272"/>
      <c r="YN28" s="272"/>
      <c r="YO28" s="272"/>
      <c r="YP28" s="272"/>
      <c r="YQ28" s="272"/>
      <c r="YR28" s="272"/>
      <c r="YS28" s="272"/>
      <c r="YT28" s="272"/>
      <c r="YU28" s="272"/>
      <c r="YV28" s="272"/>
      <c r="YW28" s="272"/>
      <c r="YX28" s="272"/>
      <c r="YY28" s="272"/>
      <c r="YZ28" s="272"/>
      <c r="ZA28" s="272"/>
      <c r="ZB28" s="272"/>
      <c r="ZC28" s="272"/>
      <c r="ZD28" s="272"/>
      <c r="ZE28" s="272"/>
      <c r="ZF28" s="272"/>
      <c r="ZG28" s="272"/>
      <c r="ZH28" s="272"/>
      <c r="ZI28" s="272"/>
      <c r="ZJ28" s="272"/>
      <c r="ZK28" s="272"/>
      <c r="ZL28" s="272"/>
      <c r="ZM28" s="272"/>
      <c r="ZN28" s="272"/>
      <c r="ZO28" s="272"/>
      <c r="ZP28" s="272"/>
      <c r="ZQ28" s="272"/>
      <c r="ZR28" s="272"/>
      <c r="ZS28" s="272"/>
      <c r="ZT28" s="272"/>
    </row>
    <row r="29" spans="1:696" s="19" customFormat="1" ht="15">
      <c r="A29" s="44"/>
      <c r="B29" s="598"/>
      <c r="C29" s="24" t="s">
        <v>54</v>
      </c>
      <c r="D29" s="505"/>
      <c r="E29" s="532"/>
      <c r="F29" s="509"/>
      <c r="G29" s="506"/>
      <c r="H29" s="506"/>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2"/>
      <c r="DK29" s="272"/>
      <c r="DL29" s="272"/>
      <c r="DM29" s="272"/>
      <c r="DN29" s="272"/>
      <c r="DO29" s="272"/>
      <c r="DP29" s="272"/>
      <c r="DQ29" s="272"/>
      <c r="DR29" s="272"/>
      <c r="DS29" s="272"/>
      <c r="DT29" s="272"/>
      <c r="DU29" s="272"/>
      <c r="DV29" s="272"/>
      <c r="DW29" s="272"/>
      <c r="DX29" s="272"/>
      <c r="DY29" s="272"/>
      <c r="DZ29" s="272"/>
      <c r="EA29" s="272"/>
      <c r="EB29" s="272"/>
      <c r="EC29" s="272"/>
      <c r="ED29" s="272"/>
      <c r="EE29" s="272"/>
      <c r="EF29" s="272"/>
      <c r="EG29" s="272"/>
      <c r="EH29" s="272"/>
      <c r="EI29" s="272"/>
      <c r="EJ29" s="272"/>
      <c r="EK29" s="272"/>
      <c r="EL29" s="272"/>
      <c r="EM29" s="272"/>
      <c r="EN29" s="272"/>
      <c r="EO29" s="272"/>
      <c r="EP29" s="272"/>
      <c r="EQ29" s="272"/>
      <c r="ER29" s="272"/>
      <c r="ES29" s="272"/>
      <c r="ET29" s="272"/>
      <c r="EU29" s="272"/>
      <c r="EV29" s="272"/>
      <c r="EW29" s="272"/>
      <c r="EX29" s="272"/>
      <c r="EY29" s="272"/>
      <c r="EZ29" s="272"/>
      <c r="FA29" s="272"/>
      <c r="FB29" s="272"/>
      <c r="FC29" s="272"/>
      <c r="FD29" s="272"/>
      <c r="FE29" s="272"/>
      <c r="FF29" s="272"/>
      <c r="FG29" s="272"/>
      <c r="FH29" s="272"/>
      <c r="FI29" s="272"/>
      <c r="FJ29" s="272"/>
      <c r="FK29" s="272"/>
      <c r="FL29" s="272"/>
      <c r="FM29" s="272"/>
      <c r="FN29" s="272"/>
      <c r="FO29" s="272"/>
      <c r="FP29" s="272"/>
      <c r="FQ29" s="272"/>
      <c r="FR29" s="272"/>
      <c r="FS29" s="272"/>
      <c r="FT29" s="272"/>
      <c r="FU29" s="272"/>
      <c r="FV29" s="272"/>
      <c r="FW29" s="272"/>
      <c r="FX29" s="272"/>
      <c r="FY29" s="272"/>
      <c r="FZ29" s="272"/>
      <c r="GA29" s="272"/>
      <c r="GB29" s="272"/>
      <c r="GC29" s="272"/>
      <c r="GD29" s="272"/>
      <c r="GE29" s="272"/>
      <c r="GF29" s="272"/>
      <c r="GG29" s="272"/>
      <c r="GH29" s="272"/>
      <c r="GI29" s="272"/>
      <c r="GJ29" s="272"/>
      <c r="GK29" s="272"/>
      <c r="GL29" s="272"/>
      <c r="GM29" s="272"/>
      <c r="GN29" s="272"/>
      <c r="GO29" s="272"/>
      <c r="GP29" s="272"/>
      <c r="GQ29" s="272"/>
      <c r="GR29" s="272"/>
      <c r="GS29" s="272"/>
      <c r="GT29" s="272"/>
      <c r="GU29" s="272"/>
      <c r="GV29" s="272"/>
      <c r="GW29" s="272"/>
      <c r="GX29" s="272"/>
      <c r="GY29" s="272"/>
      <c r="GZ29" s="272"/>
      <c r="HA29" s="272"/>
      <c r="HB29" s="272"/>
      <c r="HC29" s="272"/>
      <c r="HD29" s="272"/>
      <c r="HE29" s="272"/>
      <c r="HF29" s="272"/>
      <c r="HG29" s="272"/>
      <c r="HH29" s="272"/>
      <c r="HI29" s="272"/>
      <c r="HJ29" s="272"/>
      <c r="HK29" s="272"/>
      <c r="HL29" s="272"/>
      <c r="HM29" s="27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2"/>
      <c r="IX29" s="272"/>
      <c r="IY29" s="272"/>
      <c r="IZ29" s="272"/>
      <c r="JA29" s="272"/>
      <c r="JB29" s="272"/>
      <c r="JC29" s="272"/>
      <c r="JD29" s="272"/>
      <c r="JE29" s="272"/>
      <c r="JF29" s="272"/>
      <c r="JG29" s="272"/>
      <c r="JH29" s="272"/>
      <c r="JI29" s="272"/>
      <c r="JJ29" s="272"/>
      <c r="JK29" s="272"/>
      <c r="JL29" s="272"/>
      <c r="JM29" s="272"/>
      <c r="JN29" s="272"/>
      <c r="JO29" s="272"/>
      <c r="JP29" s="272"/>
      <c r="JQ29" s="272"/>
      <c r="JR29" s="272"/>
      <c r="JS29" s="272"/>
      <c r="JT29" s="272"/>
      <c r="JU29" s="272"/>
      <c r="JV29" s="272"/>
      <c r="JW29" s="272"/>
      <c r="JX29" s="272"/>
      <c r="JY29" s="272"/>
      <c r="JZ29" s="272"/>
      <c r="KA29" s="272"/>
      <c r="KB29" s="272"/>
      <c r="KC29" s="272"/>
      <c r="KD29" s="272"/>
      <c r="KE29" s="272"/>
      <c r="KF29" s="272"/>
      <c r="KG29" s="272"/>
      <c r="KH29" s="272"/>
      <c r="KI29" s="272"/>
      <c r="KJ29" s="272"/>
      <c r="KK29" s="272"/>
      <c r="KL29" s="272"/>
      <c r="KM29" s="272"/>
      <c r="KN29" s="272"/>
      <c r="KO29" s="272"/>
      <c r="KP29" s="272"/>
      <c r="KQ29" s="272"/>
      <c r="KR29" s="272"/>
      <c r="KS29" s="272"/>
      <c r="KT29" s="272"/>
      <c r="KU29" s="272"/>
      <c r="KV29" s="272"/>
      <c r="KW29" s="272"/>
      <c r="KX29" s="272"/>
      <c r="KY29" s="272"/>
      <c r="KZ29" s="272"/>
      <c r="LA29" s="272"/>
      <c r="LB29" s="272"/>
      <c r="LC29" s="272"/>
      <c r="LD29" s="272"/>
      <c r="LE29" s="272"/>
      <c r="LF29" s="272"/>
      <c r="LG29" s="272"/>
      <c r="LH29" s="272"/>
      <c r="LI29" s="272"/>
      <c r="LJ29" s="272"/>
      <c r="LK29" s="272"/>
      <c r="LL29" s="272"/>
      <c r="LM29" s="272"/>
      <c r="LN29" s="272"/>
      <c r="LO29" s="272"/>
      <c r="LP29" s="272"/>
      <c r="LQ29" s="272"/>
      <c r="LR29" s="272"/>
      <c r="LS29" s="272"/>
      <c r="LT29" s="272"/>
      <c r="LU29" s="272"/>
      <c r="LV29" s="272"/>
      <c r="LW29" s="272"/>
      <c r="LX29" s="272"/>
      <c r="LY29" s="272"/>
      <c r="LZ29" s="272"/>
      <c r="MA29" s="272"/>
      <c r="MB29" s="272"/>
      <c r="MC29" s="272"/>
      <c r="MD29" s="272"/>
      <c r="ME29" s="272"/>
      <c r="MF29" s="272"/>
      <c r="MG29" s="272"/>
      <c r="MH29" s="272"/>
      <c r="MI29" s="272"/>
      <c r="MJ29" s="272"/>
      <c r="MK29" s="272"/>
      <c r="ML29" s="272"/>
      <c r="MM29" s="272"/>
      <c r="MN29" s="272"/>
      <c r="MO29" s="272"/>
      <c r="MP29" s="272"/>
      <c r="MQ29" s="272"/>
      <c r="MR29" s="272"/>
      <c r="MS29" s="272"/>
      <c r="MT29" s="272"/>
      <c r="MU29" s="272"/>
      <c r="MV29" s="272"/>
      <c r="MW29" s="272"/>
      <c r="MX29" s="272"/>
      <c r="MY29" s="272"/>
      <c r="MZ29" s="272"/>
      <c r="NA29" s="272"/>
      <c r="NB29" s="272"/>
      <c r="NC29" s="272"/>
      <c r="ND29" s="272"/>
      <c r="NE29" s="272"/>
      <c r="NF29" s="272"/>
      <c r="NG29" s="272"/>
      <c r="NH29" s="272"/>
      <c r="NI29" s="272"/>
      <c r="NJ29" s="272"/>
      <c r="NK29" s="272"/>
      <c r="NL29" s="272"/>
      <c r="NM29" s="272"/>
      <c r="NN29" s="272"/>
      <c r="NO29" s="272"/>
      <c r="NP29" s="272"/>
      <c r="NQ29" s="272"/>
      <c r="NR29" s="272"/>
      <c r="NS29" s="272"/>
      <c r="NT29" s="272"/>
      <c r="NU29" s="272"/>
      <c r="NV29" s="272"/>
      <c r="NW29" s="272"/>
      <c r="NX29" s="272"/>
      <c r="NY29" s="272"/>
      <c r="NZ29" s="272"/>
      <c r="OA29" s="272"/>
      <c r="OB29" s="272"/>
      <c r="OC29" s="272"/>
      <c r="OD29" s="272"/>
      <c r="OE29" s="272"/>
      <c r="OF29" s="272"/>
      <c r="OG29" s="272"/>
      <c r="OH29" s="272"/>
      <c r="OI29" s="272"/>
      <c r="OJ29" s="272"/>
      <c r="OK29" s="272"/>
      <c r="OL29" s="272"/>
      <c r="OM29" s="272"/>
      <c r="ON29" s="272"/>
      <c r="OO29" s="272"/>
      <c r="OP29" s="272"/>
      <c r="OQ29" s="272"/>
      <c r="OR29" s="272"/>
      <c r="OS29" s="272"/>
      <c r="OT29" s="272"/>
      <c r="OU29" s="272"/>
      <c r="OV29" s="272"/>
      <c r="OW29" s="272"/>
      <c r="OX29" s="272"/>
      <c r="OY29" s="272"/>
      <c r="OZ29" s="272"/>
      <c r="PA29" s="272"/>
      <c r="PB29" s="272"/>
      <c r="PC29" s="272"/>
      <c r="PD29" s="272"/>
      <c r="PE29" s="272"/>
      <c r="PF29" s="272"/>
      <c r="PG29" s="272"/>
      <c r="PH29" s="272"/>
      <c r="PI29" s="272"/>
      <c r="PJ29" s="272"/>
      <c r="PK29" s="272"/>
      <c r="PL29" s="272"/>
      <c r="PM29" s="272"/>
      <c r="PN29" s="272"/>
      <c r="PO29" s="272"/>
      <c r="PP29" s="272"/>
      <c r="PQ29" s="272"/>
      <c r="PR29" s="272"/>
      <c r="PS29" s="272"/>
      <c r="PT29" s="272"/>
      <c r="PU29" s="272"/>
      <c r="PV29" s="272"/>
      <c r="PW29" s="272"/>
      <c r="PX29" s="272"/>
      <c r="PY29" s="272"/>
      <c r="PZ29" s="272"/>
      <c r="QA29" s="272"/>
      <c r="QB29" s="272"/>
      <c r="QC29" s="272"/>
      <c r="QD29" s="272"/>
      <c r="QE29" s="272"/>
      <c r="QF29" s="272"/>
      <c r="QG29" s="272"/>
      <c r="QH29" s="272"/>
      <c r="QI29" s="272"/>
      <c r="QJ29" s="272"/>
      <c r="QK29" s="272"/>
      <c r="QL29" s="272"/>
      <c r="QM29" s="272"/>
      <c r="QN29" s="272"/>
      <c r="QO29" s="272"/>
      <c r="QP29" s="272"/>
      <c r="QQ29" s="272"/>
      <c r="QR29" s="272"/>
      <c r="QS29" s="272"/>
      <c r="QT29" s="272"/>
      <c r="QU29" s="272"/>
      <c r="QV29" s="272"/>
      <c r="QW29" s="272"/>
      <c r="QX29" s="272"/>
      <c r="QY29" s="272"/>
      <c r="QZ29" s="272"/>
      <c r="RA29" s="272"/>
      <c r="RB29" s="272"/>
      <c r="RC29" s="272"/>
      <c r="RD29" s="272"/>
      <c r="RE29" s="272"/>
      <c r="RF29" s="272"/>
      <c r="RG29" s="272"/>
      <c r="RH29" s="272"/>
      <c r="RI29" s="272"/>
      <c r="RJ29" s="272"/>
      <c r="RK29" s="272"/>
      <c r="RL29" s="272"/>
      <c r="RM29" s="272"/>
      <c r="RN29" s="272"/>
      <c r="RO29" s="272"/>
      <c r="RP29" s="272"/>
      <c r="RQ29" s="272"/>
      <c r="RR29" s="272"/>
      <c r="RS29" s="272"/>
      <c r="RT29" s="272"/>
      <c r="RU29" s="272"/>
      <c r="RV29" s="272"/>
      <c r="RW29" s="272"/>
      <c r="RX29" s="272"/>
      <c r="RY29" s="272"/>
      <c r="RZ29" s="272"/>
      <c r="SA29" s="272"/>
      <c r="SB29" s="272"/>
      <c r="SC29" s="272"/>
      <c r="SD29" s="272"/>
      <c r="SE29" s="272"/>
      <c r="SF29" s="272"/>
      <c r="SG29" s="272"/>
      <c r="SH29" s="272"/>
      <c r="SI29" s="272"/>
      <c r="SJ29" s="272"/>
      <c r="SK29" s="272"/>
      <c r="SL29" s="272"/>
      <c r="SM29" s="272"/>
      <c r="SN29" s="272"/>
      <c r="SO29" s="272"/>
      <c r="SP29" s="272"/>
      <c r="SQ29" s="272"/>
      <c r="SR29" s="272"/>
      <c r="SS29" s="272"/>
      <c r="ST29" s="272"/>
      <c r="SU29" s="272"/>
      <c r="SV29" s="272"/>
      <c r="SW29" s="272"/>
      <c r="SX29" s="272"/>
      <c r="SY29" s="272"/>
      <c r="SZ29" s="272"/>
      <c r="TA29" s="272"/>
      <c r="TB29" s="272"/>
      <c r="TC29" s="272"/>
      <c r="TD29" s="272"/>
      <c r="TE29" s="272"/>
      <c r="TF29" s="272"/>
      <c r="TG29" s="272"/>
      <c r="TH29" s="272"/>
      <c r="TI29" s="272"/>
      <c r="TJ29" s="272"/>
      <c r="TK29" s="272"/>
      <c r="TL29" s="272"/>
      <c r="TM29" s="272"/>
      <c r="TN29" s="272"/>
      <c r="TO29" s="272"/>
      <c r="TP29" s="272"/>
      <c r="TQ29" s="272"/>
      <c r="TR29" s="272"/>
      <c r="TS29" s="272"/>
      <c r="TT29" s="272"/>
      <c r="TU29" s="272"/>
      <c r="TV29" s="272"/>
      <c r="TW29" s="272"/>
      <c r="TX29" s="272"/>
      <c r="TY29" s="272"/>
      <c r="TZ29" s="272"/>
      <c r="UA29" s="272"/>
      <c r="UB29" s="272"/>
      <c r="UC29" s="272"/>
      <c r="UD29" s="272"/>
      <c r="UE29" s="272"/>
      <c r="UF29" s="272"/>
      <c r="UG29" s="272"/>
      <c r="UH29" s="272"/>
      <c r="UI29" s="272"/>
      <c r="UJ29" s="272"/>
      <c r="UK29" s="272"/>
      <c r="UL29" s="272"/>
      <c r="UM29" s="272"/>
      <c r="UN29" s="272"/>
      <c r="UO29" s="272"/>
      <c r="UP29" s="272"/>
      <c r="UQ29" s="272"/>
      <c r="UR29" s="272"/>
      <c r="US29" s="272"/>
      <c r="UT29" s="272"/>
      <c r="UU29" s="272"/>
      <c r="UV29" s="272"/>
      <c r="UW29" s="272"/>
      <c r="UX29" s="272"/>
      <c r="UY29" s="272"/>
      <c r="UZ29" s="272"/>
      <c r="VA29" s="272"/>
      <c r="VB29" s="272"/>
      <c r="VC29" s="272"/>
      <c r="VD29" s="272"/>
      <c r="VE29" s="272"/>
      <c r="VF29" s="272"/>
      <c r="VG29" s="272"/>
      <c r="VH29" s="272"/>
      <c r="VI29" s="272"/>
      <c r="VJ29" s="272"/>
      <c r="VK29" s="272"/>
      <c r="VL29" s="272"/>
      <c r="VM29" s="272"/>
      <c r="VN29" s="272"/>
      <c r="VO29" s="272"/>
      <c r="VP29" s="272"/>
      <c r="VQ29" s="272"/>
      <c r="VR29" s="272"/>
      <c r="VS29" s="272"/>
      <c r="VT29" s="272"/>
      <c r="VU29" s="272"/>
      <c r="VV29" s="272"/>
      <c r="VW29" s="272"/>
      <c r="VX29" s="272"/>
      <c r="VY29" s="272"/>
      <c r="VZ29" s="272"/>
      <c r="WA29" s="272"/>
      <c r="WB29" s="272"/>
      <c r="WC29" s="272"/>
      <c r="WD29" s="272"/>
      <c r="WE29" s="272"/>
      <c r="WF29" s="272"/>
      <c r="WG29" s="272"/>
      <c r="WH29" s="272"/>
      <c r="WI29" s="272"/>
      <c r="WJ29" s="272"/>
      <c r="WK29" s="272"/>
      <c r="WL29" s="272"/>
      <c r="WM29" s="272"/>
      <c r="WN29" s="272"/>
      <c r="WO29" s="272"/>
      <c r="WP29" s="272"/>
      <c r="WQ29" s="272"/>
      <c r="WR29" s="272"/>
      <c r="WS29" s="272"/>
      <c r="WT29" s="272"/>
      <c r="WU29" s="272"/>
      <c r="WV29" s="272"/>
      <c r="WW29" s="272"/>
      <c r="WX29" s="272"/>
      <c r="WY29" s="272"/>
      <c r="WZ29" s="272"/>
      <c r="XA29" s="272"/>
      <c r="XB29" s="272"/>
      <c r="XC29" s="272"/>
      <c r="XD29" s="272"/>
      <c r="XE29" s="272"/>
      <c r="XF29" s="272"/>
      <c r="XG29" s="272"/>
      <c r="XH29" s="272"/>
      <c r="XI29" s="272"/>
      <c r="XJ29" s="272"/>
      <c r="XK29" s="272"/>
      <c r="XL29" s="272"/>
      <c r="XM29" s="272"/>
      <c r="XN29" s="272"/>
      <c r="XO29" s="272"/>
      <c r="XP29" s="272"/>
      <c r="XQ29" s="272"/>
      <c r="XR29" s="272"/>
      <c r="XS29" s="272"/>
      <c r="XT29" s="272"/>
      <c r="XU29" s="272"/>
      <c r="XV29" s="272"/>
      <c r="XW29" s="272"/>
      <c r="XX29" s="272"/>
      <c r="XY29" s="272"/>
      <c r="XZ29" s="272"/>
      <c r="YA29" s="272"/>
      <c r="YB29" s="272"/>
      <c r="YC29" s="272"/>
      <c r="YD29" s="272"/>
      <c r="YE29" s="272"/>
      <c r="YF29" s="272"/>
      <c r="YG29" s="272"/>
      <c r="YH29" s="272"/>
      <c r="YI29" s="272"/>
      <c r="YJ29" s="272"/>
      <c r="YK29" s="272"/>
      <c r="YL29" s="272"/>
      <c r="YM29" s="272"/>
      <c r="YN29" s="272"/>
      <c r="YO29" s="272"/>
      <c r="YP29" s="272"/>
      <c r="YQ29" s="272"/>
      <c r="YR29" s="272"/>
      <c r="YS29" s="272"/>
      <c r="YT29" s="272"/>
      <c r="YU29" s="272"/>
      <c r="YV29" s="272"/>
      <c r="YW29" s="272"/>
      <c r="YX29" s="272"/>
      <c r="YY29" s="272"/>
      <c r="YZ29" s="272"/>
      <c r="ZA29" s="272"/>
      <c r="ZB29" s="272"/>
      <c r="ZC29" s="272"/>
      <c r="ZD29" s="272"/>
      <c r="ZE29" s="272"/>
      <c r="ZF29" s="272"/>
      <c r="ZG29" s="272"/>
      <c r="ZH29" s="272"/>
      <c r="ZI29" s="272"/>
      <c r="ZJ29" s="272"/>
      <c r="ZK29" s="272"/>
      <c r="ZL29" s="272"/>
      <c r="ZM29" s="272"/>
      <c r="ZN29" s="272"/>
      <c r="ZO29" s="272"/>
      <c r="ZP29" s="272"/>
      <c r="ZQ29" s="272"/>
      <c r="ZR29" s="272"/>
      <c r="ZS29" s="272"/>
      <c r="ZT29" s="272"/>
    </row>
    <row r="30" spans="1:696" s="19" customFormat="1" ht="38.25" customHeight="1">
      <c r="A30" s="44"/>
      <c r="B30" s="596" t="s">
        <v>71</v>
      </c>
      <c r="C30" s="596" t="s">
        <v>52</v>
      </c>
      <c r="D30" s="599"/>
      <c r="E30" s="641"/>
      <c r="F30" s="621"/>
      <c r="G30" s="624"/>
      <c r="H30" s="624"/>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2"/>
      <c r="EK30" s="272"/>
      <c r="EL30" s="272"/>
      <c r="EM30" s="272"/>
      <c r="EN30" s="272"/>
      <c r="EO30" s="272"/>
      <c r="EP30" s="272"/>
      <c r="EQ30" s="272"/>
      <c r="ER30" s="272"/>
      <c r="ES30" s="272"/>
      <c r="ET30" s="272"/>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c r="FT30" s="272"/>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c r="GS30" s="272"/>
      <c r="GT30" s="272"/>
      <c r="GU30" s="272"/>
      <c r="GV30" s="272"/>
      <c r="GW30" s="272"/>
      <c r="GX30" s="272"/>
      <c r="GY30" s="272"/>
      <c r="GZ30" s="272"/>
      <c r="HA30" s="272"/>
      <c r="HB30" s="272"/>
      <c r="HC30" s="272"/>
      <c r="HD30" s="272"/>
      <c r="HE30" s="272"/>
      <c r="HF30" s="272"/>
      <c r="HG30" s="272"/>
      <c r="HH30" s="272"/>
      <c r="HI30" s="272"/>
      <c r="HJ30" s="272"/>
      <c r="HK30" s="272"/>
      <c r="HL30" s="272"/>
      <c r="HM30" s="27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2"/>
      <c r="IX30" s="272"/>
      <c r="IY30" s="272"/>
      <c r="IZ30" s="272"/>
      <c r="JA30" s="272"/>
      <c r="JB30" s="272"/>
      <c r="JC30" s="272"/>
      <c r="JD30" s="272"/>
      <c r="JE30" s="272"/>
      <c r="JF30" s="272"/>
      <c r="JG30" s="272"/>
      <c r="JH30" s="272"/>
      <c r="JI30" s="272"/>
      <c r="JJ30" s="272"/>
      <c r="JK30" s="272"/>
      <c r="JL30" s="272"/>
      <c r="JM30" s="272"/>
      <c r="JN30" s="272"/>
      <c r="JO30" s="272"/>
      <c r="JP30" s="272"/>
      <c r="JQ30" s="272"/>
      <c r="JR30" s="272"/>
      <c r="JS30" s="272"/>
      <c r="JT30" s="272"/>
      <c r="JU30" s="272"/>
      <c r="JV30" s="272"/>
      <c r="JW30" s="272"/>
      <c r="JX30" s="272"/>
      <c r="JY30" s="272"/>
      <c r="JZ30" s="272"/>
      <c r="KA30" s="272"/>
      <c r="KB30" s="272"/>
      <c r="KC30" s="272"/>
      <c r="KD30" s="272"/>
      <c r="KE30" s="272"/>
      <c r="KF30" s="272"/>
      <c r="KG30" s="272"/>
      <c r="KH30" s="272"/>
      <c r="KI30" s="272"/>
      <c r="KJ30" s="272"/>
      <c r="KK30" s="272"/>
      <c r="KL30" s="272"/>
      <c r="KM30" s="272"/>
      <c r="KN30" s="272"/>
      <c r="KO30" s="272"/>
      <c r="KP30" s="272"/>
      <c r="KQ30" s="272"/>
      <c r="KR30" s="272"/>
      <c r="KS30" s="272"/>
      <c r="KT30" s="272"/>
      <c r="KU30" s="272"/>
      <c r="KV30" s="272"/>
      <c r="KW30" s="272"/>
      <c r="KX30" s="272"/>
      <c r="KY30" s="272"/>
      <c r="KZ30" s="272"/>
      <c r="LA30" s="272"/>
      <c r="LB30" s="272"/>
      <c r="LC30" s="272"/>
      <c r="LD30" s="272"/>
      <c r="LE30" s="272"/>
      <c r="LF30" s="272"/>
      <c r="LG30" s="272"/>
      <c r="LH30" s="272"/>
      <c r="LI30" s="272"/>
      <c r="LJ30" s="272"/>
      <c r="LK30" s="272"/>
      <c r="LL30" s="272"/>
      <c r="LM30" s="272"/>
      <c r="LN30" s="272"/>
      <c r="LO30" s="272"/>
      <c r="LP30" s="272"/>
      <c r="LQ30" s="272"/>
      <c r="LR30" s="272"/>
      <c r="LS30" s="272"/>
      <c r="LT30" s="272"/>
      <c r="LU30" s="272"/>
      <c r="LV30" s="272"/>
      <c r="LW30" s="272"/>
      <c r="LX30" s="272"/>
      <c r="LY30" s="272"/>
      <c r="LZ30" s="272"/>
      <c r="MA30" s="272"/>
      <c r="MB30" s="272"/>
      <c r="MC30" s="272"/>
      <c r="MD30" s="272"/>
      <c r="ME30" s="272"/>
      <c r="MF30" s="272"/>
      <c r="MG30" s="272"/>
      <c r="MH30" s="272"/>
      <c r="MI30" s="272"/>
      <c r="MJ30" s="272"/>
      <c r="MK30" s="272"/>
      <c r="ML30" s="272"/>
      <c r="MM30" s="272"/>
      <c r="MN30" s="272"/>
      <c r="MO30" s="272"/>
      <c r="MP30" s="272"/>
      <c r="MQ30" s="272"/>
      <c r="MR30" s="272"/>
      <c r="MS30" s="272"/>
      <c r="MT30" s="272"/>
      <c r="MU30" s="272"/>
      <c r="MV30" s="272"/>
      <c r="MW30" s="272"/>
      <c r="MX30" s="272"/>
      <c r="MY30" s="272"/>
      <c r="MZ30" s="272"/>
      <c r="NA30" s="272"/>
      <c r="NB30" s="272"/>
      <c r="NC30" s="272"/>
      <c r="ND30" s="272"/>
      <c r="NE30" s="272"/>
      <c r="NF30" s="272"/>
      <c r="NG30" s="272"/>
      <c r="NH30" s="272"/>
      <c r="NI30" s="272"/>
      <c r="NJ30" s="272"/>
      <c r="NK30" s="272"/>
      <c r="NL30" s="272"/>
      <c r="NM30" s="272"/>
      <c r="NN30" s="272"/>
      <c r="NO30" s="272"/>
      <c r="NP30" s="272"/>
      <c r="NQ30" s="272"/>
      <c r="NR30" s="272"/>
      <c r="NS30" s="272"/>
      <c r="NT30" s="272"/>
      <c r="NU30" s="272"/>
      <c r="NV30" s="272"/>
      <c r="NW30" s="272"/>
      <c r="NX30" s="272"/>
      <c r="NY30" s="272"/>
      <c r="NZ30" s="272"/>
      <c r="OA30" s="272"/>
      <c r="OB30" s="272"/>
      <c r="OC30" s="272"/>
      <c r="OD30" s="272"/>
      <c r="OE30" s="272"/>
      <c r="OF30" s="272"/>
      <c r="OG30" s="272"/>
      <c r="OH30" s="272"/>
      <c r="OI30" s="272"/>
      <c r="OJ30" s="272"/>
      <c r="OK30" s="272"/>
      <c r="OL30" s="272"/>
      <c r="OM30" s="272"/>
      <c r="ON30" s="272"/>
      <c r="OO30" s="272"/>
      <c r="OP30" s="272"/>
      <c r="OQ30" s="272"/>
      <c r="OR30" s="272"/>
      <c r="OS30" s="272"/>
      <c r="OT30" s="272"/>
      <c r="OU30" s="272"/>
      <c r="OV30" s="272"/>
      <c r="OW30" s="272"/>
      <c r="OX30" s="272"/>
      <c r="OY30" s="272"/>
      <c r="OZ30" s="272"/>
      <c r="PA30" s="272"/>
      <c r="PB30" s="272"/>
      <c r="PC30" s="272"/>
      <c r="PD30" s="272"/>
      <c r="PE30" s="272"/>
      <c r="PF30" s="272"/>
      <c r="PG30" s="272"/>
      <c r="PH30" s="272"/>
      <c r="PI30" s="272"/>
      <c r="PJ30" s="272"/>
      <c r="PK30" s="272"/>
      <c r="PL30" s="272"/>
      <c r="PM30" s="272"/>
      <c r="PN30" s="272"/>
      <c r="PO30" s="272"/>
      <c r="PP30" s="272"/>
      <c r="PQ30" s="272"/>
      <c r="PR30" s="272"/>
      <c r="PS30" s="272"/>
      <c r="PT30" s="272"/>
      <c r="PU30" s="272"/>
      <c r="PV30" s="272"/>
      <c r="PW30" s="272"/>
      <c r="PX30" s="272"/>
      <c r="PY30" s="272"/>
      <c r="PZ30" s="272"/>
      <c r="QA30" s="272"/>
      <c r="QB30" s="272"/>
      <c r="QC30" s="272"/>
      <c r="QD30" s="272"/>
      <c r="QE30" s="272"/>
      <c r="QF30" s="272"/>
      <c r="QG30" s="272"/>
      <c r="QH30" s="272"/>
      <c r="QI30" s="272"/>
      <c r="QJ30" s="272"/>
      <c r="QK30" s="272"/>
      <c r="QL30" s="272"/>
      <c r="QM30" s="272"/>
      <c r="QN30" s="272"/>
      <c r="QO30" s="272"/>
      <c r="QP30" s="272"/>
      <c r="QQ30" s="272"/>
      <c r="QR30" s="272"/>
      <c r="QS30" s="272"/>
      <c r="QT30" s="272"/>
      <c r="QU30" s="272"/>
      <c r="QV30" s="272"/>
      <c r="QW30" s="272"/>
      <c r="QX30" s="272"/>
      <c r="QY30" s="272"/>
      <c r="QZ30" s="272"/>
      <c r="RA30" s="272"/>
      <c r="RB30" s="272"/>
      <c r="RC30" s="272"/>
      <c r="RD30" s="272"/>
      <c r="RE30" s="272"/>
      <c r="RF30" s="272"/>
      <c r="RG30" s="272"/>
      <c r="RH30" s="272"/>
      <c r="RI30" s="272"/>
      <c r="RJ30" s="272"/>
      <c r="RK30" s="272"/>
      <c r="RL30" s="272"/>
      <c r="RM30" s="272"/>
      <c r="RN30" s="272"/>
      <c r="RO30" s="272"/>
      <c r="RP30" s="272"/>
      <c r="RQ30" s="272"/>
      <c r="RR30" s="272"/>
      <c r="RS30" s="272"/>
      <c r="RT30" s="272"/>
      <c r="RU30" s="272"/>
      <c r="RV30" s="272"/>
      <c r="RW30" s="272"/>
      <c r="RX30" s="272"/>
      <c r="RY30" s="272"/>
      <c r="RZ30" s="272"/>
      <c r="SA30" s="272"/>
      <c r="SB30" s="272"/>
      <c r="SC30" s="272"/>
      <c r="SD30" s="272"/>
      <c r="SE30" s="272"/>
      <c r="SF30" s="272"/>
      <c r="SG30" s="272"/>
      <c r="SH30" s="272"/>
      <c r="SI30" s="272"/>
      <c r="SJ30" s="272"/>
      <c r="SK30" s="272"/>
      <c r="SL30" s="272"/>
      <c r="SM30" s="272"/>
      <c r="SN30" s="272"/>
      <c r="SO30" s="272"/>
      <c r="SP30" s="272"/>
      <c r="SQ30" s="272"/>
      <c r="SR30" s="272"/>
      <c r="SS30" s="272"/>
      <c r="ST30" s="272"/>
      <c r="SU30" s="272"/>
      <c r="SV30" s="272"/>
      <c r="SW30" s="272"/>
      <c r="SX30" s="272"/>
      <c r="SY30" s="272"/>
      <c r="SZ30" s="272"/>
      <c r="TA30" s="272"/>
      <c r="TB30" s="272"/>
      <c r="TC30" s="272"/>
      <c r="TD30" s="272"/>
      <c r="TE30" s="272"/>
      <c r="TF30" s="272"/>
      <c r="TG30" s="272"/>
      <c r="TH30" s="272"/>
      <c r="TI30" s="272"/>
      <c r="TJ30" s="272"/>
      <c r="TK30" s="272"/>
      <c r="TL30" s="272"/>
      <c r="TM30" s="272"/>
      <c r="TN30" s="272"/>
      <c r="TO30" s="272"/>
      <c r="TP30" s="272"/>
      <c r="TQ30" s="272"/>
      <c r="TR30" s="272"/>
      <c r="TS30" s="272"/>
      <c r="TT30" s="272"/>
      <c r="TU30" s="272"/>
      <c r="TV30" s="272"/>
      <c r="TW30" s="272"/>
      <c r="TX30" s="272"/>
      <c r="TY30" s="272"/>
      <c r="TZ30" s="272"/>
      <c r="UA30" s="272"/>
      <c r="UB30" s="272"/>
      <c r="UC30" s="272"/>
      <c r="UD30" s="272"/>
      <c r="UE30" s="272"/>
      <c r="UF30" s="272"/>
      <c r="UG30" s="272"/>
      <c r="UH30" s="272"/>
      <c r="UI30" s="272"/>
      <c r="UJ30" s="272"/>
      <c r="UK30" s="272"/>
      <c r="UL30" s="272"/>
      <c r="UM30" s="272"/>
      <c r="UN30" s="272"/>
      <c r="UO30" s="272"/>
      <c r="UP30" s="272"/>
      <c r="UQ30" s="272"/>
      <c r="UR30" s="272"/>
      <c r="US30" s="272"/>
      <c r="UT30" s="272"/>
      <c r="UU30" s="272"/>
      <c r="UV30" s="272"/>
      <c r="UW30" s="272"/>
      <c r="UX30" s="272"/>
      <c r="UY30" s="272"/>
      <c r="UZ30" s="272"/>
      <c r="VA30" s="272"/>
      <c r="VB30" s="272"/>
      <c r="VC30" s="272"/>
      <c r="VD30" s="272"/>
      <c r="VE30" s="272"/>
      <c r="VF30" s="272"/>
      <c r="VG30" s="272"/>
      <c r="VH30" s="272"/>
      <c r="VI30" s="272"/>
      <c r="VJ30" s="272"/>
      <c r="VK30" s="272"/>
      <c r="VL30" s="272"/>
      <c r="VM30" s="272"/>
      <c r="VN30" s="272"/>
      <c r="VO30" s="272"/>
      <c r="VP30" s="272"/>
      <c r="VQ30" s="272"/>
      <c r="VR30" s="272"/>
      <c r="VS30" s="272"/>
      <c r="VT30" s="272"/>
      <c r="VU30" s="272"/>
      <c r="VV30" s="272"/>
      <c r="VW30" s="272"/>
      <c r="VX30" s="272"/>
      <c r="VY30" s="272"/>
      <c r="VZ30" s="272"/>
      <c r="WA30" s="272"/>
      <c r="WB30" s="272"/>
      <c r="WC30" s="272"/>
      <c r="WD30" s="272"/>
      <c r="WE30" s="272"/>
      <c r="WF30" s="272"/>
      <c r="WG30" s="272"/>
      <c r="WH30" s="272"/>
      <c r="WI30" s="272"/>
      <c r="WJ30" s="272"/>
      <c r="WK30" s="272"/>
      <c r="WL30" s="272"/>
      <c r="WM30" s="272"/>
      <c r="WN30" s="272"/>
      <c r="WO30" s="272"/>
      <c r="WP30" s="272"/>
      <c r="WQ30" s="272"/>
      <c r="WR30" s="272"/>
      <c r="WS30" s="272"/>
      <c r="WT30" s="272"/>
      <c r="WU30" s="272"/>
      <c r="WV30" s="272"/>
      <c r="WW30" s="272"/>
      <c r="WX30" s="272"/>
      <c r="WY30" s="272"/>
      <c r="WZ30" s="272"/>
      <c r="XA30" s="272"/>
      <c r="XB30" s="272"/>
      <c r="XC30" s="272"/>
      <c r="XD30" s="272"/>
      <c r="XE30" s="272"/>
      <c r="XF30" s="272"/>
      <c r="XG30" s="272"/>
      <c r="XH30" s="272"/>
      <c r="XI30" s="272"/>
      <c r="XJ30" s="272"/>
      <c r="XK30" s="272"/>
      <c r="XL30" s="272"/>
      <c r="XM30" s="272"/>
      <c r="XN30" s="272"/>
      <c r="XO30" s="272"/>
      <c r="XP30" s="272"/>
      <c r="XQ30" s="272"/>
      <c r="XR30" s="272"/>
      <c r="XS30" s="272"/>
      <c r="XT30" s="272"/>
      <c r="XU30" s="272"/>
      <c r="XV30" s="272"/>
      <c r="XW30" s="272"/>
      <c r="XX30" s="272"/>
      <c r="XY30" s="272"/>
      <c r="XZ30" s="272"/>
      <c r="YA30" s="272"/>
      <c r="YB30" s="272"/>
      <c r="YC30" s="272"/>
      <c r="YD30" s="272"/>
      <c r="YE30" s="272"/>
      <c r="YF30" s="272"/>
      <c r="YG30" s="272"/>
      <c r="YH30" s="272"/>
      <c r="YI30" s="272"/>
      <c r="YJ30" s="272"/>
      <c r="YK30" s="272"/>
      <c r="YL30" s="272"/>
      <c r="YM30" s="272"/>
      <c r="YN30" s="272"/>
      <c r="YO30" s="272"/>
      <c r="YP30" s="272"/>
      <c r="YQ30" s="272"/>
      <c r="YR30" s="272"/>
      <c r="YS30" s="272"/>
      <c r="YT30" s="272"/>
      <c r="YU30" s="272"/>
      <c r="YV30" s="272"/>
      <c r="YW30" s="272"/>
      <c r="YX30" s="272"/>
      <c r="YY30" s="272"/>
      <c r="YZ30" s="272"/>
      <c r="ZA30" s="272"/>
      <c r="ZB30" s="272"/>
      <c r="ZC30" s="272"/>
      <c r="ZD30" s="272"/>
      <c r="ZE30" s="272"/>
      <c r="ZF30" s="272"/>
      <c r="ZG30" s="272"/>
      <c r="ZH30" s="272"/>
      <c r="ZI30" s="272"/>
      <c r="ZJ30" s="272"/>
      <c r="ZK30" s="272"/>
      <c r="ZL30" s="272"/>
      <c r="ZM30" s="272"/>
      <c r="ZN30" s="272"/>
      <c r="ZO30" s="272"/>
      <c r="ZP30" s="272"/>
      <c r="ZQ30" s="272"/>
      <c r="ZR30" s="272"/>
      <c r="ZS30" s="272"/>
      <c r="ZT30" s="272"/>
    </row>
    <row r="31" spans="1:696" s="19" customFormat="1" ht="12.75" customHeight="1">
      <c r="A31" s="44"/>
      <c r="B31" s="597"/>
      <c r="C31" s="597"/>
      <c r="D31" s="642"/>
      <c r="E31" s="619"/>
      <c r="F31" s="619"/>
      <c r="G31" s="626"/>
      <c r="H31" s="626"/>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72"/>
      <c r="HK31" s="272"/>
      <c r="HL31" s="272"/>
      <c r="HM31" s="27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2"/>
      <c r="IX31" s="272"/>
      <c r="IY31" s="272"/>
      <c r="IZ31" s="272"/>
      <c r="JA31" s="272"/>
      <c r="JB31" s="272"/>
      <c r="JC31" s="272"/>
      <c r="JD31" s="272"/>
      <c r="JE31" s="272"/>
      <c r="JF31" s="272"/>
      <c r="JG31" s="272"/>
      <c r="JH31" s="272"/>
      <c r="JI31" s="272"/>
      <c r="JJ31" s="272"/>
      <c r="JK31" s="272"/>
      <c r="JL31" s="272"/>
      <c r="JM31" s="272"/>
      <c r="JN31" s="272"/>
      <c r="JO31" s="272"/>
      <c r="JP31" s="272"/>
      <c r="JQ31" s="272"/>
      <c r="JR31" s="272"/>
      <c r="JS31" s="272"/>
      <c r="JT31" s="272"/>
      <c r="JU31" s="272"/>
      <c r="JV31" s="272"/>
      <c r="JW31" s="272"/>
      <c r="JX31" s="272"/>
      <c r="JY31" s="272"/>
      <c r="JZ31" s="272"/>
      <c r="KA31" s="272"/>
      <c r="KB31" s="272"/>
      <c r="KC31" s="272"/>
      <c r="KD31" s="272"/>
      <c r="KE31" s="272"/>
      <c r="KF31" s="272"/>
      <c r="KG31" s="272"/>
      <c r="KH31" s="272"/>
      <c r="KI31" s="272"/>
      <c r="KJ31" s="272"/>
      <c r="KK31" s="272"/>
      <c r="KL31" s="272"/>
      <c r="KM31" s="272"/>
      <c r="KN31" s="272"/>
      <c r="KO31" s="272"/>
      <c r="KP31" s="272"/>
      <c r="KQ31" s="272"/>
      <c r="KR31" s="272"/>
      <c r="KS31" s="272"/>
      <c r="KT31" s="272"/>
      <c r="KU31" s="272"/>
      <c r="KV31" s="272"/>
      <c r="KW31" s="272"/>
      <c r="KX31" s="272"/>
      <c r="KY31" s="272"/>
      <c r="KZ31" s="272"/>
      <c r="LA31" s="272"/>
      <c r="LB31" s="272"/>
      <c r="LC31" s="272"/>
      <c r="LD31" s="272"/>
      <c r="LE31" s="272"/>
      <c r="LF31" s="272"/>
      <c r="LG31" s="272"/>
      <c r="LH31" s="272"/>
      <c r="LI31" s="272"/>
      <c r="LJ31" s="272"/>
      <c r="LK31" s="272"/>
      <c r="LL31" s="272"/>
      <c r="LM31" s="272"/>
      <c r="LN31" s="272"/>
      <c r="LO31" s="272"/>
      <c r="LP31" s="272"/>
      <c r="LQ31" s="272"/>
      <c r="LR31" s="272"/>
      <c r="LS31" s="272"/>
      <c r="LT31" s="272"/>
      <c r="LU31" s="272"/>
      <c r="LV31" s="272"/>
      <c r="LW31" s="272"/>
      <c r="LX31" s="272"/>
      <c r="LY31" s="272"/>
      <c r="LZ31" s="272"/>
      <c r="MA31" s="272"/>
      <c r="MB31" s="272"/>
      <c r="MC31" s="272"/>
      <c r="MD31" s="272"/>
      <c r="ME31" s="272"/>
      <c r="MF31" s="272"/>
      <c r="MG31" s="272"/>
      <c r="MH31" s="272"/>
      <c r="MI31" s="272"/>
      <c r="MJ31" s="272"/>
      <c r="MK31" s="272"/>
      <c r="ML31" s="272"/>
      <c r="MM31" s="272"/>
      <c r="MN31" s="272"/>
      <c r="MO31" s="272"/>
      <c r="MP31" s="272"/>
      <c r="MQ31" s="272"/>
      <c r="MR31" s="272"/>
      <c r="MS31" s="272"/>
      <c r="MT31" s="272"/>
      <c r="MU31" s="272"/>
      <c r="MV31" s="272"/>
      <c r="MW31" s="272"/>
      <c r="MX31" s="272"/>
      <c r="MY31" s="272"/>
      <c r="MZ31" s="272"/>
      <c r="NA31" s="272"/>
      <c r="NB31" s="272"/>
      <c r="NC31" s="272"/>
      <c r="ND31" s="272"/>
      <c r="NE31" s="272"/>
      <c r="NF31" s="272"/>
      <c r="NG31" s="272"/>
      <c r="NH31" s="272"/>
      <c r="NI31" s="272"/>
      <c r="NJ31" s="272"/>
      <c r="NK31" s="272"/>
      <c r="NL31" s="272"/>
      <c r="NM31" s="272"/>
      <c r="NN31" s="272"/>
      <c r="NO31" s="272"/>
      <c r="NP31" s="272"/>
      <c r="NQ31" s="272"/>
      <c r="NR31" s="272"/>
      <c r="NS31" s="272"/>
      <c r="NT31" s="272"/>
      <c r="NU31" s="272"/>
      <c r="NV31" s="272"/>
      <c r="NW31" s="272"/>
      <c r="NX31" s="272"/>
      <c r="NY31" s="272"/>
      <c r="NZ31" s="272"/>
      <c r="OA31" s="272"/>
      <c r="OB31" s="272"/>
      <c r="OC31" s="272"/>
      <c r="OD31" s="272"/>
      <c r="OE31" s="272"/>
      <c r="OF31" s="272"/>
      <c r="OG31" s="272"/>
      <c r="OH31" s="272"/>
      <c r="OI31" s="272"/>
      <c r="OJ31" s="272"/>
      <c r="OK31" s="272"/>
      <c r="OL31" s="272"/>
      <c r="OM31" s="272"/>
      <c r="ON31" s="272"/>
      <c r="OO31" s="272"/>
      <c r="OP31" s="272"/>
      <c r="OQ31" s="272"/>
      <c r="OR31" s="272"/>
      <c r="OS31" s="272"/>
      <c r="OT31" s="272"/>
      <c r="OU31" s="272"/>
      <c r="OV31" s="272"/>
      <c r="OW31" s="272"/>
      <c r="OX31" s="272"/>
      <c r="OY31" s="272"/>
      <c r="OZ31" s="272"/>
      <c r="PA31" s="272"/>
      <c r="PB31" s="272"/>
      <c r="PC31" s="272"/>
      <c r="PD31" s="272"/>
      <c r="PE31" s="272"/>
      <c r="PF31" s="272"/>
      <c r="PG31" s="272"/>
      <c r="PH31" s="272"/>
      <c r="PI31" s="272"/>
      <c r="PJ31" s="272"/>
      <c r="PK31" s="272"/>
      <c r="PL31" s="272"/>
      <c r="PM31" s="272"/>
      <c r="PN31" s="272"/>
      <c r="PO31" s="272"/>
      <c r="PP31" s="272"/>
      <c r="PQ31" s="272"/>
      <c r="PR31" s="272"/>
      <c r="PS31" s="272"/>
      <c r="PT31" s="272"/>
      <c r="PU31" s="272"/>
      <c r="PV31" s="272"/>
      <c r="PW31" s="272"/>
      <c r="PX31" s="272"/>
      <c r="PY31" s="272"/>
      <c r="PZ31" s="272"/>
      <c r="QA31" s="272"/>
      <c r="QB31" s="272"/>
      <c r="QC31" s="272"/>
      <c r="QD31" s="272"/>
      <c r="QE31" s="272"/>
      <c r="QF31" s="272"/>
      <c r="QG31" s="272"/>
      <c r="QH31" s="272"/>
      <c r="QI31" s="272"/>
      <c r="QJ31" s="272"/>
      <c r="QK31" s="272"/>
      <c r="QL31" s="272"/>
      <c r="QM31" s="272"/>
      <c r="QN31" s="272"/>
      <c r="QO31" s="272"/>
      <c r="QP31" s="272"/>
      <c r="QQ31" s="272"/>
      <c r="QR31" s="272"/>
      <c r="QS31" s="272"/>
      <c r="QT31" s="272"/>
      <c r="QU31" s="272"/>
      <c r="QV31" s="272"/>
      <c r="QW31" s="272"/>
      <c r="QX31" s="272"/>
      <c r="QY31" s="272"/>
      <c r="QZ31" s="272"/>
      <c r="RA31" s="272"/>
      <c r="RB31" s="272"/>
      <c r="RC31" s="272"/>
      <c r="RD31" s="272"/>
      <c r="RE31" s="272"/>
      <c r="RF31" s="272"/>
      <c r="RG31" s="272"/>
      <c r="RH31" s="272"/>
      <c r="RI31" s="272"/>
      <c r="RJ31" s="272"/>
      <c r="RK31" s="272"/>
      <c r="RL31" s="272"/>
      <c r="RM31" s="272"/>
      <c r="RN31" s="272"/>
      <c r="RO31" s="272"/>
      <c r="RP31" s="272"/>
      <c r="RQ31" s="272"/>
      <c r="RR31" s="272"/>
      <c r="RS31" s="272"/>
      <c r="RT31" s="272"/>
      <c r="RU31" s="272"/>
      <c r="RV31" s="272"/>
      <c r="RW31" s="272"/>
      <c r="RX31" s="272"/>
      <c r="RY31" s="272"/>
      <c r="RZ31" s="272"/>
      <c r="SA31" s="272"/>
      <c r="SB31" s="272"/>
      <c r="SC31" s="272"/>
      <c r="SD31" s="272"/>
      <c r="SE31" s="272"/>
      <c r="SF31" s="272"/>
      <c r="SG31" s="272"/>
      <c r="SH31" s="272"/>
      <c r="SI31" s="272"/>
      <c r="SJ31" s="272"/>
      <c r="SK31" s="272"/>
      <c r="SL31" s="272"/>
      <c r="SM31" s="272"/>
      <c r="SN31" s="272"/>
      <c r="SO31" s="272"/>
      <c r="SP31" s="272"/>
      <c r="SQ31" s="272"/>
      <c r="SR31" s="272"/>
      <c r="SS31" s="272"/>
      <c r="ST31" s="272"/>
      <c r="SU31" s="272"/>
      <c r="SV31" s="272"/>
      <c r="SW31" s="272"/>
      <c r="SX31" s="272"/>
      <c r="SY31" s="272"/>
      <c r="SZ31" s="272"/>
      <c r="TA31" s="272"/>
      <c r="TB31" s="272"/>
      <c r="TC31" s="272"/>
      <c r="TD31" s="272"/>
      <c r="TE31" s="272"/>
      <c r="TF31" s="272"/>
      <c r="TG31" s="272"/>
      <c r="TH31" s="272"/>
      <c r="TI31" s="272"/>
      <c r="TJ31" s="272"/>
      <c r="TK31" s="272"/>
      <c r="TL31" s="272"/>
      <c r="TM31" s="272"/>
      <c r="TN31" s="272"/>
      <c r="TO31" s="272"/>
      <c r="TP31" s="272"/>
      <c r="TQ31" s="272"/>
      <c r="TR31" s="272"/>
      <c r="TS31" s="272"/>
      <c r="TT31" s="272"/>
      <c r="TU31" s="272"/>
      <c r="TV31" s="272"/>
      <c r="TW31" s="272"/>
      <c r="TX31" s="272"/>
      <c r="TY31" s="272"/>
      <c r="TZ31" s="272"/>
      <c r="UA31" s="272"/>
      <c r="UB31" s="272"/>
      <c r="UC31" s="272"/>
      <c r="UD31" s="272"/>
      <c r="UE31" s="272"/>
      <c r="UF31" s="272"/>
      <c r="UG31" s="272"/>
      <c r="UH31" s="272"/>
      <c r="UI31" s="272"/>
      <c r="UJ31" s="272"/>
      <c r="UK31" s="272"/>
      <c r="UL31" s="272"/>
      <c r="UM31" s="272"/>
      <c r="UN31" s="272"/>
      <c r="UO31" s="272"/>
      <c r="UP31" s="272"/>
      <c r="UQ31" s="272"/>
      <c r="UR31" s="272"/>
      <c r="US31" s="272"/>
      <c r="UT31" s="272"/>
      <c r="UU31" s="272"/>
      <c r="UV31" s="272"/>
      <c r="UW31" s="272"/>
      <c r="UX31" s="272"/>
      <c r="UY31" s="272"/>
      <c r="UZ31" s="272"/>
      <c r="VA31" s="272"/>
      <c r="VB31" s="272"/>
      <c r="VC31" s="272"/>
      <c r="VD31" s="272"/>
      <c r="VE31" s="272"/>
      <c r="VF31" s="272"/>
      <c r="VG31" s="272"/>
      <c r="VH31" s="272"/>
      <c r="VI31" s="272"/>
      <c r="VJ31" s="272"/>
      <c r="VK31" s="272"/>
      <c r="VL31" s="272"/>
      <c r="VM31" s="272"/>
      <c r="VN31" s="272"/>
      <c r="VO31" s="272"/>
      <c r="VP31" s="272"/>
      <c r="VQ31" s="272"/>
      <c r="VR31" s="272"/>
      <c r="VS31" s="272"/>
      <c r="VT31" s="272"/>
      <c r="VU31" s="272"/>
      <c r="VV31" s="272"/>
      <c r="VW31" s="272"/>
      <c r="VX31" s="272"/>
      <c r="VY31" s="272"/>
      <c r="VZ31" s="272"/>
      <c r="WA31" s="272"/>
      <c r="WB31" s="272"/>
      <c r="WC31" s="272"/>
      <c r="WD31" s="272"/>
      <c r="WE31" s="272"/>
      <c r="WF31" s="272"/>
      <c r="WG31" s="272"/>
      <c r="WH31" s="272"/>
      <c r="WI31" s="272"/>
      <c r="WJ31" s="272"/>
      <c r="WK31" s="272"/>
      <c r="WL31" s="272"/>
      <c r="WM31" s="272"/>
      <c r="WN31" s="272"/>
      <c r="WO31" s="272"/>
      <c r="WP31" s="272"/>
      <c r="WQ31" s="272"/>
      <c r="WR31" s="272"/>
      <c r="WS31" s="272"/>
      <c r="WT31" s="272"/>
      <c r="WU31" s="272"/>
      <c r="WV31" s="272"/>
      <c r="WW31" s="272"/>
      <c r="WX31" s="272"/>
      <c r="WY31" s="272"/>
      <c r="WZ31" s="272"/>
      <c r="XA31" s="272"/>
      <c r="XB31" s="272"/>
      <c r="XC31" s="272"/>
      <c r="XD31" s="272"/>
      <c r="XE31" s="272"/>
      <c r="XF31" s="272"/>
      <c r="XG31" s="272"/>
      <c r="XH31" s="272"/>
      <c r="XI31" s="272"/>
      <c r="XJ31" s="272"/>
      <c r="XK31" s="272"/>
      <c r="XL31" s="272"/>
      <c r="XM31" s="272"/>
      <c r="XN31" s="272"/>
      <c r="XO31" s="272"/>
      <c r="XP31" s="272"/>
      <c r="XQ31" s="272"/>
      <c r="XR31" s="272"/>
      <c r="XS31" s="272"/>
      <c r="XT31" s="272"/>
      <c r="XU31" s="272"/>
      <c r="XV31" s="272"/>
      <c r="XW31" s="272"/>
      <c r="XX31" s="272"/>
      <c r="XY31" s="272"/>
      <c r="XZ31" s="272"/>
      <c r="YA31" s="272"/>
      <c r="YB31" s="272"/>
      <c r="YC31" s="272"/>
      <c r="YD31" s="272"/>
      <c r="YE31" s="272"/>
      <c r="YF31" s="272"/>
      <c r="YG31" s="272"/>
      <c r="YH31" s="272"/>
      <c r="YI31" s="272"/>
      <c r="YJ31" s="272"/>
      <c r="YK31" s="272"/>
      <c r="YL31" s="272"/>
      <c r="YM31" s="272"/>
      <c r="YN31" s="272"/>
      <c r="YO31" s="272"/>
      <c r="YP31" s="272"/>
      <c r="YQ31" s="272"/>
      <c r="YR31" s="272"/>
      <c r="YS31" s="272"/>
      <c r="YT31" s="272"/>
      <c r="YU31" s="272"/>
      <c r="YV31" s="272"/>
      <c r="YW31" s="272"/>
      <c r="YX31" s="272"/>
      <c r="YY31" s="272"/>
      <c r="YZ31" s="272"/>
      <c r="ZA31" s="272"/>
      <c r="ZB31" s="272"/>
      <c r="ZC31" s="272"/>
      <c r="ZD31" s="272"/>
      <c r="ZE31" s="272"/>
      <c r="ZF31" s="272"/>
      <c r="ZG31" s="272"/>
      <c r="ZH31" s="272"/>
      <c r="ZI31" s="272"/>
      <c r="ZJ31" s="272"/>
      <c r="ZK31" s="272"/>
      <c r="ZL31" s="272"/>
      <c r="ZM31" s="272"/>
      <c r="ZN31" s="272"/>
      <c r="ZO31" s="272"/>
      <c r="ZP31" s="272"/>
      <c r="ZQ31" s="272"/>
      <c r="ZR31" s="272"/>
      <c r="ZS31" s="272"/>
      <c r="ZT31" s="272"/>
    </row>
    <row r="32" spans="1:696" s="19" customFormat="1" ht="12.75" customHeight="1">
      <c r="A32" s="44"/>
      <c r="B32" s="597"/>
      <c r="C32" s="597"/>
      <c r="D32" s="642"/>
      <c r="E32" s="619"/>
      <c r="F32" s="619"/>
      <c r="G32" s="626"/>
      <c r="H32" s="626"/>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2"/>
      <c r="DQ32" s="272"/>
      <c r="DR32" s="272"/>
      <c r="DS32" s="272"/>
      <c r="DT32" s="272"/>
      <c r="DU32" s="272"/>
      <c r="DV32" s="272"/>
      <c r="DW32" s="272"/>
      <c r="DX32" s="272"/>
      <c r="DY32" s="272"/>
      <c r="DZ32" s="272"/>
      <c r="EA32" s="272"/>
      <c r="EB32" s="272"/>
      <c r="EC32" s="272"/>
      <c r="ED32" s="272"/>
      <c r="EE32" s="272"/>
      <c r="EF32" s="272"/>
      <c r="EG32" s="272"/>
      <c r="EH32" s="272"/>
      <c r="EI32" s="272"/>
      <c r="EJ32" s="272"/>
      <c r="EK32" s="272"/>
      <c r="EL32" s="272"/>
      <c r="EM32" s="272"/>
      <c r="EN32" s="272"/>
      <c r="EO32" s="272"/>
      <c r="EP32" s="272"/>
      <c r="EQ32" s="272"/>
      <c r="ER32" s="272"/>
      <c r="ES32" s="272"/>
      <c r="ET32" s="272"/>
      <c r="EU32" s="272"/>
      <c r="EV32" s="272"/>
      <c r="EW32" s="272"/>
      <c r="EX32" s="272"/>
      <c r="EY32" s="272"/>
      <c r="EZ32" s="272"/>
      <c r="FA32" s="272"/>
      <c r="FB32" s="272"/>
      <c r="FC32" s="272"/>
      <c r="FD32" s="272"/>
      <c r="FE32" s="272"/>
      <c r="FF32" s="272"/>
      <c r="FG32" s="272"/>
      <c r="FH32" s="272"/>
      <c r="FI32" s="272"/>
      <c r="FJ32" s="272"/>
      <c r="FK32" s="272"/>
      <c r="FL32" s="272"/>
      <c r="FM32" s="272"/>
      <c r="FN32" s="272"/>
      <c r="FO32" s="272"/>
      <c r="FP32" s="272"/>
      <c r="FQ32" s="272"/>
      <c r="FR32" s="272"/>
      <c r="FS32" s="272"/>
      <c r="FT32" s="272"/>
      <c r="FU32" s="272"/>
      <c r="FV32" s="272"/>
      <c r="FW32" s="272"/>
      <c r="FX32" s="272"/>
      <c r="FY32" s="272"/>
      <c r="FZ32" s="272"/>
      <c r="GA32" s="272"/>
      <c r="GB32" s="272"/>
      <c r="GC32" s="272"/>
      <c r="GD32" s="272"/>
      <c r="GE32" s="272"/>
      <c r="GF32" s="272"/>
      <c r="GG32" s="272"/>
      <c r="GH32" s="272"/>
      <c r="GI32" s="272"/>
      <c r="GJ32" s="272"/>
      <c r="GK32" s="272"/>
      <c r="GL32" s="272"/>
      <c r="GM32" s="272"/>
      <c r="GN32" s="272"/>
      <c r="GO32" s="272"/>
      <c r="GP32" s="272"/>
      <c r="GQ32" s="272"/>
      <c r="GR32" s="272"/>
      <c r="GS32" s="272"/>
      <c r="GT32" s="272"/>
      <c r="GU32" s="272"/>
      <c r="GV32" s="272"/>
      <c r="GW32" s="272"/>
      <c r="GX32" s="272"/>
      <c r="GY32" s="272"/>
      <c r="GZ32" s="272"/>
      <c r="HA32" s="272"/>
      <c r="HB32" s="272"/>
      <c r="HC32" s="272"/>
      <c r="HD32" s="272"/>
      <c r="HE32" s="272"/>
      <c r="HF32" s="272"/>
      <c r="HG32" s="272"/>
      <c r="HH32" s="272"/>
      <c r="HI32" s="272"/>
      <c r="HJ32" s="272"/>
      <c r="HK32" s="272"/>
      <c r="HL32" s="272"/>
      <c r="HM32" s="272"/>
      <c r="HN32" s="272"/>
      <c r="HO32" s="272"/>
      <c r="HP32" s="272"/>
      <c r="HQ32" s="272"/>
      <c r="HR32" s="272"/>
      <c r="HS32" s="272"/>
      <c r="HT32" s="272"/>
      <c r="HU32" s="272"/>
      <c r="HV32" s="272"/>
      <c r="HW32" s="272"/>
      <c r="HX32" s="272"/>
      <c r="HY32" s="272"/>
      <c r="HZ32" s="272"/>
      <c r="IA32" s="272"/>
      <c r="IB32" s="272"/>
      <c r="IC32" s="272"/>
      <c r="ID32" s="272"/>
      <c r="IE32" s="272"/>
      <c r="IF32" s="272"/>
      <c r="IG32" s="272"/>
      <c r="IH32" s="272"/>
      <c r="II32" s="272"/>
      <c r="IJ32" s="272"/>
      <c r="IK32" s="272"/>
      <c r="IL32" s="272"/>
      <c r="IM32" s="272"/>
      <c r="IN32" s="272"/>
      <c r="IO32" s="272"/>
      <c r="IP32" s="272"/>
      <c r="IQ32" s="272"/>
      <c r="IR32" s="272"/>
      <c r="IS32" s="272"/>
      <c r="IT32" s="272"/>
      <c r="IU32" s="272"/>
      <c r="IV32" s="272"/>
      <c r="IW32" s="272"/>
      <c r="IX32" s="272"/>
      <c r="IY32" s="272"/>
      <c r="IZ32" s="272"/>
      <c r="JA32" s="272"/>
      <c r="JB32" s="272"/>
      <c r="JC32" s="272"/>
      <c r="JD32" s="272"/>
      <c r="JE32" s="272"/>
      <c r="JF32" s="272"/>
      <c r="JG32" s="272"/>
      <c r="JH32" s="272"/>
      <c r="JI32" s="272"/>
      <c r="JJ32" s="272"/>
      <c r="JK32" s="272"/>
      <c r="JL32" s="272"/>
      <c r="JM32" s="272"/>
      <c r="JN32" s="272"/>
      <c r="JO32" s="272"/>
      <c r="JP32" s="272"/>
      <c r="JQ32" s="272"/>
      <c r="JR32" s="272"/>
      <c r="JS32" s="272"/>
      <c r="JT32" s="272"/>
      <c r="JU32" s="272"/>
      <c r="JV32" s="272"/>
      <c r="JW32" s="272"/>
      <c r="JX32" s="272"/>
      <c r="JY32" s="272"/>
      <c r="JZ32" s="272"/>
      <c r="KA32" s="272"/>
      <c r="KB32" s="272"/>
      <c r="KC32" s="272"/>
      <c r="KD32" s="272"/>
      <c r="KE32" s="272"/>
      <c r="KF32" s="272"/>
      <c r="KG32" s="272"/>
      <c r="KH32" s="272"/>
      <c r="KI32" s="272"/>
      <c r="KJ32" s="272"/>
      <c r="KK32" s="272"/>
      <c r="KL32" s="272"/>
      <c r="KM32" s="272"/>
      <c r="KN32" s="272"/>
      <c r="KO32" s="272"/>
      <c r="KP32" s="272"/>
      <c r="KQ32" s="272"/>
      <c r="KR32" s="272"/>
      <c r="KS32" s="272"/>
      <c r="KT32" s="272"/>
      <c r="KU32" s="272"/>
      <c r="KV32" s="272"/>
      <c r="KW32" s="272"/>
      <c r="KX32" s="272"/>
      <c r="KY32" s="272"/>
      <c r="KZ32" s="272"/>
      <c r="LA32" s="272"/>
      <c r="LB32" s="272"/>
      <c r="LC32" s="272"/>
      <c r="LD32" s="272"/>
      <c r="LE32" s="272"/>
      <c r="LF32" s="272"/>
      <c r="LG32" s="272"/>
      <c r="LH32" s="272"/>
      <c r="LI32" s="272"/>
      <c r="LJ32" s="272"/>
      <c r="LK32" s="272"/>
      <c r="LL32" s="272"/>
      <c r="LM32" s="272"/>
      <c r="LN32" s="272"/>
      <c r="LO32" s="272"/>
      <c r="LP32" s="272"/>
      <c r="LQ32" s="272"/>
      <c r="LR32" s="272"/>
      <c r="LS32" s="272"/>
      <c r="LT32" s="272"/>
      <c r="LU32" s="272"/>
      <c r="LV32" s="272"/>
      <c r="LW32" s="272"/>
      <c r="LX32" s="272"/>
      <c r="LY32" s="272"/>
      <c r="LZ32" s="272"/>
      <c r="MA32" s="272"/>
      <c r="MB32" s="272"/>
      <c r="MC32" s="272"/>
      <c r="MD32" s="272"/>
      <c r="ME32" s="272"/>
      <c r="MF32" s="272"/>
      <c r="MG32" s="272"/>
      <c r="MH32" s="272"/>
      <c r="MI32" s="272"/>
      <c r="MJ32" s="272"/>
      <c r="MK32" s="272"/>
      <c r="ML32" s="272"/>
      <c r="MM32" s="272"/>
      <c r="MN32" s="272"/>
      <c r="MO32" s="272"/>
      <c r="MP32" s="272"/>
      <c r="MQ32" s="272"/>
      <c r="MR32" s="272"/>
      <c r="MS32" s="272"/>
      <c r="MT32" s="272"/>
      <c r="MU32" s="272"/>
      <c r="MV32" s="272"/>
      <c r="MW32" s="272"/>
      <c r="MX32" s="272"/>
      <c r="MY32" s="272"/>
      <c r="MZ32" s="272"/>
      <c r="NA32" s="272"/>
      <c r="NB32" s="272"/>
      <c r="NC32" s="272"/>
      <c r="ND32" s="272"/>
      <c r="NE32" s="272"/>
      <c r="NF32" s="272"/>
      <c r="NG32" s="272"/>
      <c r="NH32" s="272"/>
      <c r="NI32" s="272"/>
      <c r="NJ32" s="272"/>
      <c r="NK32" s="272"/>
      <c r="NL32" s="272"/>
      <c r="NM32" s="272"/>
      <c r="NN32" s="272"/>
      <c r="NO32" s="272"/>
      <c r="NP32" s="272"/>
      <c r="NQ32" s="272"/>
      <c r="NR32" s="272"/>
      <c r="NS32" s="272"/>
      <c r="NT32" s="272"/>
      <c r="NU32" s="272"/>
      <c r="NV32" s="272"/>
      <c r="NW32" s="272"/>
      <c r="NX32" s="272"/>
      <c r="NY32" s="272"/>
      <c r="NZ32" s="272"/>
      <c r="OA32" s="272"/>
      <c r="OB32" s="272"/>
      <c r="OC32" s="272"/>
      <c r="OD32" s="272"/>
      <c r="OE32" s="272"/>
      <c r="OF32" s="272"/>
      <c r="OG32" s="272"/>
      <c r="OH32" s="272"/>
      <c r="OI32" s="272"/>
      <c r="OJ32" s="272"/>
      <c r="OK32" s="272"/>
      <c r="OL32" s="272"/>
      <c r="OM32" s="272"/>
      <c r="ON32" s="272"/>
      <c r="OO32" s="272"/>
      <c r="OP32" s="272"/>
      <c r="OQ32" s="272"/>
      <c r="OR32" s="272"/>
      <c r="OS32" s="272"/>
      <c r="OT32" s="272"/>
      <c r="OU32" s="272"/>
      <c r="OV32" s="272"/>
      <c r="OW32" s="272"/>
      <c r="OX32" s="272"/>
      <c r="OY32" s="272"/>
      <c r="OZ32" s="272"/>
      <c r="PA32" s="272"/>
      <c r="PB32" s="272"/>
      <c r="PC32" s="272"/>
      <c r="PD32" s="272"/>
      <c r="PE32" s="272"/>
      <c r="PF32" s="272"/>
      <c r="PG32" s="272"/>
      <c r="PH32" s="272"/>
      <c r="PI32" s="272"/>
      <c r="PJ32" s="272"/>
      <c r="PK32" s="272"/>
      <c r="PL32" s="272"/>
      <c r="PM32" s="272"/>
      <c r="PN32" s="272"/>
      <c r="PO32" s="272"/>
      <c r="PP32" s="272"/>
      <c r="PQ32" s="272"/>
      <c r="PR32" s="272"/>
      <c r="PS32" s="272"/>
      <c r="PT32" s="272"/>
      <c r="PU32" s="272"/>
      <c r="PV32" s="272"/>
      <c r="PW32" s="272"/>
      <c r="PX32" s="272"/>
      <c r="PY32" s="272"/>
      <c r="PZ32" s="272"/>
      <c r="QA32" s="272"/>
      <c r="QB32" s="272"/>
      <c r="QC32" s="272"/>
      <c r="QD32" s="272"/>
      <c r="QE32" s="272"/>
      <c r="QF32" s="272"/>
      <c r="QG32" s="272"/>
      <c r="QH32" s="272"/>
      <c r="QI32" s="272"/>
      <c r="QJ32" s="272"/>
      <c r="QK32" s="272"/>
      <c r="QL32" s="272"/>
      <c r="QM32" s="272"/>
      <c r="QN32" s="272"/>
      <c r="QO32" s="272"/>
      <c r="QP32" s="272"/>
      <c r="QQ32" s="272"/>
      <c r="QR32" s="272"/>
      <c r="QS32" s="272"/>
      <c r="QT32" s="272"/>
      <c r="QU32" s="272"/>
      <c r="QV32" s="272"/>
      <c r="QW32" s="272"/>
      <c r="QX32" s="272"/>
      <c r="QY32" s="272"/>
      <c r="QZ32" s="272"/>
      <c r="RA32" s="272"/>
      <c r="RB32" s="272"/>
      <c r="RC32" s="272"/>
      <c r="RD32" s="272"/>
      <c r="RE32" s="272"/>
      <c r="RF32" s="272"/>
      <c r="RG32" s="272"/>
      <c r="RH32" s="272"/>
      <c r="RI32" s="272"/>
      <c r="RJ32" s="272"/>
      <c r="RK32" s="272"/>
      <c r="RL32" s="272"/>
      <c r="RM32" s="272"/>
      <c r="RN32" s="272"/>
      <c r="RO32" s="272"/>
      <c r="RP32" s="272"/>
      <c r="RQ32" s="272"/>
      <c r="RR32" s="272"/>
      <c r="RS32" s="272"/>
      <c r="RT32" s="272"/>
      <c r="RU32" s="272"/>
      <c r="RV32" s="272"/>
      <c r="RW32" s="272"/>
      <c r="RX32" s="272"/>
      <c r="RY32" s="272"/>
      <c r="RZ32" s="272"/>
      <c r="SA32" s="272"/>
      <c r="SB32" s="272"/>
      <c r="SC32" s="272"/>
      <c r="SD32" s="272"/>
      <c r="SE32" s="272"/>
      <c r="SF32" s="272"/>
      <c r="SG32" s="272"/>
      <c r="SH32" s="272"/>
      <c r="SI32" s="272"/>
      <c r="SJ32" s="272"/>
      <c r="SK32" s="272"/>
      <c r="SL32" s="272"/>
      <c r="SM32" s="272"/>
      <c r="SN32" s="272"/>
      <c r="SO32" s="272"/>
      <c r="SP32" s="272"/>
      <c r="SQ32" s="272"/>
      <c r="SR32" s="272"/>
      <c r="SS32" s="272"/>
      <c r="ST32" s="272"/>
      <c r="SU32" s="272"/>
      <c r="SV32" s="272"/>
      <c r="SW32" s="272"/>
      <c r="SX32" s="272"/>
      <c r="SY32" s="272"/>
      <c r="SZ32" s="272"/>
      <c r="TA32" s="272"/>
      <c r="TB32" s="272"/>
      <c r="TC32" s="272"/>
      <c r="TD32" s="272"/>
      <c r="TE32" s="272"/>
      <c r="TF32" s="272"/>
      <c r="TG32" s="272"/>
      <c r="TH32" s="272"/>
      <c r="TI32" s="272"/>
      <c r="TJ32" s="272"/>
      <c r="TK32" s="272"/>
      <c r="TL32" s="272"/>
      <c r="TM32" s="272"/>
      <c r="TN32" s="272"/>
      <c r="TO32" s="272"/>
      <c r="TP32" s="272"/>
      <c r="TQ32" s="272"/>
      <c r="TR32" s="272"/>
      <c r="TS32" s="272"/>
      <c r="TT32" s="272"/>
      <c r="TU32" s="272"/>
      <c r="TV32" s="272"/>
      <c r="TW32" s="272"/>
      <c r="TX32" s="272"/>
      <c r="TY32" s="272"/>
      <c r="TZ32" s="272"/>
      <c r="UA32" s="272"/>
      <c r="UB32" s="272"/>
      <c r="UC32" s="272"/>
      <c r="UD32" s="272"/>
      <c r="UE32" s="272"/>
      <c r="UF32" s="272"/>
      <c r="UG32" s="272"/>
      <c r="UH32" s="272"/>
      <c r="UI32" s="272"/>
      <c r="UJ32" s="272"/>
      <c r="UK32" s="272"/>
      <c r="UL32" s="272"/>
      <c r="UM32" s="272"/>
      <c r="UN32" s="272"/>
      <c r="UO32" s="272"/>
      <c r="UP32" s="272"/>
      <c r="UQ32" s="272"/>
      <c r="UR32" s="272"/>
      <c r="US32" s="272"/>
      <c r="UT32" s="272"/>
      <c r="UU32" s="272"/>
      <c r="UV32" s="272"/>
      <c r="UW32" s="272"/>
      <c r="UX32" s="272"/>
      <c r="UY32" s="272"/>
      <c r="UZ32" s="272"/>
      <c r="VA32" s="272"/>
      <c r="VB32" s="272"/>
      <c r="VC32" s="272"/>
      <c r="VD32" s="272"/>
      <c r="VE32" s="272"/>
      <c r="VF32" s="272"/>
      <c r="VG32" s="272"/>
      <c r="VH32" s="272"/>
      <c r="VI32" s="272"/>
      <c r="VJ32" s="272"/>
      <c r="VK32" s="272"/>
      <c r="VL32" s="272"/>
      <c r="VM32" s="272"/>
      <c r="VN32" s="272"/>
      <c r="VO32" s="272"/>
      <c r="VP32" s="272"/>
      <c r="VQ32" s="272"/>
      <c r="VR32" s="272"/>
      <c r="VS32" s="272"/>
      <c r="VT32" s="272"/>
      <c r="VU32" s="272"/>
      <c r="VV32" s="272"/>
      <c r="VW32" s="272"/>
      <c r="VX32" s="272"/>
      <c r="VY32" s="272"/>
      <c r="VZ32" s="272"/>
      <c r="WA32" s="272"/>
      <c r="WB32" s="272"/>
      <c r="WC32" s="272"/>
      <c r="WD32" s="272"/>
      <c r="WE32" s="272"/>
      <c r="WF32" s="272"/>
      <c r="WG32" s="272"/>
      <c r="WH32" s="272"/>
      <c r="WI32" s="272"/>
      <c r="WJ32" s="272"/>
      <c r="WK32" s="272"/>
      <c r="WL32" s="272"/>
      <c r="WM32" s="272"/>
      <c r="WN32" s="272"/>
      <c r="WO32" s="272"/>
      <c r="WP32" s="272"/>
      <c r="WQ32" s="272"/>
      <c r="WR32" s="272"/>
      <c r="WS32" s="272"/>
      <c r="WT32" s="272"/>
      <c r="WU32" s="272"/>
      <c r="WV32" s="272"/>
      <c r="WW32" s="272"/>
      <c r="WX32" s="272"/>
      <c r="WY32" s="272"/>
      <c r="WZ32" s="272"/>
      <c r="XA32" s="272"/>
      <c r="XB32" s="272"/>
      <c r="XC32" s="272"/>
      <c r="XD32" s="272"/>
      <c r="XE32" s="272"/>
      <c r="XF32" s="272"/>
      <c r="XG32" s="272"/>
      <c r="XH32" s="272"/>
      <c r="XI32" s="272"/>
      <c r="XJ32" s="272"/>
      <c r="XK32" s="272"/>
      <c r="XL32" s="272"/>
      <c r="XM32" s="272"/>
      <c r="XN32" s="272"/>
      <c r="XO32" s="272"/>
      <c r="XP32" s="272"/>
      <c r="XQ32" s="272"/>
      <c r="XR32" s="272"/>
      <c r="XS32" s="272"/>
      <c r="XT32" s="272"/>
      <c r="XU32" s="272"/>
      <c r="XV32" s="272"/>
      <c r="XW32" s="272"/>
      <c r="XX32" s="272"/>
      <c r="XY32" s="272"/>
      <c r="XZ32" s="272"/>
      <c r="YA32" s="272"/>
      <c r="YB32" s="272"/>
      <c r="YC32" s="272"/>
      <c r="YD32" s="272"/>
      <c r="YE32" s="272"/>
      <c r="YF32" s="272"/>
      <c r="YG32" s="272"/>
      <c r="YH32" s="272"/>
      <c r="YI32" s="272"/>
      <c r="YJ32" s="272"/>
      <c r="YK32" s="272"/>
      <c r="YL32" s="272"/>
      <c r="YM32" s="272"/>
      <c r="YN32" s="272"/>
      <c r="YO32" s="272"/>
      <c r="YP32" s="272"/>
      <c r="YQ32" s="272"/>
      <c r="YR32" s="272"/>
      <c r="YS32" s="272"/>
      <c r="YT32" s="272"/>
      <c r="YU32" s="272"/>
      <c r="YV32" s="272"/>
      <c r="YW32" s="272"/>
      <c r="YX32" s="272"/>
      <c r="YY32" s="272"/>
      <c r="YZ32" s="272"/>
      <c r="ZA32" s="272"/>
      <c r="ZB32" s="272"/>
      <c r="ZC32" s="272"/>
      <c r="ZD32" s="272"/>
      <c r="ZE32" s="272"/>
      <c r="ZF32" s="272"/>
      <c r="ZG32" s="272"/>
      <c r="ZH32" s="272"/>
      <c r="ZI32" s="272"/>
      <c r="ZJ32" s="272"/>
      <c r="ZK32" s="272"/>
      <c r="ZL32" s="272"/>
      <c r="ZM32" s="272"/>
      <c r="ZN32" s="272"/>
      <c r="ZO32" s="272"/>
      <c r="ZP32" s="272"/>
      <c r="ZQ32" s="272"/>
      <c r="ZR32" s="272"/>
      <c r="ZS32" s="272"/>
      <c r="ZT32" s="272"/>
    </row>
    <row r="33" spans="1:696" s="19" customFormat="1" ht="12.75" customHeight="1">
      <c r="A33" s="44"/>
      <c r="B33" s="597"/>
      <c r="C33" s="597"/>
      <c r="D33" s="642"/>
      <c r="E33" s="619"/>
      <c r="F33" s="619"/>
      <c r="G33" s="626"/>
      <c r="H33" s="626"/>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c r="IO33" s="272"/>
      <c r="IP33" s="272"/>
      <c r="IQ33" s="272"/>
      <c r="IR33" s="272"/>
      <c r="IS33" s="272"/>
      <c r="IT33" s="272"/>
      <c r="IU33" s="272"/>
      <c r="IV33" s="272"/>
      <c r="IW33" s="272"/>
      <c r="IX33" s="272"/>
      <c r="IY33" s="272"/>
      <c r="IZ33" s="272"/>
      <c r="JA33" s="272"/>
      <c r="JB33" s="272"/>
      <c r="JC33" s="272"/>
      <c r="JD33" s="272"/>
      <c r="JE33" s="272"/>
      <c r="JF33" s="272"/>
      <c r="JG33" s="272"/>
      <c r="JH33" s="272"/>
      <c r="JI33" s="272"/>
      <c r="JJ33" s="272"/>
      <c r="JK33" s="272"/>
      <c r="JL33" s="272"/>
      <c r="JM33" s="272"/>
      <c r="JN33" s="272"/>
      <c r="JO33" s="272"/>
      <c r="JP33" s="272"/>
      <c r="JQ33" s="272"/>
      <c r="JR33" s="272"/>
      <c r="JS33" s="272"/>
      <c r="JT33" s="272"/>
      <c r="JU33" s="272"/>
      <c r="JV33" s="272"/>
      <c r="JW33" s="272"/>
      <c r="JX33" s="272"/>
      <c r="JY33" s="272"/>
      <c r="JZ33" s="272"/>
      <c r="KA33" s="272"/>
      <c r="KB33" s="272"/>
      <c r="KC33" s="272"/>
      <c r="KD33" s="272"/>
      <c r="KE33" s="272"/>
      <c r="KF33" s="272"/>
      <c r="KG33" s="272"/>
      <c r="KH33" s="272"/>
      <c r="KI33" s="272"/>
      <c r="KJ33" s="272"/>
      <c r="KK33" s="272"/>
      <c r="KL33" s="272"/>
      <c r="KM33" s="272"/>
      <c r="KN33" s="272"/>
      <c r="KO33" s="272"/>
      <c r="KP33" s="272"/>
      <c r="KQ33" s="272"/>
      <c r="KR33" s="272"/>
      <c r="KS33" s="272"/>
      <c r="KT33" s="272"/>
      <c r="KU33" s="272"/>
      <c r="KV33" s="272"/>
      <c r="KW33" s="272"/>
      <c r="KX33" s="272"/>
      <c r="KY33" s="272"/>
      <c r="KZ33" s="272"/>
      <c r="LA33" s="272"/>
      <c r="LB33" s="272"/>
      <c r="LC33" s="272"/>
      <c r="LD33" s="272"/>
      <c r="LE33" s="272"/>
      <c r="LF33" s="272"/>
      <c r="LG33" s="272"/>
      <c r="LH33" s="272"/>
      <c r="LI33" s="272"/>
      <c r="LJ33" s="272"/>
      <c r="LK33" s="272"/>
      <c r="LL33" s="272"/>
      <c r="LM33" s="272"/>
      <c r="LN33" s="272"/>
      <c r="LO33" s="272"/>
      <c r="LP33" s="272"/>
      <c r="LQ33" s="272"/>
      <c r="LR33" s="272"/>
      <c r="LS33" s="272"/>
      <c r="LT33" s="272"/>
      <c r="LU33" s="272"/>
      <c r="LV33" s="272"/>
      <c r="LW33" s="272"/>
      <c r="LX33" s="272"/>
      <c r="LY33" s="272"/>
      <c r="LZ33" s="272"/>
      <c r="MA33" s="272"/>
      <c r="MB33" s="272"/>
      <c r="MC33" s="272"/>
      <c r="MD33" s="272"/>
      <c r="ME33" s="272"/>
      <c r="MF33" s="272"/>
      <c r="MG33" s="272"/>
      <c r="MH33" s="272"/>
      <c r="MI33" s="272"/>
      <c r="MJ33" s="272"/>
      <c r="MK33" s="272"/>
      <c r="ML33" s="272"/>
      <c r="MM33" s="272"/>
      <c r="MN33" s="272"/>
      <c r="MO33" s="272"/>
      <c r="MP33" s="272"/>
      <c r="MQ33" s="272"/>
      <c r="MR33" s="272"/>
      <c r="MS33" s="272"/>
      <c r="MT33" s="272"/>
      <c r="MU33" s="272"/>
      <c r="MV33" s="272"/>
      <c r="MW33" s="272"/>
      <c r="MX33" s="272"/>
      <c r="MY33" s="272"/>
      <c r="MZ33" s="272"/>
      <c r="NA33" s="272"/>
      <c r="NB33" s="272"/>
      <c r="NC33" s="272"/>
      <c r="ND33" s="272"/>
      <c r="NE33" s="272"/>
      <c r="NF33" s="272"/>
      <c r="NG33" s="272"/>
      <c r="NH33" s="272"/>
      <c r="NI33" s="272"/>
      <c r="NJ33" s="272"/>
      <c r="NK33" s="272"/>
      <c r="NL33" s="272"/>
      <c r="NM33" s="272"/>
      <c r="NN33" s="272"/>
      <c r="NO33" s="272"/>
      <c r="NP33" s="272"/>
      <c r="NQ33" s="272"/>
      <c r="NR33" s="272"/>
      <c r="NS33" s="272"/>
      <c r="NT33" s="272"/>
      <c r="NU33" s="272"/>
      <c r="NV33" s="272"/>
      <c r="NW33" s="272"/>
      <c r="NX33" s="272"/>
      <c r="NY33" s="272"/>
      <c r="NZ33" s="272"/>
      <c r="OA33" s="272"/>
      <c r="OB33" s="272"/>
      <c r="OC33" s="272"/>
      <c r="OD33" s="272"/>
      <c r="OE33" s="272"/>
      <c r="OF33" s="272"/>
      <c r="OG33" s="272"/>
      <c r="OH33" s="272"/>
      <c r="OI33" s="272"/>
      <c r="OJ33" s="272"/>
      <c r="OK33" s="272"/>
      <c r="OL33" s="272"/>
      <c r="OM33" s="272"/>
      <c r="ON33" s="272"/>
      <c r="OO33" s="272"/>
      <c r="OP33" s="272"/>
      <c r="OQ33" s="272"/>
      <c r="OR33" s="272"/>
      <c r="OS33" s="272"/>
      <c r="OT33" s="272"/>
      <c r="OU33" s="272"/>
      <c r="OV33" s="272"/>
      <c r="OW33" s="272"/>
      <c r="OX33" s="272"/>
      <c r="OY33" s="272"/>
      <c r="OZ33" s="272"/>
      <c r="PA33" s="272"/>
      <c r="PB33" s="272"/>
      <c r="PC33" s="272"/>
      <c r="PD33" s="272"/>
      <c r="PE33" s="272"/>
      <c r="PF33" s="272"/>
      <c r="PG33" s="272"/>
      <c r="PH33" s="272"/>
      <c r="PI33" s="272"/>
      <c r="PJ33" s="272"/>
      <c r="PK33" s="272"/>
      <c r="PL33" s="272"/>
      <c r="PM33" s="272"/>
      <c r="PN33" s="272"/>
      <c r="PO33" s="272"/>
      <c r="PP33" s="272"/>
      <c r="PQ33" s="272"/>
      <c r="PR33" s="272"/>
      <c r="PS33" s="272"/>
      <c r="PT33" s="272"/>
      <c r="PU33" s="272"/>
      <c r="PV33" s="272"/>
      <c r="PW33" s="272"/>
      <c r="PX33" s="272"/>
      <c r="PY33" s="272"/>
      <c r="PZ33" s="272"/>
      <c r="QA33" s="272"/>
      <c r="QB33" s="272"/>
      <c r="QC33" s="272"/>
      <c r="QD33" s="272"/>
      <c r="QE33" s="272"/>
      <c r="QF33" s="272"/>
      <c r="QG33" s="272"/>
      <c r="QH33" s="272"/>
      <c r="QI33" s="272"/>
      <c r="QJ33" s="272"/>
      <c r="QK33" s="272"/>
      <c r="QL33" s="272"/>
      <c r="QM33" s="272"/>
      <c r="QN33" s="272"/>
      <c r="QO33" s="272"/>
      <c r="QP33" s="272"/>
      <c r="QQ33" s="272"/>
      <c r="QR33" s="272"/>
      <c r="QS33" s="272"/>
      <c r="QT33" s="272"/>
      <c r="QU33" s="272"/>
      <c r="QV33" s="272"/>
      <c r="QW33" s="272"/>
      <c r="QX33" s="272"/>
      <c r="QY33" s="272"/>
      <c r="QZ33" s="272"/>
      <c r="RA33" s="272"/>
      <c r="RB33" s="272"/>
      <c r="RC33" s="272"/>
      <c r="RD33" s="272"/>
      <c r="RE33" s="272"/>
      <c r="RF33" s="272"/>
      <c r="RG33" s="272"/>
      <c r="RH33" s="272"/>
      <c r="RI33" s="272"/>
      <c r="RJ33" s="272"/>
      <c r="RK33" s="272"/>
      <c r="RL33" s="272"/>
      <c r="RM33" s="272"/>
      <c r="RN33" s="272"/>
      <c r="RO33" s="272"/>
      <c r="RP33" s="272"/>
      <c r="RQ33" s="272"/>
      <c r="RR33" s="272"/>
      <c r="RS33" s="272"/>
      <c r="RT33" s="272"/>
      <c r="RU33" s="272"/>
      <c r="RV33" s="272"/>
      <c r="RW33" s="272"/>
      <c r="RX33" s="272"/>
      <c r="RY33" s="272"/>
      <c r="RZ33" s="272"/>
      <c r="SA33" s="272"/>
      <c r="SB33" s="272"/>
      <c r="SC33" s="272"/>
      <c r="SD33" s="272"/>
      <c r="SE33" s="272"/>
      <c r="SF33" s="272"/>
      <c r="SG33" s="272"/>
      <c r="SH33" s="272"/>
      <c r="SI33" s="272"/>
      <c r="SJ33" s="272"/>
      <c r="SK33" s="272"/>
      <c r="SL33" s="272"/>
      <c r="SM33" s="272"/>
      <c r="SN33" s="272"/>
      <c r="SO33" s="272"/>
      <c r="SP33" s="272"/>
      <c r="SQ33" s="272"/>
      <c r="SR33" s="272"/>
      <c r="SS33" s="272"/>
      <c r="ST33" s="272"/>
      <c r="SU33" s="272"/>
      <c r="SV33" s="272"/>
      <c r="SW33" s="272"/>
      <c r="SX33" s="272"/>
      <c r="SY33" s="272"/>
      <c r="SZ33" s="272"/>
      <c r="TA33" s="272"/>
      <c r="TB33" s="272"/>
      <c r="TC33" s="272"/>
      <c r="TD33" s="272"/>
      <c r="TE33" s="272"/>
      <c r="TF33" s="272"/>
      <c r="TG33" s="272"/>
      <c r="TH33" s="272"/>
      <c r="TI33" s="272"/>
      <c r="TJ33" s="272"/>
      <c r="TK33" s="272"/>
      <c r="TL33" s="272"/>
      <c r="TM33" s="272"/>
      <c r="TN33" s="272"/>
      <c r="TO33" s="272"/>
      <c r="TP33" s="272"/>
      <c r="TQ33" s="272"/>
      <c r="TR33" s="272"/>
      <c r="TS33" s="272"/>
      <c r="TT33" s="272"/>
      <c r="TU33" s="272"/>
      <c r="TV33" s="272"/>
      <c r="TW33" s="272"/>
      <c r="TX33" s="272"/>
      <c r="TY33" s="272"/>
      <c r="TZ33" s="272"/>
      <c r="UA33" s="272"/>
      <c r="UB33" s="272"/>
      <c r="UC33" s="272"/>
      <c r="UD33" s="272"/>
      <c r="UE33" s="272"/>
      <c r="UF33" s="272"/>
      <c r="UG33" s="272"/>
      <c r="UH33" s="272"/>
      <c r="UI33" s="272"/>
      <c r="UJ33" s="272"/>
      <c r="UK33" s="272"/>
      <c r="UL33" s="272"/>
      <c r="UM33" s="272"/>
      <c r="UN33" s="272"/>
      <c r="UO33" s="272"/>
      <c r="UP33" s="272"/>
      <c r="UQ33" s="272"/>
      <c r="UR33" s="272"/>
      <c r="US33" s="272"/>
      <c r="UT33" s="272"/>
      <c r="UU33" s="272"/>
      <c r="UV33" s="272"/>
      <c r="UW33" s="272"/>
      <c r="UX33" s="272"/>
      <c r="UY33" s="272"/>
      <c r="UZ33" s="272"/>
      <c r="VA33" s="272"/>
      <c r="VB33" s="272"/>
      <c r="VC33" s="272"/>
      <c r="VD33" s="272"/>
      <c r="VE33" s="272"/>
      <c r="VF33" s="272"/>
      <c r="VG33" s="272"/>
      <c r="VH33" s="272"/>
      <c r="VI33" s="272"/>
      <c r="VJ33" s="272"/>
      <c r="VK33" s="272"/>
      <c r="VL33" s="272"/>
      <c r="VM33" s="272"/>
      <c r="VN33" s="272"/>
      <c r="VO33" s="272"/>
      <c r="VP33" s="272"/>
      <c r="VQ33" s="272"/>
      <c r="VR33" s="272"/>
      <c r="VS33" s="272"/>
      <c r="VT33" s="272"/>
      <c r="VU33" s="272"/>
      <c r="VV33" s="272"/>
      <c r="VW33" s="272"/>
      <c r="VX33" s="272"/>
      <c r="VY33" s="272"/>
      <c r="VZ33" s="272"/>
      <c r="WA33" s="272"/>
      <c r="WB33" s="272"/>
      <c r="WC33" s="272"/>
      <c r="WD33" s="272"/>
      <c r="WE33" s="272"/>
      <c r="WF33" s="272"/>
      <c r="WG33" s="272"/>
      <c r="WH33" s="272"/>
      <c r="WI33" s="272"/>
      <c r="WJ33" s="272"/>
      <c r="WK33" s="272"/>
      <c r="WL33" s="272"/>
      <c r="WM33" s="272"/>
      <c r="WN33" s="272"/>
      <c r="WO33" s="272"/>
      <c r="WP33" s="272"/>
      <c r="WQ33" s="272"/>
      <c r="WR33" s="272"/>
      <c r="WS33" s="272"/>
      <c r="WT33" s="272"/>
      <c r="WU33" s="272"/>
      <c r="WV33" s="272"/>
      <c r="WW33" s="272"/>
      <c r="WX33" s="272"/>
      <c r="WY33" s="272"/>
      <c r="WZ33" s="272"/>
      <c r="XA33" s="272"/>
      <c r="XB33" s="272"/>
      <c r="XC33" s="272"/>
      <c r="XD33" s="272"/>
      <c r="XE33" s="272"/>
      <c r="XF33" s="272"/>
      <c r="XG33" s="272"/>
      <c r="XH33" s="272"/>
      <c r="XI33" s="272"/>
      <c r="XJ33" s="272"/>
      <c r="XK33" s="272"/>
      <c r="XL33" s="272"/>
      <c r="XM33" s="272"/>
      <c r="XN33" s="272"/>
      <c r="XO33" s="272"/>
      <c r="XP33" s="272"/>
      <c r="XQ33" s="272"/>
      <c r="XR33" s="272"/>
      <c r="XS33" s="272"/>
      <c r="XT33" s="272"/>
      <c r="XU33" s="272"/>
      <c r="XV33" s="272"/>
      <c r="XW33" s="272"/>
      <c r="XX33" s="272"/>
      <c r="XY33" s="272"/>
      <c r="XZ33" s="272"/>
      <c r="YA33" s="272"/>
      <c r="YB33" s="272"/>
      <c r="YC33" s="272"/>
      <c r="YD33" s="272"/>
      <c r="YE33" s="272"/>
      <c r="YF33" s="272"/>
      <c r="YG33" s="272"/>
      <c r="YH33" s="272"/>
      <c r="YI33" s="272"/>
      <c r="YJ33" s="272"/>
      <c r="YK33" s="272"/>
      <c r="YL33" s="272"/>
      <c r="YM33" s="272"/>
      <c r="YN33" s="272"/>
      <c r="YO33" s="272"/>
      <c r="YP33" s="272"/>
      <c r="YQ33" s="272"/>
      <c r="YR33" s="272"/>
      <c r="YS33" s="272"/>
      <c r="YT33" s="272"/>
      <c r="YU33" s="272"/>
      <c r="YV33" s="272"/>
      <c r="YW33" s="272"/>
      <c r="YX33" s="272"/>
      <c r="YY33" s="272"/>
      <c r="YZ33" s="272"/>
      <c r="ZA33" s="272"/>
      <c r="ZB33" s="272"/>
      <c r="ZC33" s="272"/>
      <c r="ZD33" s="272"/>
      <c r="ZE33" s="272"/>
      <c r="ZF33" s="272"/>
      <c r="ZG33" s="272"/>
      <c r="ZH33" s="272"/>
      <c r="ZI33" s="272"/>
      <c r="ZJ33" s="272"/>
      <c r="ZK33" s="272"/>
      <c r="ZL33" s="272"/>
      <c r="ZM33" s="272"/>
      <c r="ZN33" s="272"/>
      <c r="ZO33" s="272"/>
      <c r="ZP33" s="272"/>
      <c r="ZQ33" s="272"/>
      <c r="ZR33" s="272"/>
      <c r="ZS33" s="272"/>
      <c r="ZT33" s="272"/>
    </row>
    <row r="34" spans="1:696" s="19" customFormat="1" ht="12.75" customHeight="1">
      <c r="A34" s="44"/>
      <c r="B34" s="597"/>
      <c r="C34" s="598"/>
      <c r="D34" s="643"/>
      <c r="E34" s="620"/>
      <c r="F34" s="620"/>
      <c r="G34" s="627"/>
      <c r="H34" s="627"/>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c r="EY34" s="272"/>
      <c r="EZ34" s="272"/>
      <c r="FA34" s="272"/>
      <c r="FB34" s="272"/>
      <c r="FC34" s="272"/>
      <c r="FD34" s="272"/>
      <c r="FE34" s="272"/>
      <c r="FF34" s="272"/>
      <c r="FG34" s="272"/>
      <c r="FH34" s="272"/>
      <c r="FI34" s="272"/>
      <c r="FJ34" s="272"/>
      <c r="FK34" s="272"/>
      <c r="FL34" s="272"/>
      <c r="FM34" s="272"/>
      <c r="FN34" s="272"/>
      <c r="FO34" s="272"/>
      <c r="FP34" s="272"/>
      <c r="FQ34" s="272"/>
      <c r="FR34" s="272"/>
      <c r="FS34" s="272"/>
      <c r="FT34" s="272"/>
      <c r="FU34" s="272"/>
      <c r="FV34" s="272"/>
      <c r="FW34" s="272"/>
      <c r="FX34" s="272"/>
      <c r="FY34" s="272"/>
      <c r="FZ34" s="272"/>
      <c r="GA34" s="272"/>
      <c r="GB34" s="272"/>
      <c r="GC34" s="272"/>
      <c r="GD34" s="272"/>
      <c r="GE34" s="272"/>
      <c r="GF34" s="272"/>
      <c r="GG34" s="272"/>
      <c r="GH34" s="272"/>
      <c r="GI34" s="272"/>
      <c r="GJ34" s="272"/>
      <c r="GK34" s="272"/>
      <c r="GL34" s="272"/>
      <c r="GM34" s="272"/>
      <c r="GN34" s="272"/>
      <c r="GO34" s="272"/>
      <c r="GP34" s="272"/>
      <c r="GQ34" s="272"/>
      <c r="GR34" s="272"/>
      <c r="GS34" s="272"/>
      <c r="GT34" s="272"/>
      <c r="GU34" s="272"/>
      <c r="GV34" s="272"/>
      <c r="GW34" s="272"/>
      <c r="GX34" s="272"/>
      <c r="GY34" s="272"/>
      <c r="GZ34" s="272"/>
      <c r="HA34" s="272"/>
      <c r="HB34" s="272"/>
      <c r="HC34" s="272"/>
      <c r="HD34" s="272"/>
      <c r="HE34" s="272"/>
      <c r="HF34" s="272"/>
      <c r="HG34" s="272"/>
      <c r="HH34" s="272"/>
      <c r="HI34" s="272"/>
      <c r="HJ34" s="272"/>
      <c r="HK34" s="272"/>
      <c r="HL34" s="272"/>
      <c r="HM34" s="272"/>
      <c r="HN34" s="272"/>
      <c r="HO34" s="272"/>
      <c r="HP34" s="272"/>
      <c r="HQ34" s="272"/>
      <c r="HR34" s="272"/>
      <c r="HS34" s="272"/>
      <c r="HT34" s="272"/>
      <c r="HU34" s="272"/>
      <c r="HV34" s="272"/>
      <c r="HW34" s="272"/>
      <c r="HX34" s="272"/>
      <c r="HY34" s="272"/>
      <c r="HZ34" s="272"/>
      <c r="IA34" s="272"/>
      <c r="IB34" s="272"/>
      <c r="IC34" s="272"/>
      <c r="ID34" s="272"/>
      <c r="IE34" s="272"/>
      <c r="IF34" s="272"/>
      <c r="IG34" s="272"/>
      <c r="IH34" s="272"/>
      <c r="II34" s="272"/>
      <c r="IJ34" s="272"/>
      <c r="IK34" s="272"/>
      <c r="IL34" s="272"/>
      <c r="IM34" s="272"/>
      <c r="IN34" s="272"/>
      <c r="IO34" s="272"/>
      <c r="IP34" s="272"/>
      <c r="IQ34" s="272"/>
      <c r="IR34" s="272"/>
      <c r="IS34" s="272"/>
      <c r="IT34" s="272"/>
      <c r="IU34" s="272"/>
      <c r="IV34" s="272"/>
      <c r="IW34" s="272"/>
      <c r="IX34" s="272"/>
      <c r="IY34" s="272"/>
      <c r="IZ34" s="272"/>
      <c r="JA34" s="272"/>
      <c r="JB34" s="272"/>
      <c r="JC34" s="272"/>
      <c r="JD34" s="272"/>
      <c r="JE34" s="272"/>
      <c r="JF34" s="272"/>
      <c r="JG34" s="272"/>
      <c r="JH34" s="272"/>
      <c r="JI34" s="272"/>
      <c r="JJ34" s="272"/>
      <c r="JK34" s="272"/>
      <c r="JL34" s="272"/>
      <c r="JM34" s="272"/>
      <c r="JN34" s="272"/>
      <c r="JO34" s="272"/>
      <c r="JP34" s="272"/>
      <c r="JQ34" s="272"/>
      <c r="JR34" s="272"/>
      <c r="JS34" s="272"/>
      <c r="JT34" s="272"/>
      <c r="JU34" s="272"/>
      <c r="JV34" s="272"/>
      <c r="JW34" s="272"/>
      <c r="JX34" s="272"/>
      <c r="JY34" s="272"/>
      <c r="JZ34" s="272"/>
      <c r="KA34" s="272"/>
      <c r="KB34" s="272"/>
      <c r="KC34" s="272"/>
      <c r="KD34" s="272"/>
      <c r="KE34" s="272"/>
      <c r="KF34" s="272"/>
      <c r="KG34" s="272"/>
      <c r="KH34" s="272"/>
      <c r="KI34" s="272"/>
      <c r="KJ34" s="272"/>
      <c r="KK34" s="272"/>
      <c r="KL34" s="272"/>
      <c r="KM34" s="272"/>
      <c r="KN34" s="272"/>
      <c r="KO34" s="272"/>
      <c r="KP34" s="272"/>
      <c r="KQ34" s="272"/>
      <c r="KR34" s="272"/>
      <c r="KS34" s="272"/>
      <c r="KT34" s="272"/>
      <c r="KU34" s="272"/>
      <c r="KV34" s="272"/>
      <c r="KW34" s="272"/>
      <c r="KX34" s="272"/>
      <c r="KY34" s="272"/>
      <c r="KZ34" s="272"/>
      <c r="LA34" s="272"/>
      <c r="LB34" s="272"/>
      <c r="LC34" s="272"/>
      <c r="LD34" s="272"/>
      <c r="LE34" s="272"/>
      <c r="LF34" s="272"/>
      <c r="LG34" s="272"/>
      <c r="LH34" s="272"/>
      <c r="LI34" s="272"/>
      <c r="LJ34" s="272"/>
      <c r="LK34" s="272"/>
      <c r="LL34" s="272"/>
      <c r="LM34" s="272"/>
      <c r="LN34" s="272"/>
      <c r="LO34" s="272"/>
      <c r="LP34" s="272"/>
      <c r="LQ34" s="272"/>
      <c r="LR34" s="272"/>
      <c r="LS34" s="272"/>
      <c r="LT34" s="272"/>
      <c r="LU34" s="272"/>
      <c r="LV34" s="272"/>
      <c r="LW34" s="272"/>
      <c r="LX34" s="272"/>
      <c r="LY34" s="272"/>
      <c r="LZ34" s="272"/>
      <c r="MA34" s="272"/>
      <c r="MB34" s="272"/>
      <c r="MC34" s="272"/>
      <c r="MD34" s="272"/>
      <c r="ME34" s="272"/>
      <c r="MF34" s="272"/>
      <c r="MG34" s="272"/>
      <c r="MH34" s="272"/>
      <c r="MI34" s="272"/>
      <c r="MJ34" s="272"/>
      <c r="MK34" s="272"/>
      <c r="ML34" s="272"/>
      <c r="MM34" s="272"/>
      <c r="MN34" s="272"/>
      <c r="MO34" s="272"/>
      <c r="MP34" s="272"/>
      <c r="MQ34" s="272"/>
      <c r="MR34" s="272"/>
      <c r="MS34" s="272"/>
      <c r="MT34" s="272"/>
      <c r="MU34" s="272"/>
      <c r="MV34" s="272"/>
      <c r="MW34" s="272"/>
      <c r="MX34" s="272"/>
      <c r="MY34" s="272"/>
      <c r="MZ34" s="272"/>
      <c r="NA34" s="272"/>
      <c r="NB34" s="272"/>
      <c r="NC34" s="272"/>
      <c r="ND34" s="272"/>
      <c r="NE34" s="272"/>
      <c r="NF34" s="272"/>
      <c r="NG34" s="272"/>
      <c r="NH34" s="272"/>
      <c r="NI34" s="272"/>
      <c r="NJ34" s="272"/>
      <c r="NK34" s="272"/>
      <c r="NL34" s="272"/>
      <c r="NM34" s="272"/>
      <c r="NN34" s="272"/>
      <c r="NO34" s="272"/>
      <c r="NP34" s="272"/>
      <c r="NQ34" s="272"/>
      <c r="NR34" s="272"/>
      <c r="NS34" s="272"/>
      <c r="NT34" s="272"/>
      <c r="NU34" s="272"/>
      <c r="NV34" s="272"/>
      <c r="NW34" s="272"/>
      <c r="NX34" s="272"/>
      <c r="NY34" s="272"/>
      <c r="NZ34" s="272"/>
      <c r="OA34" s="272"/>
      <c r="OB34" s="272"/>
      <c r="OC34" s="272"/>
      <c r="OD34" s="272"/>
      <c r="OE34" s="272"/>
      <c r="OF34" s="272"/>
      <c r="OG34" s="272"/>
      <c r="OH34" s="272"/>
      <c r="OI34" s="272"/>
      <c r="OJ34" s="272"/>
      <c r="OK34" s="272"/>
      <c r="OL34" s="272"/>
      <c r="OM34" s="272"/>
      <c r="ON34" s="272"/>
      <c r="OO34" s="272"/>
      <c r="OP34" s="272"/>
      <c r="OQ34" s="272"/>
      <c r="OR34" s="272"/>
      <c r="OS34" s="272"/>
      <c r="OT34" s="272"/>
      <c r="OU34" s="272"/>
      <c r="OV34" s="272"/>
      <c r="OW34" s="272"/>
      <c r="OX34" s="272"/>
      <c r="OY34" s="272"/>
      <c r="OZ34" s="272"/>
      <c r="PA34" s="272"/>
      <c r="PB34" s="272"/>
      <c r="PC34" s="272"/>
      <c r="PD34" s="272"/>
      <c r="PE34" s="272"/>
      <c r="PF34" s="272"/>
      <c r="PG34" s="272"/>
      <c r="PH34" s="272"/>
      <c r="PI34" s="272"/>
      <c r="PJ34" s="272"/>
      <c r="PK34" s="272"/>
      <c r="PL34" s="272"/>
      <c r="PM34" s="272"/>
      <c r="PN34" s="272"/>
      <c r="PO34" s="272"/>
      <c r="PP34" s="272"/>
      <c r="PQ34" s="272"/>
      <c r="PR34" s="272"/>
      <c r="PS34" s="272"/>
      <c r="PT34" s="272"/>
      <c r="PU34" s="272"/>
      <c r="PV34" s="272"/>
      <c r="PW34" s="272"/>
      <c r="PX34" s="272"/>
      <c r="PY34" s="272"/>
      <c r="PZ34" s="272"/>
      <c r="QA34" s="272"/>
      <c r="QB34" s="272"/>
      <c r="QC34" s="272"/>
      <c r="QD34" s="272"/>
      <c r="QE34" s="272"/>
      <c r="QF34" s="272"/>
      <c r="QG34" s="272"/>
      <c r="QH34" s="272"/>
      <c r="QI34" s="272"/>
      <c r="QJ34" s="272"/>
      <c r="QK34" s="272"/>
      <c r="QL34" s="272"/>
      <c r="QM34" s="272"/>
      <c r="QN34" s="272"/>
      <c r="QO34" s="272"/>
      <c r="QP34" s="272"/>
      <c r="QQ34" s="272"/>
      <c r="QR34" s="272"/>
      <c r="QS34" s="272"/>
      <c r="QT34" s="272"/>
      <c r="QU34" s="272"/>
      <c r="QV34" s="272"/>
      <c r="QW34" s="272"/>
      <c r="QX34" s="272"/>
      <c r="QY34" s="272"/>
      <c r="QZ34" s="272"/>
      <c r="RA34" s="272"/>
      <c r="RB34" s="272"/>
      <c r="RC34" s="272"/>
      <c r="RD34" s="272"/>
      <c r="RE34" s="272"/>
      <c r="RF34" s="272"/>
      <c r="RG34" s="272"/>
      <c r="RH34" s="272"/>
      <c r="RI34" s="272"/>
      <c r="RJ34" s="272"/>
      <c r="RK34" s="272"/>
      <c r="RL34" s="272"/>
      <c r="RM34" s="272"/>
      <c r="RN34" s="272"/>
      <c r="RO34" s="272"/>
      <c r="RP34" s="272"/>
      <c r="RQ34" s="272"/>
      <c r="RR34" s="272"/>
      <c r="RS34" s="272"/>
      <c r="RT34" s="272"/>
      <c r="RU34" s="272"/>
      <c r="RV34" s="272"/>
      <c r="RW34" s="272"/>
      <c r="RX34" s="272"/>
      <c r="RY34" s="272"/>
      <c r="RZ34" s="272"/>
      <c r="SA34" s="272"/>
      <c r="SB34" s="272"/>
      <c r="SC34" s="272"/>
      <c r="SD34" s="272"/>
      <c r="SE34" s="272"/>
      <c r="SF34" s="272"/>
      <c r="SG34" s="272"/>
      <c r="SH34" s="272"/>
      <c r="SI34" s="272"/>
      <c r="SJ34" s="272"/>
      <c r="SK34" s="272"/>
      <c r="SL34" s="272"/>
      <c r="SM34" s="272"/>
      <c r="SN34" s="272"/>
      <c r="SO34" s="272"/>
      <c r="SP34" s="272"/>
      <c r="SQ34" s="272"/>
      <c r="SR34" s="272"/>
      <c r="SS34" s="272"/>
      <c r="ST34" s="272"/>
      <c r="SU34" s="272"/>
      <c r="SV34" s="272"/>
      <c r="SW34" s="272"/>
      <c r="SX34" s="272"/>
      <c r="SY34" s="272"/>
      <c r="SZ34" s="272"/>
      <c r="TA34" s="272"/>
      <c r="TB34" s="272"/>
      <c r="TC34" s="272"/>
      <c r="TD34" s="272"/>
      <c r="TE34" s="272"/>
      <c r="TF34" s="272"/>
      <c r="TG34" s="272"/>
      <c r="TH34" s="272"/>
      <c r="TI34" s="272"/>
      <c r="TJ34" s="272"/>
      <c r="TK34" s="272"/>
      <c r="TL34" s="272"/>
      <c r="TM34" s="272"/>
      <c r="TN34" s="272"/>
      <c r="TO34" s="272"/>
      <c r="TP34" s="272"/>
      <c r="TQ34" s="272"/>
      <c r="TR34" s="272"/>
      <c r="TS34" s="272"/>
      <c r="TT34" s="272"/>
      <c r="TU34" s="272"/>
      <c r="TV34" s="272"/>
      <c r="TW34" s="272"/>
      <c r="TX34" s="272"/>
      <c r="TY34" s="272"/>
      <c r="TZ34" s="272"/>
      <c r="UA34" s="272"/>
      <c r="UB34" s="272"/>
      <c r="UC34" s="272"/>
      <c r="UD34" s="272"/>
      <c r="UE34" s="272"/>
      <c r="UF34" s="272"/>
      <c r="UG34" s="272"/>
      <c r="UH34" s="272"/>
      <c r="UI34" s="272"/>
      <c r="UJ34" s="272"/>
      <c r="UK34" s="272"/>
      <c r="UL34" s="272"/>
      <c r="UM34" s="272"/>
      <c r="UN34" s="272"/>
      <c r="UO34" s="272"/>
      <c r="UP34" s="272"/>
      <c r="UQ34" s="272"/>
      <c r="UR34" s="272"/>
      <c r="US34" s="272"/>
      <c r="UT34" s="272"/>
      <c r="UU34" s="272"/>
      <c r="UV34" s="272"/>
      <c r="UW34" s="272"/>
      <c r="UX34" s="272"/>
      <c r="UY34" s="272"/>
      <c r="UZ34" s="272"/>
      <c r="VA34" s="272"/>
      <c r="VB34" s="272"/>
      <c r="VC34" s="272"/>
      <c r="VD34" s="272"/>
      <c r="VE34" s="272"/>
      <c r="VF34" s="272"/>
      <c r="VG34" s="272"/>
      <c r="VH34" s="272"/>
      <c r="VI34" s="272"/>
      <c r="VJ34" s="272"/>
      <c r="VK34" s="272"/>
      <c r="VL34" s="272"/>
      <c r="VM34" s="272"/>
      <c r="VN34" s="272"/>
      <c r="VO34" s="272"/>
      <c r="VP34" s="272"/>
      <c r="VQ34" s="272"/>
      <c r="VR34" s="272"/>
      <c r="VS34" s="272"/>
      <c r="VT34" s="272"/>
      <c r="VU34" s="272"/>
      <c r="VV34" s="272"/>
      <c r="VW34" s="272"/>
      <c r="VX34" s="272"/>
      <c r="VY34" s="272"/>
      <c r="VZ34" s="272"/>
      <c r="WA34" s="272"/>
      <c r="WB34" s="272"/>
      <c r="WC34" s="272"/>
      <c r="WD34" s="272"/>
      <c r="WE34" s="272"/>
      <c r="WF34" s="272"/>
      <c r="WG34" s="272"/>
      <c r="WH34" s="272"/>
      <c r="WI34" s="272"/>
      <c r="WJ34" s="272"/>
      <c r="WK34" s="272"/>
      <c r="WL34" s="272"/>
      <c r="WM34" s="272"/>
      <c r="WN34" s="272"/>
      <c r="WO34" s="272"/>
      <c r="WP34" s="272"/>
      <c r="WQ34" s="272"/>
      <c r="WR34" s="272"/>
      <c r="WS34" s="272"/>
      <c r="WT34" s="272"/>
      <c r="WU34" s="272"/>
      <c r="WV34" s="272"/>
      <c r="WW34" s="272"/>
      <c r="WX34" s="272"/>
      <c r="WY34" s="272"/>
      <c r="WZ34" s="272"/>
      <c r="XA34" s="272"/>
      <c r="XB34" s="272"/>
      <c r="XC34" s="272"/>
      <c r="XD34" s="272"/>
      <c r="XE34" s="272"/>
      <c r="XF34" s="272"/>
      <c r="XG34" s="272"/>
      <c r="XH34" s="272"/>
      <c r="XI34" s="272"/>
      <c r="XJ34" s="272"/>
      <c r="XK34" s="272"/>
      <c r="XL34" s="272"/>
      <c r="XM34" s="272"/>
      <c r="XN34" s="272"/>
      <c r="XO34" s="272"/>
      <c r="XP34" s="272"/>
      <c r="XQ34" s="272"/>
      <c r="XR34" s="272"/>
      <c r="XS34" s="272"/>
      <c r="XT34" s="272"/>
      <c r="XU34" s="272"/>
      <c r="XV34" s="272"/>
      <c r="XW34" s="272"/>
      <c r="XX34" s="272"/>
      <c r="XY34" s="272"/>
      <c r="XZ34" s="272"/>
      <c r="YA34" s="272"/>
      <c r="YB34" s="272"/>
      <c r="YC34" s="272"/>
      <c r="YD34" s="272"/>
      <c r="YE34" s="272"/>
      <c r="YF34" s="272"/>
      <c r="YG34" s="272"/>
      <c r="YH34" s="272"/>
      <c r="YI34" s="272"/>
      <c r="YJ34" s="272"/>
      <c r="YK34" s="272"/>
      <c r="YL34" s="272"/>
      <c r="YM34" s="272"/>
      <c r="YN34" s="272"/>
      <c r="YO34" s="272"/>
      <c r="YP34" s="272"/>
      <c r="YQ34" s="272"/>
      <c r="YR34" s="272"/>
      <c r="YS34" s="272"/>
      <c r="YT34" s="272"/>
      <c r="YU34" s="272"/>
      <c r="YV34" s="272"/>
      <c r="YW34" s="272"/>
      <c r="YX34" s="272"/>
      <c r="YY34" s="272"/>
      <c r="YZ34" s="272"/>
      <c r="ZA34" s="272"/>
      <c r="ZB34" s="272"/>
      <c r="ZC34" s="272"/>
      <c r="ZD34" s="272"/>
      <c r="ZE34" s="272"/>
      <c r="ZF34" s="272"/>
      <c r="ZG34" s="272"/>
      <c r="ZH34" s="272"/>
      <c r="ZI34" s="272"/>
      <c r="ZJ34" s="272"/>
      <c r="ZK34" s="272"/>
      <c r="ZL34" s="272"/>
      <c r="ZM34" s="272"/>
      <c r="ZN34" s="272"/>
      <c r="ZO34" s="272"/>
      <c r="ZP34" s="272"/>
      <c r="ZQ34" s="272"/>
      <c r="ZR34" s="272"/>
      <c r="ZS34" s="272"/>
      <c r="ZT34" s="272"/>
    </row>
    <row r="35" spans="1:696" s="19" customFormat="1" ht="15">
      <c r="A35" s="44"/>
      <c r="B35" s="597"/>
      <c r="C35" s="24" t="s">
        <v>53</v>
      </c>
      <c r="D35" s="508"/>
      <c r="E35" s="532"/>
      <c r="F35" s="509"/>
      <c r="G35" s="506"/>
      <c r="H35" s="506"/>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72"/>
      <c r="HK35" s="272"/>
      <c r="HL35" s="272"/>
      <c r="HM35" s="27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72"/>
      <c r="IX35" s="272"/>
      <c r="IY35" s="272"/>
      <c r="IZ35" s="272"/>
      <c r="JA35" s="272"/>
      <c r="JB35" s="272"/>
      <c r="JC35" s="272"/>
      <c r="JD35" s="272"/>
      <c r="JE35" s="272"/>
      <c r="JF35" s="272"/>
      <c r="JG35" s="272"/>
      <c r="JH35" s="272"/>
      <c r="JI35" s="272"/>
      <c r="JJ35" s="272"/>
      <c r="JK35" s="272"/>
      <c r="JL35" s="272"/>
      <c r="JM35" s="272"/>
      <c r="JN35" s="272"/>
      <c r="JO35" s="272"/>
      <c r="JP35" s="272"/>
      <c r="JQ35" s="272"/>
      <c r="JR35" s="272"/>
      <c r="JS35" s="272"/>
      <c r="JT35" s="272"/>
      <c r="JU35" s="272"/>
      <c r="JV35" s="272"/>
      <c r="JW35" s="272"/>
      <c r="JX35" s="272"/>
      <c r="JY35" s="272"/>
      <c r="JZ35" s="272"/>
      <c r="KA35" s="272"/>
      <c r="KB35" s="272"/>
      <c r="KC35" s="272"/>
      <c r="KD35" s="272"/>
      <c r="KE35" s="272"/>
      <c r="KF35" s="272"/>
      <c r="KG35" s="272"/>
      <c r="KH35" s="272"/>
      <c r="KI35" s="272"/>
      <c r="KJ35" s="272"/>
      <c r="KK35" s="272"/>
      <c r="KL35" s="272"/>
      <c r="KM35" s="272"/>
      <c r="KN35" s="272"/>
      <c r="KO35" s="272"/>
      <c r="KP35" s="272"/>
      <c r="KQ35" s="272"/>
      <c r="KR35" s="272"/>
      <c r="KS35" s="272"/>
      <c r="KT35" s="272"/>
      <c r="KU35" s="272"/>
      <c r="KV35" s="272"/>
      <c r="KW35" s="272"/>
      <c r="KX35" s="272"/>
      <c r="KY35" s="272"/>
      <c r="KZ35" s="272"/>
      <c r="LA35" s="272"/>
      <c r="LB35" s="272"/>
      <c r="LC35" s="272"/>
      <c r="LD35" s="272"/>
      <c r="LE35" s="272"/>
      <c r="LF35" s="272"/>
      <c r="LG35" s="272"/>
      <c r="LH35" s="272"/>
      <c r="LI35" s="272"/>
      <c r="LJ35" s="272"/>
      <c r="LK35" s="272"/>
      <c r="LL35" s="272"/>
      <c r="LM35" s="272"/>
      <c r="LN35" s="272"/>
      <c r="LO35" s="272"/>
      <c r="LP35" s="272"/>
      <c r="LQ35" s="272"/>
      <c r="LR35" s="272"/>
      <c r="LS35" s="272"/>
      <c r="LT35" s="272"/>
      <c r="LU35" s="272"/>
      <c r="LV35" s="272"/>
      <c r="LW35" s="272"/>
      <c r="LX35" s="272"/>
      <c r="LY35" s="272"/>
      <c r="LZ35" s="272"/>
      <c r="MA35" s="272"/>
      <c r="MB35" s="272"/>
      <c r="MC35" s="272"/>
      <c r="MD35" s="272"/>
      <c r="ME35" s="272"/>
      <c r="MF35" s="272"/>
      <c r="MG35" s="272"/>
      <c r="MH35" s="272"/>
      <c r="MI35" s="272"/>
      <c r="MJ35" s="272"/>
      <c r="MK35" s="272"/>
      <c r="ML35" s="272"/>
      <c r="MM35" s="272"/>
      <c r="MN35" s="272"/>
      <c r="MO35" s="272"/>
      <c r="MP35" s="272"/>
      <c r="MQ35" s="272"/>
      <c r="MR35" s="272"/>
      <c r="MS35" s="272"/>
      <c r="MT35" s="272"/>
      <c r="MU35" s="272"/>
      <c r="MV35" s="272"/>
      <c r="MW35" s="272"/>
      <c r="MX35" s="272"/>
      <c r="MY35" s="272"/>
      <c r="MZ35" s="272"/>
      <c r="NA35" s="272"/>
      <c r="NB35" s="272"/>
      <c r="NC35" s="272"/>
      <c r="ND35" s="272"/>
      <c r="NE35" s="272"/>
      <c r="NF35" s="272"/>
      <c r="NG35" s="272"/>
      <c r="NH35" s="272"/>
      <c r="NI35" s="272"/>
      <c r="NJ35" s="272"/>
      <c r="NK35" s="272"/>
      <c r="NL35" s="272"/>
      <c r="NM35" s="272"/>
      <c r="NN35" s="272"/>
      <c r="NO35" s="272"/>
      <c r="NP35" s="272"/>
      <c r="NQ35" s="272"/>
      <c r="NR35" s="272"/>
      <c r="NS35" s="272"/>
      <c r="NT35" s="272"/>
      <c r="NU35" s="272"/>
      <c r="NV35" s="272"/>
      <c r="NW35" s="272"/>
      <c r="NX35" s="272"/>
      <c r="NY35" s="272"/>
      <c r="NZ35" s="272"/>
      <c r="OA35" s="272"/>
      <c r="OB35" s="272"/>
      <c r="OC35" s="272"/>
      <c r="OD35" s="272"/>
      <c r="OE35" s="272"/>
      <c r="OF35" s="272"/>
      <c r="OG35" s="272"/>
      <c r="OH35" s="272"/>
      <c r="OI35" s="272"/>
      <c r="OJ35" s="272"/>
      <c r="OK35" s="272"/>
      <c r="OL35" s="272"/>
      <c r="OM35" s="272"/>
      <c r="ON35" s="272"/>
      <c r="OO35" s="272"/>
      <c r="OP35" s="272"/>
      <c r="OQ35" s="272"/>
      <c r="OR35" s="272"/>
      <c r="OS35" s="272"/>
      <c r="OT35" s="272"/>
      <c r="OU35" s="272"/>
      <c r="OV35" s="272"/>
      <c r="OW35" s="272"/>
      <c r="OX35" s="272"/>
      <c r="OY35" s="272"/>
      <c r="OZ35" s="272"/>
      <c r="PA35" s="272"/>
      <c r="PB35" s="272"/>
      <c r="PC35" s="272"/>
      <c r="PD35" s="272"/>
      <c r="PE35" s="272"/>
      <c r="PF35" s="272"/>
      <c r="PG35" s="272"/>
      <c r="PH35" s="272"/>
      <c r="PI35" s="272"/>
      <c r="PJ35" s="272"/>
      <c r="PK35" s="272"/>
      <c r="PL35" s="272"/>
      <c r="PM35" s="272"/>
      <c r="PN35" s="272"/>
      <c r="PO35" s="272"/>
      <c r="PP35" s="272"/>
      <c r="PQ35" s="272"/>
      <c r="PR35" s="272"/>
      <c r="PS35" s="272"/>
      <c r="PT35" s="272"/>
      <c r="PU35" s="272"/>
      <c r="PV35" s="272"/>
      <c r="PW35" s="272"/>
      <c r="PX35" s="272"/>
      <c r="PY35" s="272"/>
      <c r="PZ35" s="272"/>
      <c r="QA35" s="272"/>
      <c r="QB35" s="272"/>
      <c r="QC35" s="272"/>
      <c r="QD35" s="272"/>
      <c r="QE35" s="272"/>
      <c r="QF35" s="272"/>
      <c r="QG35" s="272"/>
      <c r="QH35" s="272"/>
      <c r="QI35" s="272"/>
      <c r="QJ35" s="272"/>
      <c r="QK35" s="272"/>
      <c r="QL35" s="272"/>
      <c r="QM35" s="272"/>
      <c r="QN35" s="272"/>
      <c r="QO35" s="272"/>
      <c r="QP35" s="272"/>
      <c r="QQ35" s="272"/>
      <c r="QR35" s="272"/>
      <c r="QS35" s="272"/>
      <c r="QT35" s="272"/>
      <c r="QU35" s="272"/>
      <c r="QV35" s="272"/>
      <c r="QW35" s="272"/>
      <c r="QX35" s="272"/>
      <c r="QY35" s="272"/>
      <c r="QZ35" s="272"/>
      <c r="RA35" s="272"/>
      <c r="RB35" s="272"/>
      <c r="RC35" s="272"/>
      <c r="RD35" s="272"/>
      <c r="RE35" s="272"/>
      <c r="RF35" s="272"/>
      <c r="RG35" s="272"/>
      <c r="RH35" s="272"/>
      <c r="RI35" s="272"/>
      <c r="RJ35" s="272"/>
      <c r="RK35" s="272"/>
      <c r="RL35" s="272"/>
      <c r="RM35" s="272"/>
      <c r="RN35" s="272"/>
      <c r="RO35" s="272"/>
      <c r="RP35" s="272"/>
      <c r="RQ35" s="272"/>
      <c r="RR35" s="272"/>
      <c r="RS35" s="272"/>
      <c r="RT35" s="272"/>
      <c r="RU35" s="272"/>
      <c r="RV35" s="272"/>
      <c r="RW35" s="272"/>
      <c r="RX35" s="272"/>
      <c r="RY35" s="272"/>
      <c r="RZ35" s="272"/>
      <c r="SA35" s="272"/>
      <c r="SB35" s="272"/>
      <c r="SC35" s="272"/>
      <c r="SD35" s="272"/>
      <c r="SE35" s="272"/>
      <c r="SF35" s="272"/>
      <c r="SG35" s="272"/>
      <c r="SH35" s="272"/>
      <c r="SI35" s="272"/>
      <c r="SJ35" s="272"/>
      <c r="SK35" s="272"/>
      <c r="SL35" s="272"/>
      <c r="SM35" s="272"/>
      <c r="SN35" s="272"/>
      <c r="SO35" s="272"/>
      <c r="SP35" s="272"/>
      <c r="SQ35" s="272"/>
      <c r="SR35" s="272"/>
      <c r="SS35" s="272"/>
      <c r="ST35" s="272"/>
      <c r="SU35" s="272"/>
      <c r="SV35" s="272"/>
      <c r="SW35" s="272"/>
      <c r="SX35" s="272"/>
      <c r="SY35" s="272"/>
      <c r="SZ35" s="272"/>
      <c r="TA35" s="272"/>
      <c r="TB35" s="272"/>
      <c r="TC35" s="272"/>
      <c r="TD35" s="272"/>
      <c r="TE35" s="272"/>
      <c r="TF35" s="272"/>
      <c r="TG35" s="272"/>
      <c r="TH35" s="272"/>
      <c r="TI35" s="272"/>
      <c r="TJ35" s="272"/>
      <c r="TK35" s="272"/>
      <c r="TL35" s="272"/>
      <c r="TM35" s="272"/>
      <c r="TN35" s="272"/>
      <c r="TO35" s="272"/>
      <c r="TP35" s="272"/>
      <c r="TQ35" s="272"/>
      <c r="TR35" s="272"/>
      <c r="TS35" s="272"/>
      <c r="TT35" s="272"/>
      <c r="TU35" s="272"/>
      <c r="TV35" s="272"/>
      <c r="TW35" s="272"/>
      <c r="TX35" s="272"/>
      <c r="TY35" s="272"/>
      <c r="TZ35" s="272"/>
      <c r="UA35" s="272"/>
      <c r="UB35" s="272"/>
      <c r="UC35" s="272"/>
      <c r="UD35" s="272"/>
      <c r="UE35" s="272"/>
      <c r="UF35" s="272"/>
      <c r="UG35" s="272"/>
      <c r="UH35" s="272"/>
      <c r="UI35" s="272"/>
      <c r="UJ35" s="272"/>
      <c r="UK35" s="272"/>
      <c r="UL35" s="272"/>
      <c r="UM35" s="272"/>
      <c r="UN35" s="272"/>
      <c r="UO35" s="272"/>
      <c r="UP35" s="272"/>
      <c r="UQ35" s="272"/>
      <c r="UR35" s="272"/>
      <c r="US35" s="272"/>
      <c r="UT35" s="272"/>
      <c r="UU35" s="272"/>
      <c r="UV35" s="272"/>
      <c r="UW35" s="272"/>
      <c r="UX35" s="272"/>
      <c r="UY35" s="272"/>
      <c r="UZ35" s="272"/>
      <c r="VA35" s="272"/>
      <c r="VB35" s="272"/>
      <c r="VC35" s="272"/>
      <c r="VD35" s="272"/>
      <c r="VE35" s="272"/>
      <c r="VF35" s="272"/>
      <c r="VG35" s="272"/>
      <c r="VH35" s="272"/>
      <c r="VI35" s="272"/>
      <c r="VJ35" s="272"/>
      <c r="VK35" s="272"/>
      <c r="VL35" s="272"/>
      <c r="VM35" s="272"/>
      <c r="VN35" s="272"/>
      <c r="VO35" s="272"/>
      <c r="VP35" s="272"/>
      <c r="VQ35" s="272"/>
      <c r="VR35" s="272"/>
      <c r="VS35" s="272"/>
      <c r="VT35" s="272"/>
      <c r="VU35" s="272"/>
      <c r="VV35" s="272"/>
      <c r="VW35" s="272"/>
      <c r="VX35" s="272"/>
      <c r="VY35" s="272"/>
      <c r="VZ35" s="272"/>
      <c r="WA35" s="272"/>
      <c r="WB35" s="272"/>
      <c r="WC35" s="272"/>
      <c r="WD35" s="272"/>
      <c r="WE35" s="272"/>
      <c r="WF35" s="272"/>
      <c r="WG35" s="272"/>
      <c r="WH35" s="272"/>
      <c r="WI35" s="272"/>
      <c r="WJ35" s="272"/>
      <c r="WK35" s="272"/>
      <c r="WL35" s="272"/>
      <c r="WM35" s="272"/>
      <c r="WN35" s="272"/>
      <c r="WO35" s="272"/>
      <c r="WP35" s="272"/>
      <c r="WQ35" s="272"/>
      <c r="WR35" s="272"/>
      <c r="WS35" s="272"/>
      <c r="WT35" s="272"/>
      <c r="WU35" s="272"/>
      <c r="WV35" s="272"/>
      <c r="WW35" s="272"/>
      <c r="WX35" s="272"/>
      <c r="WY35" s="272"/>
      <c r="WZ35" s="272"/>
      <c r="XA35" s="272"/>
      <c r="XB35" s="272"/>
      <c r="XC35" s="272"/>
      <c r="XD35" s="272"/>
      <c r="XE35" s="272"/>
      <c r="XF35" s="272"/>
      <c r="XG35" s="272"/>
      <c r="XH35" s="272"/>
      <c r="XI35" s="272"/>
      <c r="XJ35" s="272"/>
      <c r="XK35" s="272"/>
      <c r="XL35" s="272"/>
      <c r="XM35" s="272"/>
      <c r="XN35" s="272"/>
      <c r="XO35" s="272"/>
      <c r="XP35" s="272"/>
      <c r="XQ35" s="272"/>
      <c r="XR35" s="272"/>
      <c r="XS35" s="272"/>
      <c r="XT35" s="272"/>
      <c r="XU35" s="272"/>
      <c r="XV35" s="272"/>
      <c r="XW35" s="272"/>
      <c r="XX35" s="272"/>
      <c r="XY35" s="272"/>
      <c r="XZ35" s="272"/>
      <c r="YA35" s="272"/>
      <c r="YB35" s="272"/>
      <c r="YC35" s="272"/>
      <c r="YD35" s="272"/>
      <c r="YE35" s="272"/>
      <c r="YF35" s="272"/>
      <c r="YG35" s="272"/>
      <c r="YH35" s="272"/>
      <c r="YI35" s="272"/>
      <c r="YJ35" s="272"/>
      <c r="YK35" s="272"/>
      <c r="YL35" s="272"/>
      <c r="YM35" s="272"/>
      <c r="YN35" s="272"/>
      <c r="YO35" s="272"/>
      <c r="YP35" s="272"/>
      <c r="YQ35" s="272"/>
      <c r="YR35" s="272"/>
      <c r="YS35" s="272"/>
      <c r="YT35" s="272"/>
      <c r="YU35" s="272"/>
      <c r="YV35" s="272"/>
      <c r="YW35" s="272"/>
      <c r="YX35" s="272"/>
      <c r="YY35" s="272"/>
      <c r="YZ35" s="272"/>
      <c r="ZA35" s="272"/>
      <c r="ZB35" s="272"/>
      <c r="ZC35" s="272"/>
      <c r="ZD35" s="272"/>
      <c r="ZE35" s="272"/>
      <c r="ZF35" s="272"/>
      <c r="ZG35" s="272"/>
      <c r="ZH35" s="272"/>
      <c r="ZI35" s="272"/>
      <c r="ZJ35" s="272"/>
      <c r="ZK35" s="272"/>
      <c r="ZL35" s="272"/>
      <c r="ZM35" s="272"/>
      <c r="ZN35" s="272"/>
      <c r="ZO35" s="272"/>
      <c r="ZP35" s="272"/>
      <c r="ZQ35" s="272"/>
      <c r="ZR35" s="272"/>
      <c r="ZS35" s="272"/>
      <c r="ZT35" s="272"/>
    </row>
    <row r="36" spans="1:696" s="19" customFormat="1" ht="15">
      <c r="A36" s="44"/>
      <c r="B36" s="598"/>
      <c r="C36" s="24" t="s">
        <v>54</v>
      </c>
      <c r="D36" s="505"/>
      <c r="E36" s="532"/>
      <c r="F36" s="509"/>
      <c r="G36" s="506"/>
      <c r="H36" s="506"/>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72"/>
      <c r="HK36" s="272"/>
      <c r="HL36" s="272"/>
      <c r="HM36" s="27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72"/>
      <c r="IX36" s="272"/>
      <c r="IY36" s="272"/>
      <c r="IZ36" s="272"/>
      <c r="JA36" s="272"/>
      <c r="JB36" s="272"/>
      <c r="JC36" s="272"/>
      <c r="JD36" s="272"/>
      <c r="JE36" s="272"/>
      <c r="JF36" s="272"/>
      <c r="JG36" s="272"/>
      <c r="JH36" s="272"/>
      <c r="JI36" s="272"/>
      <c r="JJ36" s="272"/>
      <c r="JK36" s="272"/>
      <c r="JL36" s="272"/>
      <c r="JM36" s="272"/>
      <c r="JN36" s="272"/>
      <c r="JO36" s="272"/>
      <c r="JP36" s="272"/>
      <c r="JQ36" s="272"/>
      <c r="JR36" s="272"/>
      <c r="JS36" s="272"/>
      <c r="JT36" s="272"/>
      <c r="JU36" s="272"/>
      <c r="JV36" s="272"/>
      <c r="JW36" s="272"/>
      <c r="JX36" s="272"/>
      <c r="JY36" s="272"/>
      <c r="JZ36" s="272"/>
      <c r="KA36" s="272"/>
      <c r="KB36" s="272"/>
      <c r="KC36" s="272"/>
      <c r="KD36" s="272"/>
      <c r="KE36" s="272"/>
      <c r="KF36" s="272"/>
      <c r="KG36" s="272"/>
      <c r="KH36" s="272"/>
      <c r="KI36" s="272"/>
      <c r="KJ36" s="272"/>
      <c r="KK36" s="272"/>
      <c r="KL36" s="272"/>
      <c r="KM36" s="272"/>
      <c r="KN36" s="272"/>
      <c r="KO36" s="272"/>
      <c r="KP36" s="272"/>
      <c r="KQ36" s="272"/>
      <c r="KR36" s="272"/>
      <c r="KS36" s="272"/>
      <c r="KT36" s="272"/>
      <c r="KU36" s="272"/>
      <c r="KV36" s="272"/>
      <c r="KW36" s="272"/>
      <c r="KX36" s="272"/>
      <c r="KY36" s="272"/>
      <c r="KZ36" s="272"/>
      <c r="LA36" s="272"/>
      <c r="LB36" s="272"/>
      <c r="LC36" s="272"/>
      <c r="LD36" s="272"/>
      <c r="LE36" s="272"/>
      <c r="LF36" s="272"/>
      <c r="LG36" s="272"/>
      <c r="LH36" s="272"/>
      <c r="LI36" s="272"/>
      <c r="LJ36" s="272"/>
      <c r="LK36" s="272"/>
      <c r="LL36" s="272"/>
      <c r="LM36" s="272"/>
      <c r="LN36" s="272"/>
      <c r="LO36" s="272"/>
      <c r="LP36" s="272"/>
      <c r="LQ36" s="272"/>
      <c r="LR36" s="272"/>
      <c r="LS36" s="272"/>
      <c r="LT36" s="272"/>
      <c r="LU36" s="272"/>
      <c r="LV36" s="272"/>
      <c r="LW36" s="272"/>
      <c r="LX36" s="272"/>
      <c r="LY36" s="272"/>
      <c r="LZ36" s="272"/>
      <c r="MA36" s="272"/>
      <c r="MB36" s="272"/>
      <c r="MC36" s="272"/>
      <c r="MD36" s="272"/>
      <c r="ME36" s="272"/>
      <c r="MF36" s="272"/>
      <c r="MG36" s="272"/>
      <c r="MH36" s="272"/>
      <c r="MI36" s="272"/>
      <c r="MJ36" s="272"/>
      <c r="MK36" s="272"/>
      <c r="ML36" s="272"/>
      <c r="MM36" s="272"/>
      <c r="MN36" s="272"/>
      <c r="MO36" s="272"/>
      <c r="MP36" s="272"/>
      <c r="MQ36" s="272"/>
      <c r="MR36" s="272"/>
      <c r="MS36" s="272"/>
      <c r="MT36" s="272"/>
      <c r="MU36" s="272"/>
      <c r="MV36" s="272"/>
      <c r="MW36" s="272"/>
      <c r="MX36" s="272"/>
      <c r="MY36" s="272"/>
      <c r="MZ36" s="272"/>
      <c r="NA36" s="272"/>
      <c r="NB36" s="272"/>
      <c r="NC36" s="272"/>
      <c r="ND36" s="272"/>
      <c r="NE36" s="272"/>
      <c r="NF36" s="272"/>
      <c r="NG36" s="272"/>
      <c r="NH36" s="272"/>
      <c r="NI36" s="272"/>
      <c r="NJ36" s="272"/>
      <c r="NK36" s="272"/>
      <c r="NL36" s="272"/>
      <c r="NM36" s="272"/>
      <c r="NN36" s="272"/>
      <c r="NO36" s="272"/>
      <c r="NP36" s="272"/>
      <c r="NQ36" s="272"/>
      <c r="NR36" s="272"/>
      <c r="NS36" s="272"/>
      <c r="NT36" s="272"/>
      <c r="NU36" s="272"/>
      <c r="NV36" s="272"/>
      <c r="NW36" s="272"/>
      <c r="NX36" s="272"/>
      <c r="NY36" s="272"/>
      <c r="NZ36" s="272"/>
      <c r="OA36" s="272"/>
      <c r="OB36" s="272"/>
      <c r="OC36" s="272"/>
      <c r="OD36" s="272"/>
      <c r="OE36" s="272"/>
      <c r="OF36" s="272"/>
      <c r="OG36" s="272"/>
      <c r="OH36" s="272"/>
      <c r="OI36" s="272"/>
      <c r="OJ36" s="272"/>
      <c r="OK36" s="272"/>
      <c r="OL36" s="272"/>
      <c r="OM36" s="272"/>
      <c r="ON36" s="272"/>
      <c r="OO36" s="272"/>
      <c r="OP36" s="272"/>
      <c r="OQ36" s="272"/>
      <c r="OR36" s="272"/>
      <c r="OS36" s="272"/>
      <c r="OT36" s="272"/>
      <c r="OU36" s="272"/>
      <c r="OV36" s="272"/>
      <c r="OW36" s="272"/>
      <c r="OX36" s="272"/>
      <c r="OY36" s="272"/>
      <c r="OZ36" s="272"/>
      <c r="PA36" s="272"/>
      <c r="PB36" s="272"/>
      <c r="PC36" s="272"/>
      <c r="PD36" s="272"/>
      <c r="PE36" s="272"/>
      <c r="PF36" s="272"/>
      <c r="PG36" s="272"/>
      <c r="PH36" s="272"/>
      <c r="PI36" s="272"/>
      <c r="PJ36" s="272"/>
      <c r="PK36" s="272"/>
      <c r="PL36" s="272"/>
      <c r="PM36" s="272"/>
      <c r="PN36" s="272"/>
      <c r="PO36" s="272"/>
      <c r="PP36" s="272"/>
      <c r="PQ36" s="272"/>
      <c r="PR36" s="272"/>
      <c r="PS36" s="272"/>
      <c r="PT36" s="272"/>
      <c r="PU36" s="272"/>
      <c r="PV36" s="272"/>
      <c r="PW36" s="272"/>
      <c r="PX36" s="272"/>
      <c r="PY36" s="272"/>
      <c r="PZ36" s="272"/>
      <c r="QA36" s="272"/>
      <c r="QB36" s="272"/>
      <c r="QC36" s="272"/>
      <c r="QD36" s="272"/>
      <c r="QE36" s="272"/>
      <c r="QF36" s="272"/>
      <c r="QG36" s="272"/>
      <c r="QH36" s="272"/>
      <c r="QI36" s="272"/>
      <c r="QJ36" s="272"/>
      <c r="QK36" s="272"/>
      <c r="QL36" s="272"/>
      <c r="QM36" s="272"/>
      <c r="QN36" s="272"/>
      <c r="QO36" s="272"/>
      <c r="QP36" s="272"/>
      <c r="QQ36" s="272"/>
      <c r="QR36" s="272"/>
      <c r="QS36" s="272"/>
      <c r="QT36" s="272"/>
      <c r="QU36" s="272"/>
      <c r="QV36" s="272"/>
      <c r="QW36" s="272"/>
      <c r="QX36" s="272"/>
      <c r="QY36" s="272"/>
      <c r="QZ36" s="272"/>
      <c r="RA36" s="272"/>
      <c r="RB36" s="272"/>
      <c r="RC36" s="272"/>
      <c r="RD36" s="272"/>
      <c r="RE36" s="272"/>
      <c r="RF36" s="272"/>
      <c r="RG36" s="272"/>
      <c r="RH36" s="272"/>
      <c r="RI36" s="272"/>
      <c r="RJ36" s="272"/>
      <c r="RK36" s="272"/>
      <c r="RL36" s="272"/>
      <c r="RM36" s="272"/>
      <c r="RN36" s="272"/>
      <c r="RO36" s="272"/>
      <c r="RP36" s="272"/>
      <c r="RQ36" s="272"/>
      <c r="RR36" s="272"/>
      <c r="RS36" s="272"/>
      <c r="RT36" s="272"/>
      <c r="RU36" s="272"/>
      <c r="RV36" s="272"/>
      <c r="RW36" s="272"/>
      <c r="RX36" s="272"/>
      <c r="RY36" s="272"/>
      <c r="RZ36" s="272"/>
      <c r="SA36" s="272"/>
      <c r="SB36" s="272"/>
      <c r="SC36" s="272"/>
      <c r="SD36" s="272"/>
      <c r="SE36" s="272"/>
      <c r="SF36" s="272"/>
      <c r="SG36" s="272"/>
      <c r="SH36" s="272"/>
      <c r="SI36" s="272"/>
      <c r="SJ36" s="272"/>
      <c r="SK36" s="272"/>
      <c r="SL36" s="272"/>
      <c r="SM36" s="272"/>
      <c r="SN36" s="272"/>
      <c r="SO36" s="272"/>
      <c r="SP36" s="272"/>
      <c r="SQ36" s="272"/>
      <c r="SR36" s="272"/>
      <c r="SS36" s="272"/>
      <c r="ST36" s="272"/>
      <c r="SU36" s="272"/>
      <c r="SV36" s="272"/>
      <c r="SW36" s="272"/>
      <c r="SX36" s="272"/>
      <c r="SY36" s="272"/>
      <c r="SZ36" s="272"/>
      <c r="TA36" s="272"/>
      <c r="TB36" s="272"/>
      <c r="TC36" s="272"/>
      <c r="TD36" s="272"/>
      <c r="TE36" s="272"/>
      <c r="TF36" s="272"/>
      <c r="TG36" s="272"/>
      <c r="TH36" s="272"/>
      <c r="TI36" s="272"/>
      <c r="TJ36" s="272"/>
      <c r="TK36" s="272"/>
      <c r="TL36" s="272"/>
      <c r="TM36" s="272"/>
      <c r="TN36" s="272"/>
      <c r="TO36" s="272"/>
      <c r="TP36" s="272"/>
      <c r="TQ36" s="272"/>
      <c r="TR36" s="272"/>
      <c r="TS36" s="272"/>
      <c r="TT36" s="272"/>
      <c r="TU36" s="272"/>
      <c r="TV36" s="272"/>
      <c r="TW36" s="272"/>
      <c r="TX36" s="272"/>
      <c r="TY36" s="272"/>
      <c r="TZ36" s="272"/>
      <c r="UA36" s="272"/>
      <c r="UB36" s="272"/>
      <c r="UC36" s="272"/>
      <c r="UD36" s="272"/>
      <c r="UE36" s="272"/>
      <c r="UF36" s="272"/>
      <c r="UG36" s="272"/>
      <c r="UH36" s="272"/>
      <c r="UI36" s="272"/>
      <c r="UJ36" s="272"/>
      <c r="UK36" s="272"/>
      <c r="UL36" s="272"/>
      <c r="UM36" s="272"/>
      <c r="UN36" s="272"/>
      <c r="UO36" s="272"/>
      <c r="UP36" s="272"/>
      <c r="UQ36" s="272"/>
      <c r="UR36" s="272"/>
      <c r="US36" s="272"/>
      <c r="UT36" s="272"/>
      <c r="UU36" s="272"/>
      <c r="UV36" s="272"/>
      <c r="UW36" s="272"/>
      <c r="UX36" s="272"/>
      <c r="UY36" s="272"/>
      <c r="UZ36" s="272"/>
      <c r="VA36" s="272"/>
      <c r="VB36" s="272"/>
      <c r="VC36" s="272"/>
      <c r="VD36" s="272"/>
      <c r="VE36" s="272"/>
      <c r="VF36" s="272"/>
      <c r="VG36" s="272"/>
      <c r="VH36" s="272"/>
      <c r="VI36" s="272"/>
      <c r="VJ36" s="272"/>
      <c r="VK36" s="272"/>
      <c r="VL36" s="272"/>
      <c r="VM36" s="272"/>
      <c r="VN36" s="272"/>
      <c r="VO36" s="272"/>
      <c r="VP36" s="272"/>
      <c r="VQ36" s="272"/>
      <c r="VR36" s="272"/>
      <c r="VS36" s="272"/>
      <c r="VT36" s="272"/>
      <c r="VU36" s="272"/>
      <c r="VV36" s="272"/>
      <c r="VW36" s="272"/>
      <c r="VX36" s="272"/>
      <c r="VY36" s="272"/>
      <c r="VZ36" s="272"/>
      <c r="WA36" s="272"/>
      <c r="WB36" s="272"/>
      <c r="WC36" s="272"/>
      <c r="WD36" s="272"/>
      <c r="WE36" s="272"/>
      <c r="WF36" s="272"/>
      <c r="WG36" s="272"/>
      <c r="WH36" s="272"/>
      <c r="WI36" s="272"/>
      <c r="WJ36" s="272"/>
      <c r="WK36" s="272"/>
      <c r="WL36" s="272"/>
      <c r="WM36" s="272"/>
      <c r="WN36" s="272"/>
      <c r="WO36" s="272"/>
      <c r="WP36" s="272"/>
      <c r="WQ36" s="272"/>
      <c r="WR36" s="272"/>
      <c r="WS36" s="272"/>
      <c r="WT36" s="272"/>
      <c r="WU36" s="272"/>
      <c r="WV36" s="272"/>
      <c r="WW36" s="272"/>
      <c r="WX36" s="272"/>
      <c r="WY36" s="272"/>
      <c r="WZ36" s="272"/>
      <c r="XA36" s="272"/>
      <c r="XB36" s="272"/>
      <c r="XC36" s="272"/>
      <c r="XD36" s="272"/>
      <c r="XE36" s="272"/>
      <c r="XF36" s="272"/>
      <c r="XG36" s="272"/>
      <c r="XH36" s="272"/>
      <c r="XI36" s="272"/>
      <c r="XJ36" s="272"/>
      <c r="XK36" s="272"/>
      <c r="XL36" s="272"/>
      <c r="XM36" s="272"/>
      <c r="XN36" s="272"/>
      <c r="XO36" s="272"/>
      <c r="XP36" s="272"/>
      <c r="XQ36" s="272"/>
      <c r="XR36" s="272"/>
      <c r="XS36" s="272"/>
      <c r="XT36" s="272"/>
      <c r="XU36" s="272"/>
      <c r="XV36" s="272"/>
      <c r="XW36" s="272"/>
      <c r="XX36" s="272"/>
      <c r="XY36" s="272"/>
      <c r="XZ36" s="272"/>
      <c r="YA36" s="272"/>
      <c r="YB36" s="272"/>
      <c r="YC36" s="272"/>
      <c r="YD36" s="272"/>
      <c r="YE36" s="272"/>
      <c r="YF36" s="272"/>
      <c r="YG36" s="272"/>
      <c r="YH36" s="272"/>
      <c r="YI36" s="272"/>
      <c r="YJ36" s="272"/>
      <c r="YK36" s="272"/>
      <c r="YL36" s="272"/>
      <c r="YM36" s="272"/>
      <c r="YN36" s="272"/>
      <c r="YO36" s="272"/>
      <c r="YP36" s="272"/>
      <c r="YQ36" s="272"/>
      <c r="YR36" s="272"/>
      <c r="YS36" s="272"/>
      <c r="YT36" s="272"/>
      <c r="YU36" s="272"/>
      <c r="YV36" s="272"/>
      <c r="YW36" s="272"/>
      <c r="YX36" s="272"/>
      <c r="YY36" s="272"/>
      <c r="YZ36" s="272"/>
      <c r="ZA36" s="272"/>
      <c r="ZB36" s="272"/>
      <c r="ZC36" s="272"/>
      <c r="ZD36" s="272"/>
      <c r="ZE36" s="272"/>
      <c r="ZF36" s="272"/>
      <c r="ZG36" s="272"/>
      <c r="ZH36" s="272"/>
      <c r="ZI36" s="272"/>
      <c r="ZJ36" s="272"/>
      <c r="ZK36" s="272"/>
      <c r="ZL36" s="272"/>
      <c r="ZM36" s="272"/>
      <c r="ZN36" s="272"/>
      <c r="ZO36" s="272"/>
      <c r="ZP36" s="272"/>
      <c r="ZQ36" s="272"/>
      <c r="ZR36" s="272"/>
      <c r="ZS36" s="272"/>
      <c r="ZT36" s="272"/>
    </row>
    <row r="37" spans="1:696" s="19" customFormat="1" ht="17.25" customHeight="1">
      <c r="A37" s="44"/>
      <c r="B37" s="596" t="s">
        <v>815</v>
      </c>
      <c r="C37" s="596" t="s">
        <v>52</v>
      </c>
      <c r="D37" s="599"/>
      <c r="E37" s="641"/>
      <c r="F37" s="621"/>
      <c r="G37" s="624"/>
      <c r="H37" s="624"/>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c r="EO37" s="272"/>
      <c r="EP37" s="272"/>
      <c r="EQ37" s="272"/>
      <c r="ER37" s="272"/>
      <c r="ES37" s="272"/>
      <c r="ET37" s="272"/>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272"/>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c r="HE37" s="272"/>
      <c r="HF37" s="272"/>
      <c r="HG37" s="272"/>
      <c r="HH37" s="272"/>
      <c r="HI37" s="272"/>
      <c r="HJ37" s="272"/>
      <c r="HK37" s="272"/>
      <c r="HL37" s="272"/>
      <c r="HM37" s="272"/>
      <c r="HN37" s="272"/>
      <c r="HO37" s="272"/>
      <c r="HP37" s="272"/>
      <c r="HQ37" s="272"/>
      <c r="HR37" s="272"/>
      <c r="HS37" s="272"/>
      <c r="HT37" s="272"/>
      <c r="HU37" s="272"/>
      <c r="HV37" s="272"/>
      <c r="HW37" s="272"/>
      <c r="HX37" s="272"/>
      <c r="HY37" s="272"/>
      <c r="HZ37" s="272"/>
      <c r="IA37" s="272"/>
      <c r="IB37" s="272"/>
      <c r="IC37" s="272"/>
      <c r="ID37" s="272"/>
      <c r="IE37" s="272"/>
      <c r="IF37" s="272"/>
      <c r="IG37" s="272"/>
      <c r="IH37" s="272"/>
      <c r="II37" s="272"/>
      <c r="IJ37" s="272"/>
      <c r="IK37" s="272"/>
      <c r="IL37" s="272"/>
      <c r="IM37" s="272"/>
      <c r="IN37" s="272"/>
      <c r="IO37" s="272"/>
      <c r="IP37" s="272"/>
      <c r="IQ37" s="272"/>
      <c r="IR37" s="272"/>
      <c r="IS37" s="272"/>
      <c r="IT37" s="272"/>
      <c r="IU37" s="272"/>
      <c r="IV37" s="272"/>
      <c r="IW37" s="272"/>
      <c r="IX37" s="272"/>
      <c r="IY37" s="272"/>
      <c r="IZ37" s="272"/>
      <c r="JA37" s="272"/>
      <c r="JB37" s="272"/>
      <c r="JC37" s="272"/>
      <c r="JD37" s="272"/>
      <c r="JE37" s="272"/>
      <c r="JF37" s="272"/>
      <c r="JG37" s="272"/>
      <c r="JH37" s="272"/>
      <c r="JI37" s="272"/>
      <c r="JJ37" s="272"/>
      <c r="JK37" s="272"/>
      <c r="JL37" s="272"/>
      <c r="JM37" s="272"/>
      <c r="JN37" s="272"/>
      <c r="JO37" s="272"/>
      <c r="JP37" s="272"/>
      <c r="JQ37" s="272"/>
      <c r="JR37" s="272"/>
      <c r="JS37" s="272"/>
      <c r="JT37" s="272"/>
      <c r="JU37" s="272"/>
      <c r="JV37" s="272"/>
      <c r="JW37" s="272"/>
      <c r="JX37" s="272"/>
      <c r="JY37" s="272"/>
      <c r="JZ37" s="272"/>
      <c r="KA37" s="272"/>
      <c r="KB37" s="272"/>
      <c r="KC37" s="272"/>
      <c r="KD37" s="272"/>
      <c r="KE37" s="272"/>
      <c r="KF37" s="272"/>
      <c r="KG37" s="272"/>
      <c r="KH37" s="272"/>
      <c r="KI37" s="272"/>
      <c r="KJ37" s="272"/>
      <c r="KK37" s="272"/>
      <c r="KL37" s="272"/>
      <c r="KM37" s="272"/>
      <c r="KN37" s="272"/>
      <c r="KO37" s="272"/>
      <c r="KP37" s="272"/>
      <c r="KQ37" s="272"/>
      <c r="KR37" s="272"/>
      <c r="KS37" s="272"/>
      <c r="KT37" s="272"/>
      <c r="KU37" s="272"/>
      <c r="KV37" s="272"/>
      <c r="KW37" s="272"/>
      <c r="KX37" s="272"/>
      <c r="KY37" s="272"/>
      <c r="KZ37" s="272"/>
      <c r="LA37" s="272"/>
      <c r="LB37" s="272"/>
      <c r="LC37" s="272"/>
      <c r="LD37" s="272"/>
      <c r="LE37" s="272"/>
      <c r="LF37" s="272"/>
      <c r="LG37" s="272"/>
      <c r="LH37" s="272"/>
      <c r="LI37" s="272"/>
      <c r="LJ37" s="272"/>
      <c r="LK37" s="272"/>
      <c r="LL37" s="272"/>
      <c r="LM37" s="272"/>
      <c r="LN37" s="272"/>
      <c r="LO37" s="272"/>
      <c r="LP37" s="272"/>
      <c r="LQ37" s="272"/>
      <c r="LR37" s="272"/>
      <c r="LS37" s="272"/>
      <c r="LT37" s="272"/>
      <c r="LU37" s="272"/>
      <c r="LV37" s="272"/>
      <c r="LW37" s="272"/>
      <c r="LX37" s="272"/>
      <c r="LY37" s="272"/>
      <c r="LZ37" s="272"/>
      <c r="MA37" s="272"/>
      <c r="MB37" s="272"/>
      <c r="MC37" s="272"/>
      <c r="MD37" s="272"/>
      <c r="ME37" s="272"/>
      <c r="MF37" s="272"/>
      <c r="MG37" s="272"/>
      <c r="MH37" s="272"/>
      <c r="MI37" s="272"/>
      <c r="MJ37" s="272"/>
      <c r="MK37" s="272"/>
      <c r="ML37" s="272"/>
      <c r="MM37" s="272"/>
      <c r="MN37" s="272"/>
      <c r="MO37" s="272"/>
      <c r="MP37" s="272"/>
      <c r="MQ37" s="272"/>
      <c r="MR37" s="272"/>
      <c r="MS37" s="272"/>
      <c r="MT37" s="272"/>
      <c r="MU37" s="272"/>
      <c r="MV37" s="272"/>
      <c r="MW37" s="272"/>
      <c r="MX37" s="272"/>
      <c r="MY37" s="272"/>
      <c r="MZ37" s="272"/>
      <c r="NA37" s="272"/>
      <c r="NB37" s="272"/>
      <c r="NC37" s="272"/>
      <c r="ND37" s="272"/>
      <c r="NE37" s="272"/>
      <c r="NF37" s="272"/>
      <c r="NG37" s="272"/>
      <c r="NH37" s="272"/>
      <c r="NI37" s="272"/>
      <c r="NJ37" s="272"/>
      <c r="NK37" s="272"/>
      <c r="NL37" s="272"/>
      <c r="NM37" s="272"/>
      <c r="NN37" s="272"/>
      <c r="NO37" s="272"/>
      <c r="NP37" s="272"/>
      <c r="NQ37" s="272"/>
      <c r="NR37" s="272"/>
      <c r="NS37" s="272"/>
      <c r="NT37" s="272"/>
      <c r="NU37" s="272"/>
      <c r="NV37" s="272"/>
      <c r="NW37" s="272"/>
      <c r="NX37" s="272"/>
      <c r="NY37" s="272"/>
      <c r="NZ37" s="272"/>
      <c r="OA37" s="272"/>
      <c r="OB37" s="272"/>
      <c r="OC37" s="272"/>
      <c r="OD37" s="272"/>
      <c r="OE37" s="272"/>
      <c r="OF37" s="272"/>
      <c r="OG37" s="272"/>
      <c r="OH37" s="272"/>
      <c r="OI37" s="272"/>
      <c r="OJ37" s="272"/>
      <c r="OK37" s="272"/>
      <c r="OL37" s="272"/>
      <c r="OM37" s="272"/>
      <c r="ON37" s="272"/>
      <c r="OO37" s="272"/>
      <c r="OP37" s="272"/>
      <c r="OQ37" s="272"/>
      <c r="OR37" s="272"/>
      <c r="OS37" s="272"/>
      <c r="OT37" s="272"/>
      <c r="OU37" s="272"/>
      <c r="OV37" s="272"/>
      <c r="OW37" s="272"/>
      <c r="OX37" s="272"/>
      <c r="OY37" s="272"/>
      <c r="OZ37" s="272"/>
      <c r="PA37" s="272"/>
      <c r="PB37" s="272"/>
      <c r="PC37" s="272"/>
      <c r="PD37" s="272"/>
      <c r="PE37" s="272"/>
      <c r="PF37" s="272"/>
      <c r="PG37" s="272"/>
      <c r="PH37" s="272"/>
      <c r="PI37" s="272"/>
      <c r="PJ37" s="272"/>
      <c r="PK37" s="272"/>
      <c r="PL37" s="272"/>
      <c r="PM37" s="272"/>
      <c r="PN37" s="272"/>
      <c r="PO37" s="272"/>
      <c r="PP37" s="272"/>
      <c r="PQ37" s="272"/>
      <c r="PR37" s="272"/>
      <c r="PS37" s="272"/>
      <c r="PT37" s="272"/>
      <c r="PU37" s="272"/>
      <c r="PV37" s="272"/>
      <c r="PW37" s="272"/>
      <c r="PX37" s="272"/>
      <c r="PY37" s="272"/>
      <c r="PZ37" s="272"/>
      <c r="QA37" s="272"/>
      <c r="QB37" s="272"/>
      <c r="QC37" s="272"/>
      <c r="QD37" s="272"/>
      <c r="QE37" s="272"/>
      <c r="QF37" s="272"/>
      <c r="QG37" s="272"/>
      <c r="QH37" s="272"/>
      <c r="QI37" s="272"/>
      <c r="QJ37" s="272"/>
      <c r="QK37" s="272"/>
      <c r="QL37" s="272"/>
      <c r="QM37" s="272"/>
      <c r="QN37" s="272"/>
      <c r="QO37" s="272"/>
      <c r="QP37" s="272"/>
      <c r="QQ37" s="272"/>
      <c r="QR37" s="272"/>
      <c r="QS37" s="272"/>
      <c r="QT37" s="272"/>
      <c r="QU37" s="272"/>
      <c r="QV37" s="272"/>
      <c r="QW37" s="272"/>
      <c r="QX37" s="272"/>
      <c r="QY37" s="272"/>
      <c r="QZ37" s="272"/>
      <c r="RA37" s="272"/>
      <c r="RB37" s="272"/>
      <c r="RC37" s="272"/>
      <c r="RD37" s="272"/>
      <c r="RE37" s="272"/>
      <c r="RF37" s="272"/>
      <c r="RG37" s="272"/>
      <c r="RH37" s="272"/>
      <c r="RI37" s="272"/>
      <c r="RJ37" s="272"/>
      <c r="RK37" s="272"/>
      <c r="RL37" s="272"/>
      <c r="RM37" s="272"/>
      <c r="RN37" s="272"/>
      <c r="RO37" s="272"/>
      <c r="RP37" s="272"/>
      <c r="RQ37" s="272"/>
      <c r="RR37" s="272"/>
      <c r="RS37" s="272"/>
      <c r="RT37" s="272"/>
      <c r="RU37" s="272"/>
      <c r="RV37" s="272"/>
      <c r="RW37" s="272"/>
      <c r="RX37" s="272"/>
      <c r="RY37" s="272"/>
      <c r="RZ37" s="272"/>
      <c r="SA37" s="272"/>
      <c r="SB37" s="272"/>
      <c r="SC37" s="272"/>
      <c r="SD37" s="272"/>
      <c r="SE37" s="272"/>
      <c r="SF37" s="272"/>
      <c r="SG37" s="272"/>
      <c r="SH37" s="272"/>
      <c r="SI37" s="272"/>
      <c r="SJ37" s="272"/>
      <c r="SK37" s="272"/>
      <c r="SL37" s="272"/>
      <c r="SM37" s="272"/>
      <c r="SN37" s="272"/>
      <c r="SO37" s="272"/>
      <c r="SP37" s="272"/>
      <c r="SQ37" s="272"/>
      <c r="SR37" s="272"/>
      <c r="SS37" s="272"/>
      <c r="ST37" s="272"/>
      <c r="SU37" s="272"/>
      <c r="SV37" s="272"/>
      <c r="SW37" s="272"/>
      <c r="SX37" s="272"/>
      <c r="SY37" s="272"/>
      <c r="SZ37" s="272"/>
      <c r="TA37" s="272"/>
      <c r="TB37" s="272"/>
      <c r="TC37" s="272"/>
      <c r="TD37" s="272"/>
      <c r="TE37" s="272"/>
      <c r="TF37" s="272"/>
      <c r="TG37" s="272"/>
      <c r="TH37" s="272"/>
      <c r="TI37" s="272"/>
      <c r="TJ37" s="272"/>
      <c r="TK37" s="272"/>
      <c r="TL37" s="272"/>
      <c r="TM37" s="272"/>
      <c r="TN37" s="272"/>
      <c r="TO37" s="272"/>
      <c r="TP37" s="272"/>
      <c r="TQ37" s="272"/>
      <c r="TR37" s="272"/>
      <c r="TS37" s="272"/>
      <c r="TT37" s="272"/>
      <c r="TU37" s="272"/>
      <c r="TV37" s="272"/>
      <c r="TW37" s="272"/>
      <c r="TX37" s="272"/>
      <c r="TY37" s="272"/>
      <c r="TZ37" s="272"/>
      <c r="UA37" s="272"/>
      <c r="UB37" s="272"/>
      <c r="UC37" s="272"/>
      <c r="UD37" s="272"/>
      <c r="UE37" s="272"/>
      <c r="UF37" s="272"/>
      <c r="UG37" s="272"/>
      <c r="UH37" s="272"/>
      <c r="UI37" s="272"/>
      <c r="UJ37" s="272"/>
      <c r="UK37" s="272"/>
      <c r="UL37" s="272"/>
      <c r="UM37" s="272"/>
      <c r="UN37" s="272"/>
      <c r="UO37" s="272"/>
      <c r="UP37" s="272"/>
      <c r="UQ37" s="272"/>
      <c r="UR37" s="272"/>
      <c r="US37" s="272"/>
      <c r="UT37" s="272"/>
      <c r="UU37" s="272"/>
      <c r="UV37" s="272"/>
      <c r="UW37" s="272"/>
      <c r="UX37" s="272"/>
      <c r="UY37" s="272"/>
      <c r="UZ37" s="272"/>
      <c r="VA37" s="272"/>
      <c r="VB37" s="272"/>
      <c r="VC37" s="272"/>
      <c r="VD37" s="272"/>
      <c r="VE37" s="272"/>
      <c r="VF37" s="272"/>
      <c r="VG37" s="272"/>
      <c r="VH37" s="272"/>
      <c r="VI37" s="272"/>
      <c r="VJ37" s="272"/>
      <c r="VK37" s="272"/>
      <c r="VL37" s="272"/>
      <c r="VM37" s="272"/>
      <c r="VN37" s="272"/>
      <c r="VO37" s="272"/>
      <c r="VP37" s="272"/>
      <c r="VQ37" s="272"/>
      <c r="VR37" s="272"/>
      <c r="VS37" s="272"/>
      <c r="VT37" s="272"/>
      <c r="VU37" s="272"/>
      <c r="VV37" s="272"/>
      <c r="VW37" s="272"/>
      <c r="VX37" s="272"/>
      <c r="VY37" s="272"/>
      <c r="VZ37" s="272"/>
      <c r="WA37" s="272"/>
      <c r="WB37" s="272"/>
      <c r="WC37" s="272"/>
      <c r="WD37" s="272"/>
      <c r="WE37" s="272"/>
      <c r="WF37" s="272"/>
      <c r="WG37" s="272"/>
      <c r="WH37" s="272"/>
      <c r="WI37" s="272"/>
      <c r="WJ37" s="272"/>
      <c r="WK37" s="272"/>
      <c r="WL37" s="272"/>
      <c r="WM37" s="272"/>
      <c r="WN37" s="272"/>
      <c r="WO37" s="272"/>
      <c r="WP37" s="272"/>
      <c r="WQ37" s="272"/>
      <c r="WR37" s="272"/>
      <c r="WS37" s="272"/>
      <c r="WT37" s="272"/>
      <c r="WU37" s="272"/>
      <c r="WV37" s="272"/>
      <c r="WW37" s="272"/>
      <c r="WX37" s="272"/>
      <c r="WY37" s="272"/>
      <c r="WZ37" s="272"/>
      <c r="XA37" s="272"/>
      <c r="XB37" s="272"/>
      <c r="XC37" s="272"/>
      <c r="XD37" s="272"/>
      <c r="XE37" s="272"/>
      <c r="XF37" s="272"/>
      <c r="XG37" s="272"/>
      <c r="XH37" s="272"/>
      <c r="XI37" s="272"/>
      <c r="XJ37" s="272"/>
      <c r="XK37" s="272"/>
      <c r="XL37" s="272"/>
      <c r="XM37" s="272"/>
      <c r="XN37" s="272"/>
      <c r="XO37" s="272"/>
      <c r="XP37" s="272"/>
      <c r="XQ37" s="272"/>
      <c r="XR37" s="272"/>
      <c r="XS37" s="272"/>
      <c r="XT37" s="272"/>
      <c r="XU37" s="272"/>
      <c r="XV37" s="272"/>
      <c r="XW37" s="272"/>
      <c r="XX37" s="272"/>
      <c r="XY37" s="272"/>
      <c r="XZ37" s="272"/>
      <c r="YA37" s="272"/>
      <c r="YB37" s="272"/>
      <c r="YC37" s="272"/>
      <c r="YD37" s="272"/>
      <c r="YE37" s="272"/>
      <c r="YF37" s="272"/>
      <c r="YG37" s="272"/>
      <c r="YH37" s="272"/>
      <c r="YI37" s="272"/>
      <c r="YJ37" s="272"/>
      <c r="YK37" s="272"/>
      <c r="YL37" s="272"/>
      <c r="YM37" s="272"/>
      <c r="YN37" s="272"/>
      <c r="YO37" s="272"/>
      <c r="YP37" s="272"/>
      <c r="YQ37" s="272"/>
      <c r="YR37" s="272"/>
      <c r="YS37" s="272"/>
      <c r="YT37" s="272"/>
      <c r="YU37" s="272"/>
      <c r="YV37" s="272"/>
      <c r="YW37" s="272"/>
      <c r="YX37" s="272"/>
      <c r="YY37" s="272"/>
      <c r="YZ37" s="272"/>
      <c r="ZA37" s="272"/>
      <c r="ZB37" s="272"/>
      <c r="ZC37" s="272"/>
      <c r="ZD37" s="272"/>
      <c r="ZE37" s="272"/>
      <c r="ZF37" s="272"/>
      <c r="ZG37" s="272"/>
      <c r="ZH37" s="272"/>
      <c r="ZI37" s="272"/>
      <c r="ZJ37" s="272"/>
      <c r="ZK37" s="272"/>
      <c r="ZL37" s="272"/>
      <c r="ZM37" s="272"/>
      <c r="ZN37" s="272"/>
      <c r="ZO37" s="272"/>
      <c r="ZP37" s="272"/>
      <c r="ZQ37" s="272"/>
      <c r="ZR37" s="272"/>
      <c r="ZS37" s="272"/>
      <c r="ZT37" s="272"/>
    </row>
    <row r="38" spans="1:696" s="19" customFormat="1" ht="15">
      <c r="A38" s="44"/>
      <c r="B38" s="602"/>
      <c r="C38" s="602"/>
      <c r="D38" s="603"/>
      <c r="E38" s="619"/>
      <c r="F38" s="619"/>
      <c r="G38" s="626"/>
      <c r="H38" s="626"/>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2"/>
      <c r="DM38" s="272"/>
      <c r="DN38" s="272"/>
      <c r="DO38" s="272"/>
      <c r="DP38" s="272"/>
      <c r="DQ38" s="272"/>
      <c r="DR38" s="272"/>
      <c r="DS38" s="272"/>
      <c r="DT38" s="272"/>
      <c r="DU38" s="272"/>
      <c r="DV38" s="272"/>
      <c r="DW38" s="272"/>
      <c r="DX38" s="272"/>
      <c r="DY38" s="272"/>
      <c r="DZ38" s="272"/>
      <c r="EA38" s="272"/>
      <c r="EB38" s="272"/>
      <c r="EC38" s="272"/>
      <c r="ED38" s="272"/>
      <c r="EE38" s="272"/>
      <c r="EF38" s="272"/>
      <c r="EG38" s="272"/>
      <c r="EH38" s="272"/>
      <c r="EI38" s="272"/>
      <c r="EJ38" s="272"/>
      <c r="EK38" s="272"/>
      <c r="EL38" s="272"/>
      <c r="EM38" s="272"/>
      <c r="EN38" s="272"/>
      <c r="EO38" s="272"/>
      <c r="EP38" s="272"/>
      <c r="EQ38" s="272"/>
      <c r="ER38" s="272"/>
      <c r="ES38" s="272"/>
      <c r="ET38" s="272"/>
      <c r="EU38" s="272"/>
      <c r="EV38" s="272"/>
      <c r="EW38" s="272"/>
      <c r="EX38" s="272"/>
      <c r="EY38" s="272"/>
      <c r="EZ38" s="272"/>
      <c r="FA38" s="272"/>
      <c r="FB38" s="272"/>
      <c r="FC38" s="272"/>
      <c r="FD38" s="272"/>
      <c r="FE38" s="272"/>
      <c r="FF38" s="272"/>
      <c r="FG38" s="272"/>
      <c r="FH38" s="272"/>
      <c r="FI38" s="272"/>
      <c r="FJ38" s="272"/>
      <c r="FK38" s="272"/>
      <c r="FL38" s="272"/>
      <c r="FM38" s="272"/>
      <c r="FN38" s="272"/>
      <c r="FO38" s="272"/>
      <c r="FP38" s="272"/>
      <c r="FQ38" s="272"/>
      <c r="FR38" s="272"/>
      <c r="FS38" s="272"/>
      <c r="FT38" s="272"/>
      <c r="FU38" s="272"/>
      <c r="FV38" s="272"/>
      <c r="FW38" s="272"/>
      <c r="FX38" s="272"/>
      <c r="FY38" s="272"/>
      <c r="FZ38" s="272"/>
      <c r="GA38" s="272"/>
      <c r="GB38" s="272"/>
      <c r="GC38" s="272"/>
      <c r="GD38" s="272"/>
      <c r="GE38" s="272"/>
      <c r="GF38" s="272"/>
      <c r="GG38" s="272"/>
      <c r="GH38" s="272"/>
      <c r="GI38" s="272"/>
      <c r="GJ38" s="272"/>
      <c r="GK38" s="272"/>
      <c r="GL38" s="272"/>
      <c r="GM38" s="272"/>
      <c r="GN38" s="272"/>
      <c r="GO38" s="272"/>
      <c r="GP38" s="272"/>
      <c r="GQ38" s="272"/>
      <c r="GR38" s="272"/>
      <c r="GS38" s="272"/>
      <c r="GT38" s="272"/>
      <c r="GU38" s="272"/>
      <c r="GV38" s="272"/>
      <c r="GW38" s="272"/>
      <c r="GX38" s="272"/>
      <c r="GY38" s="272"/>
      <c r="GZ38" s="272"/>
      <c r="HA38" s="272"/>
      <c r="HB38" s="272"/>
      <c r="HC38" s="272"/>
      <c r="HD38" s="272"/>
      <c r="HE38" s="272"/>
      <c r="HF38" s="272"/>
      <c r="HG38" s="272"/>
      <c r="HH38" s="272"/>
      <c r="HI38" s="272"/>
      <c r="HJ38" s="272"/>
      <c r="HK38" s="272"/>
      <c r="HL38" s="272"/>
      <c r="HM38" s="272"/>
      <c r="HN38" s="272"/>
      <c r="HO38" s="272"/>
      <c r="HP38" s="272"/>
      <c r="HQ38" s="272"/>
      <c r="HR38" s="272"/>
      <c r="HS38" s="272"/>
      <c r="HT38" s="272"/>
      <c r="HU38" s="272"/>
      <c r="HV38" s="272"/>
      <c r="HW38" s="272"/>
      <c r="HX38" s="272"/>
      <c r="HY38" s="272"/>
      <c r="HZ38" s="272"/>
      <c r="IA38" s="272"/>
      <c r="IB38" s="272"/>
      <c r="IC38" s="272"/>
      <c r="ID38" s="272"/>
      <c r="IE38" s="272"/>
      <c r="IF38" s="272"/>
      <c r="IG38" s="272"/>
      <c r="IH38" s="272"/>
      <c r="II38" s="272"/>
      <c r="IJ38" s="272"/>
      <c r="IK38" s="272"/>
      <c r="IL38" s="272"/>
      <c r="IM38" s="272"/>
      <c r="IN38" s="272"/>
      <c r="IO38" s="272"/>
      <c r="IP38" s="272"/>
      <c r="IQ38" s="272"/>
      <c r="IR38" s="272"/>
      <c r="IS38" s="272"/>
      <c r="IT38" s="272"/>
      <c r="IU38" s="272"/>
      <c r="IV38" s="272"/>
      <c r="IW38" s="272"/>
      <c r="IX38" s="272"/>
      <c r="IY38" s="272"/>
      <c r="IZ38" s="272"/>
      <c r="JA38" s="272"/>
      <c r="JB38" s="272"/>
      <c r="JC38" s="272"/>
      <c r="JD38" s="272"/>
      <c r="JE38" s="272"/>
      <c r="JF38" s="272"/>
      <c r="JG38" s="272"/>
      <c r="JH38" s="272"/>
      <c r="JI38" s="272"/>
      <c r="JJ38" s="272"/>
      <c r="JK38" s="272"/>
      <c r="JL38" s="272"/>
      <c r="JM38" s="272"/>
      <c r="JN38" s="272"/>
      <c r="JO38" s="272"/>
      <c r="JP38" s="272"/>
      <c r="JQ38" s="272"/>
      <c r="JR38" s="272"/>
      <c r="JS38" s="272"/>
      <c r="JT38" s="272"/>
      <c r="JU38" s="272"/>
      <c r="JV38" s="272"/>
      <c r="JW38" s="272"/>
      <c r="JX38" s="272"/>
      <c r="JY38" s="272"/>
      <c r="JZ38" s="272"/>
      <c r="KA38" s="272"/>
      <c r="KB38" s="272"/>
      <c r="KC38" s="272"/>
      <c r="KD38" s="272"/>
      <c r="KE38" s="272"/>
      <c r="KF38" s="272"/>
      <c r="KG38" s="272"/>
      <c r="KH38" s="272"/>
      <c r="KI38" s="272"/>
      <c r="KJ38" s="272"/>
      <c r="KK38" s="272"/>
      <c r="KL38" s="272"/>
      <c r="KM38" s="272"/>
      <c r="KN38" s="272"/>
      <c r="KO38" s="272"/>
      <c r="KP38" s="272"/>
      <c r="KQ38" s="272"/>
      <c r="KR38" s="272"/>
      <c r="KS38" s="272"/>
      <c r="KT38" s="272"/>
      <c r="KU38" s="272"/>
      <c r="KV38" s="272"/>
      <c r="KW38" s="272"/>
      <c r="KX38" s="272"/>
      <c r="KY38" s="272"/>
      <c r="KZ38" s="272"/>
      <c r="LA38" s="272"/>
      <c r="LB38" s="272"/>
      <c r="LC38" s="272"/>
      <c r="LD38" s="272"/>
      <c r="LE38" s="272"/>
      <c r="LF38" s="272"/>
      <c r="LG38" s="272"/>
      <c r="LH38" s="272"/>
      <c r="LI38" s="272"/>
      <c r="LJ38" s="272"/>
      <c r="LK38" s="272"/>
      <c r="LL38" s="272"/>
      <c r="LM38" s="272"/>
      <c r="LN38" s="272"/>
      <c r="LO38" s="272"/>
      <c r="LP38" s="272"/>
      <c r="LQ38" s="272"/>
      <c r="LR38" s="272"/>
      <c r="LS38" s="272"/>
      <c r="LT38" s="272"/>
      <c r="LU38" s="272"/>
      <c r="LV38" s="272"/>
      <c r="LW38" s="272"/>
      <c r="LX38" s="272"/>
      <c r="LY38" s="272"/>
      <c r="LZ38" s="272"/>
      <c r="MA38" s="272"/>
      <c r="MB38" s="272"/>
      <c r="MC38" s="272"/>
      <c r="MD38" s="272"/>
      <c r="ME38" s="272"/>
      <c r="MF38" s="272"/>
      <c r="MG38" s="272"/>
      <c r="MH38" s="272"/>
      <c r="MI38" s="272"/>
      <c r="MJ38" s="272"/>
      <c r="MK38" s="272"/>
      <c r="ML38" s="272"/>
      <c r="MM38" s="272"/>
      <c r="MN38" s="272"/>
      <c r="MO38" s="272"/>
      <c r="MP38" s="272"/>
      <c r="MQ38" s="272"/>
      <c r="MR38" s="272"/>
      <c r="MS38" s="272"/>
      <c r="MT38" s="272"/>
      <c r="MU38" s="272"/>
      <c r="MV38" s="272"/>
      <c r="MW38" s="272"/>
      <c r="MX38" s="272"/>
      <c r="MY38" s="272"/>
      <c r="MZ38" s="272"/>
      <c r="NA38" s="272"/>
      <c r="NB38" s="272"/>
      <c r="NC38" s="272"/>
      <c r="ND38" s="272"/>
      <c r="NE38" s="272"/>
      <c r="NF38" s="272"/>
      <c r="NG38" s="272"/>
      <c r="NH38" s="272"/>
      <c r="NI38" s="272"/>
      <c r="NJ38" s="272"/>
      <c r="NK38" s="272"/>
      <c r="NL38" s="272"/>
      <c r="NM38" s="272"/>
      <c r="NN38" s="272"/>
      <c r="NO38" s="272"/>
      <c r="NP38" s="272"/>
      <c r="NQ38" s="272"/>
      <c r="NR38" s="272"/>
      <c r="NS38" s="272"/>
      <c r="NT38" s="272"/>
      <c r="NU38" s="272"/>
      <c r="NV38" s="272"/>
      <c r="NW38" s="272"/>
      <c r="NX38" s="272"/>
      <c r="NY38" s="272"/>
      <c r="NZ38" s="272"/>
      <c r="OA38" s="272"/>
      <c r="OB38" s="272"/>
      <c r="OC38" s="272"/>
      <c r="OD38" s="272"/>
      <c r="OE38" s="272"/>
      <c r="OF38" s="272"/>
      <c r="OG38" s="272"/>
      <c r="OH38" s="272"/>
      <c r="OI38" s="272"/>
      <c r="OJ38" s="272"/>
      <c r="OK38" s="272"/>
      <c r="OL38" s="272"/>
      <c r="OM38" s="272"/>
      <c r="ON38" s="272"/>
      <c r="OO38" s="272"/>
      <c r="OP38" s="272"/>
      <c r="OQ38" s="272"/>
      <c r="OR38" s="272"/>
      <c r="OS38" s="272"/>
      <c r="OT38" s="272"/>
      <c r="OU38" s="272"/>
      <c r="OV38" s="272"/>
      <c r="OW38" s="272"/>
      <c r="OX38" s="272"/>
      <c r="OY38" s="272"/>
      <c r="OZ38" s="272"/>
      <c r="PA38" s="272"/>
      <c r="PB38" s="272"/>
      <c r="PC38" s="272"/>
      <c r="PD38" s="272"/>
      <c r="PE38" s="272"/>
      <c r="PF38" s="272"/>
      <c r="PG38" s="272"/>
      <c r="PH38" s="272"/>
      <c r="PI38" s="272"/>
      <c r="PJ38" s="272"/>
      <c r="PK38" s="272"/>
      <c r="PL38" s="272"/>
      <c r="PM38" s="272"/>
      <c r="PN38" s="272"/>
      <c r="PO38" s="272"/>
      <c r="PP38" s="272"/>
      <c r="PQ38" s="272"/>
      <c r="PR38" s="272"/>
      <c r="PS38" s="272"/>
      <c r="PT38" s="272"/>
      <c r="PU38" s="272"/>
      <c r="PV38" s="272"/>
      <c r="PW38" s="272"/>
      <c r="PX38" s="272"/>
      <c r="PY38" s="272"/>
      <c r="PZ38" s="272"/>
      <c r="QA38" s="272"/>
      <c r="QB38" s="272"/>
      <c r="QC38" s="272"/>
      <c r="QD38" s="272"/>
      <c r="QE38" s="272"/>
      <c r="QF38" s="272"/>
      <c r="QG38" s="272"/>
      <c r="QH38" s="272"/>
      <c r="QI38" s="272"/>
      <c r="QJ38" s="272"/>
      <c r="QK38" s="272"/>
      <c r="QL38" s="272"/>
      <c r="QM38" s="272"/>
      <c r="QN38" s="272"/>
      <c r="QO38" s="272"/>
      <c r="QP38" s="272"/>
      <c r="QQ38" s="272"/>
      <c r="QR38" s="272"/>
      <c r="QS38" s="272"/>
      <c r="QT38" s="272"/>
      <c r="QU38" s="272"/>
      <c r="QV38" s="272"/>
      <c r="QW38" s="272"/>
      <c r="QX38" s="272"/>
      <c r="QY38" s="272"/>
      <c r="QZ38" s="272"/>
      <c r="RA38" s="272"/>
      <c r="RB38" s="272"/>
      <c r="RC38" s="272"/>
      <c r="RD38" s="272"/>
      <c r="RE38" s="272"/>
      <c r="RF38" s="272"/>
      <c r="RG38" s="272"/>
      <c r="RH38" s="272"/>
      <c r="RI38" s="272"/>
      <c r="RJ38" s="272"/>
      <c r="RK38" s="272"/>
      <c r="RL38" s="272"/>
      <c r="RM38" s="272"/>
      <c r="RN38" s="272"/>
      <c r="RO38" s="272"/>
      <c r="RP38" s="272"/>
      <c r="RQ38" s="272"/>
      <c r="RR38" s="272"/>
      <c r="RS38" s="272"/>
      <c r="RT38" s="272"/>
      <c r="RU38" s="272"/>
      <c r="RV38" s="272"/>
      <c r="RW38" s="272"/>
      <c r="RX38" s="272"/>
      <c r="RY38" s="272"/>
      <c r="RZ38" s="272"/>
      <c r="SA38" s="272"/>
      <c r="SB38" s="272"/>
      <c r="SC38" s="272"/>
      <c r="SD38" s="272"/>
      <c r="SE38" s="272"/>
      <c r="SF38" s="272"/>
      <c r="SG38" s="272"/>
      <c r="SH38" s="272"/>
      <c r="SI38" s="272"/>
      <c r="SJ38" s="272"/>
      <c r="SK38" s="272"/>
      <c r="SL38" s="272"/>
      <c r="SM38" s="272"/>
      <c r="SN38" s="272"/>
      <c r="SO38" s="272"/>
      <c r="SP38" s="272"/>
      <c r="SQ38" s="272"/>
      <c r="SR38" s="272"/>
      <c r="SS38" s="272"/>
      <c r="ST38" s="272"/>
      <c r="SU38" s="272"/>
      <c r="SV38" s="272"/>
      <c r="SW38" s="272"/>
      <c r="SX38" s="272"/>
      <c r="SY38" s="272"/>
      <c r="SZ38" s="272"/>
      <c r="TA38" s="272"/>
      <c r="TB38" s="272"/>
      <c r="TC38" s="272"/>
      <c r="TD38" s="272"/>
      <c r="TE38" s="272"/>
      <c r="TF38" s="272"/>
      <c r="TG38" s="272"/>
      <c r="TH38" s="272"/>
      <c r="TI38" s="272"/>
      <c r="TJ38" s="272"/>
      <c r="TK38" s="272"/>
      <c r="TL38" s="272"/>
      <c r="TM38" s="272"/>
      <c r="TN38" s="272"/>
      <c r="TO38" s="272"/>
      <c r="TP38" s="272"/>
      <c r="TQ38" s="272"/>
      <c r="TR38" s="272"/>
      <c r="TS38" s="272"/>
      <c r="TT38" s="272"/>
      <c r="TU38" s="272"/>
      <c r="TV38" s="272"/>
      <c r="TW38" s="272"/>
      <c r="TX38" s="272"/>
      <c r="TY38" s="272"/>
      <c r="TZ38" s="272"/>
      <c r="UA38" s="272"/>
      <c r="UB38" s="272"/>
      <c r="UC38" s="272"/>
      <c r="UD38" s="272"/>
      <c r="UE38" s="272"/>
      <c r="UF38" s="272"/>
      <c r="UG38" s="272"/>
      <c r="UH38" s="272"/>
      <c r="UI38" s="272"/>
      <c r="UJ38" s="272"/>
      <c r="UK38" s="272"/>
      <c r="UL38" s="272"/>
      <c r="UM38" s="272"/>
      <c r="UN38" s="272"/>
      <c r="UO38" s="272"/>
      <c r="UP38" s="272"/>
      <c r="UQ38" s="272"/>
      <c r="UR38" s="272"/>
      <c r="US38" s="272"/>
      <c r="UT38" s="272"/>
      <c r="UU38" s="272"/>
      <c r="UV38" s="272"/>
      <c r="UW38" s="272"/>
      <c r="UX38" s="272"/>
      <c r="UY38" s="272"/>
      <c r="UZ38" s="272"/>
      <c r="VA38" s="272"/>
      <c r="VB38" s="272"/>
      <c r="VC38" s="272"/>
      <c r="VD38" s="272"/>
      <c r="VE38" s="272"/>
      <c r="VF38" s="272"/>
      <c r="VG38" s="272"/>
      <c r="VH38" s="272"/>
      <c r="VI38" s="272"/>
      <c r="VJ38" s="272"/>
      <c r="VK38" s="272"/>
      <c r="VL38" s="272"/>
      <c r="VM38" s="272"/>
      <c r="VN38" s="272"/>
      <c r="VO38" s="272"/>
      <c r="VP38" s="272"/>
      <c r="VQ38" s="272"/>
      <c r="VR38" s="272"/>
      <c r="VS38" s="272"/>
      <c r="VT38" s="272"/>
      <c r="VU38" s="272"/>
      <c r="VV38" s="272"/>
      <c r="VW38" s="272"/>
      <c r="VX38" s="272"/>
      <c r="VY38" s="272"/>
      <c r="VZ38" s="272"/>
      <c r="WA38" s="272"/>
      <c r="WB38" s="272"/>
      <c r="WC38" s="272"/>
      <c r="WD38" s="272"/>
      <c r="WE38" s="272"/>
      <c r="WF38" s="272"/>
      <c r="WG38" s="272"/>
      <c r="WH38" s="272"/>
      <c r="WI38" s="272"/>
      <c r="WJ38" s="272"/>
      <c r="WK38" s="272"/>
      <c r="WL38" s="272"/>
      <c r="WM38" s="272"/>
      <c r="WN38" s="272"/>
      <c r="WO38" s="272"/>
      <c r="WP38" s="272"/>
      <c r="WQ38" s="272"/>
      <c r="WR38" s="272"/>
      <c r="WS38" s="272"/>
      <c r="WT38" s="272"/>
      <c r="WU38" s="272"/>
      <c r="WV38" s="272"/>
      <c r="WW38" s="272"/>
      <c r="WX38" s="272"/>
      <c r="WY38" s="272"/>
      <c r="WZ38" s="272"/>
      <c r="XA38" s="272"/>
      <c r="XB38" s="272"/>
      <c r="XC38" s="272"/>
      <c r="XD38" s="272"/>
      <c r="XE38" s="272"/>
      <c r="XF38" s="272"/>
      <c r="XG38" s="272"/>
      <c r="XH38" s="272"/>
      <c r="XI38" s="272"/>
      <c r="XJ38" s="272"/>
      <c r="XK38" s="272"/>
      <c r="XL38" s="272"/>
      <c r="XM38" s="272"/>
      <c r="XN38" s="272"/>
      <c r="XO38" s="272"/>
      <c r="XP38" s="272"/>
      <c r="XQ38" s="272"/>
      <c r="XR38" s="272"/>
      <c r="XS38" s="272"/>
      <c r="XT38" s="272"/>
      <c r="XU38" s="272"/>
      <c r="XV38" s="272"/>
      <c r="XW38" s="272"/>
      <c r="XX38" s="272"/>
      <c r="XY38" s="272"/>
      <c r="XZ38" s="272"/>
      <c r="YA38" s="272"/>
      <c r="YB38" s="272"/>
      <c r="YC38" s="272"/>
      <c r="YD38" s="272"/>
      <c r="YE38" s="272"/>
      <c r="YF38" s="272"/>
      <c r="YG38" s="272"/>
      <c r="YH38" s="272"/>
      <c r="YI38" s="272"/>
      <c r="YJ38" s="272"/>
      <c r="YK38" s="272"/>
      <c r="YL38" s="272"/>
      <c r="YM38" s="272"/>
      <c r="YN38" s="272"/>
      <c r="YO38" s="272"/>
      <c r="YP38" s="272"/>
      <c r="YQ38" s="272"/>
      <c r="YR38" s="272"/>
      <c r="YS38" s="272"/>
      <c r="YT38" s="272"/>
      <c r="YU38" s="272"/>
      <c r="YV38" s="272"/>
      <c r="YW38" s="272"/>
      <c r="YX38" s="272"/>
      <c r="YY38" s="272"/>
      <c r="YZ38" s="272"/>
      <c r="ZA38" s="272"/>
      <c r="ZB38" s="272"/>
      <c r="ZC38" s="272"/>
      <c r="ZD38" s="272"/>
      <c r="ZE38" s="272"/>
      <c r="ZF38" s="272"/>
      <c r="ZG38" s="272"/>
      <c r="ZH38" s="272"/>
      <c r="ZI38" s="272"/>
      <c r="ZJ38" s="272"/>
      <c r="ZK38" s="272"/>
      <c r="ZL38" s="272"/>
      <c r="ZM38" s="272"/>
      <c r="ZN38" s="272"/>
      <c r="ZO38" s="272"/>
      <c r="ZP38" s="272"/>
      <c r="ZQ38" s="272"/>
      <c r="ZR38" s="272"/>
      <c r="ZS38" s="272"/>
      <c r="ZT38" s="272"/>
    </row>
    <row r="39" spans="1:696" s="19" customFormat="1" ht="15">
      <c r="A39" s="44"/>
      <c r="B39" s="602"/>
      <c r="C39" s="602"/>
      <c r="D39" s="603"/>
      <c r="E39" s="619"/>
      <c r="F39" s="619"/>
      <c r="G39" s="626"/>
      <c r="H39" s="626"/>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2"/>
      <c r="DJ39" s="272"/>
      <c r="DK39" s="272"/>
      <c r="DL39" s="272"/>
      <c r="DM39" s="272"/>
      <c r="DN39" s="272"/>
      <c r="DO39" s="272"/>
      <c r="DP39" s="272"/>
      <c r="DQ39" s="272"/>
      <c r="DR39" s="272"/>
      <c r="DS39" s="272"/>
      <c r="DT39" s="272"/>
      <c r="DU39" s="272"/>
      <c r="DV39" s="272"/>
      <c r="DW39" s="272"/>
      <c r="DX39" s="272"/>
      <c r="DY39" s="272"/>
      <c r="DZ39" s="272"/>
      <c r="EA39" s="272"/>
      <c r="EB39" s="272"/>
      <c r="EC39" s="272"/>
      <c r="ED39" s="272"/>
      <c r="EE39" s="272"/>
      <c r="EF39" s="272"/>
      <c r="EG39" s="272"/>
      <c r="EH39" s="272"/>
      <c r="EI39" s="272"/>
      <c r="EJ39" s="272"/>
      <c r="EK39" s="272"/>
      <c r="EL39" s="272"/>
      <c r="EM39" s="272"/>
      <c r="EN39" s="272"/>
      <c r="EO39" s="272"/>
      <c r="EP39" s="272"/>
      <c r="EQ39" s="272"/>
      <c r="ER39" s="272"/>
      <c r="ES39" s="272"/>
      <c r="ET39" s="272"/>
      <c r="EU39" s="272"/>
      <c r="EV39" s="272"/>
      <c r="EW39" s="272"/>
      <c r="EX39" s="272"/>
      <c r="EY39" s="272"/>
      <c r="EZ39" s="272"/>
      <c r="FA39" s="272"/>
      <c r="FB39" s="272"/>
      <c r="FC39" s="272"/>
      <c r="FD39" s="272"/>
      <c r="FE39" s="272"/>
      <c r="FF39" s="272"/>
      <c r="FG39" s="272"/>
      <c r="FH39" s="272"/>
      <c r="FI39" s="272"/>
      <c r="FJ39" s="272"/>
      <c r="FK39" s="272"/>
      <c r="FL39" s="272"/>
      <c r="FM39" s="272"/>
      <c r="FN39" s="272"/>
      <c r="FO39" s="272"/>
      <c r="FP39" s="272"/>
      <c r="FQ39" s="272"/>
      <c r="FR39" s="272"/>
      <c r="FS39" s="272"/>
      <c r="FT39" s="272"/>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S39" s="272"/>
      <c r="GT39" s="272"/>
      <c r="GU39" s="272"/>
      <c r="GV39" s="272"/>
      <c r="GW39" s="272"/>
      <c r="GX39" s="272"/>
      <c r="GY39" s="272"/>
      <c r="GZ39" s="272"/>
      <c r="HA39" s="272"/>
      <c r="HB39" s="272"/>
      <c r="HC39" s="272"/>
      <c r="HD39" s="272"/>
      <c r="HE39" s="272"/>
      <c r="HF39" s="272"/>
      <c r="HG39" s="272"/>
      <c r="HH39" s="272"/>
      <c r="HI39" s="272"/>
      <c r="HJ39" s="272"/>
      <c r="HK39" s="272"/>
      <c r="HL39" s="272"/>
      <c r="HM39" s="272"/>
      <c r="HN39" s="272"/>
      <c r="HO39" s="272"/>
      <c r="HP39" s="272"/>
      <c r="HQ39" s="272"/>
      <c r="HR39" s="272"/>
      <c r="HS39" s="272"/>
      <c r="HT39" s="272"/>
      <c r="HU39" s="272"/>
      <c r="HV39" s="272"/>
      <c r="HW39" s="272"/>
      <c r="HX39" s="272"/>
      <c r="HY39" s="272"/>
      <c r="HZ39" s="272"/>
      <c r="IA39" s="272"/>
      <c r="IB39" s="272"/>
      <c r="IC39" s="272"/>
      <c r="ID39" s="272"/>
      <c r="IE39" s="272"/>
      <c r="IF39" s="272"/>
      <c r="IG39" s="272"/>
      <c r="IH39" s="272"/>
      <c r="II39" s="272"/>
      <c r="IJ39" s="272"/>
      <c r="IK39" s="272"/>
      <c r="IL39" s="272"/>
      <c r="IM39" s="272"/>
      <c r="IN39" s="272"/>
      <c r="IO39" s="272"/>
      <c r="IP39" s="272"/>
      <c r="IQ39" s="272"/>
      <c r="IR39" s="272"/>
      <c r="IS39" s="272"/>
      <c r="IT39" s="272"/>
      <c r="IU39" s="272"/>
      <c r="IV39" s="272"/>
      <c r="IW39" s="272"/>
      <c r="IX39" s="272"/>
      <c r="IY39" s="272"/>
      <c r="IZ39" s="272"/>
      <c r="JA39" s="272"/>
      <c r="JB39" s="272"/>
      <c r="JC39" s="272"/>
      <c r="JD39" s="272"/>
      <c r="JE39" s="272"/>
      <c r="JF39" s="272"/>
      <c r="JG39" s="272"/>
      <c r="JH39" s="272"/>
      <c r="JI39" s="272"/>
      <c r="JJ39" s="272"/>
      <c r="JK39" s="272"/>
      <c r="JL39" s="272"/>
      <c r="JM39" s="272"/>
      <c r="JN39" s="272"/>
      <c r="JO39" s="272"/>
      <c r="JP39" s="272"/>
      <c r="JQ39" s="272"/>
      <c r="JR39" s="272"/>
      <c r="JS39" s="272"/>
      <c r="JT39" s="272"/>
      <c r="JU39" s="272"/>
      <c r="JV39" s="272"/>
      <c r="JW39" s="272"/>
      <c r="JX39" s="272"/>
      <c r="JY39" s="272"/>
      <c r="JZ39" s="272"/>
      <c r="KA39" s="272"/>
      <c r="KB39" s="272"/>
      <c r="KC39" s="272"/>
      <c r="KD39" s="272"/>
      <c r="KE39" s="272"/>
      <c r="KF39" s="272"/>
      <c r="KG39" s="272"/>
      <c r="KH39" s="272"/>
      <c r="KI39" s="272"/>
      <c r="KJ39" s="272"/>
      <c r="KK39" s="272"/>
      <c r="KL39" s="272"/>
      <c r="KM39" s="272"/>
      <c r="KN39" s="272"/>
      <c r="KO39" s="272"/>
      <c r="KP39" s="272"/>
      <c r="KQ39" s="272"/>
      <c r="KR39" s="272"/>
      <c r="KS39" s="272"/>
      <c r="KT39" s="272"/>
      <c r="KU39" s="272"/>
      <c r="KV39" s="272"/>
      <c r="KW39" s="272"/>
      <c r="KX39" s="272"/>
      <c r="KY39" s="272"/>
      <c r="KZ39" s="272"/>
      <c r="LA39" s="272"/>
      <c r="LB39" s="272"/>
      <c r="LC39" s="272"/>
      <c r="LD39" s="272"/>
      <c r="LE39" s="272"/>
      <c r="LF39" s="272"/>
      <c r="LG39" s="272"/>
      <c r="LH39" s="272"/>
      <c r="LI39" s="272"/>
      <c r="LJ39" s="272"/>
      <c r="LK39" s="272"/>
      <c r="LL39" s="272"/>
      <c r="LM39" s="272"/>
      <c r="LN39" s="272"/>
      <c r="LO39" s="272"/>
      <c r="LP39" s="272"/>
      <c r="LQ39" s="272"/>
      <c r="LR39" s="272"/>
      <c r="LS39" s="272"/>
      <c r="LT39" s="272"/>
      <c r="LU39" s="272"/>
      <c r="LV39" s="272"/>
      <c r="LW39" s="272"/>
      <c r="LX39" s="272"/>
      <c r="LY39" s="272"/>
      <c r="LZ39" s="272"/>
      <c r="MA39" s="272"/>
      <c r="MB39" s="272"/>
      <c r="MC39" s="272"/>
      <c r="MD39" s="272"/>
      <c r="ME39" s="272"/>
      <c r="MF39" s="272"/>
      <c r="MG39" s="272"/>
      <c r="MH39" s="272"/>
      <c r="MI39" s="272"/>
      <c r="MJ39" s="272"/>
      <c r="MK39" s="272"/>
      <c r="ML39" s="272"/>
      <c r="MM39" s="272"/>
      <c r="MN39" s="272"/>
      <c r="MO39" s="272"/>
      <c r="MP39" s="272"/>
      <c r="MQ39" s="272"/>
      <c r="MR39" s="272"/>
      <c r="MS39" s="272"/>
      <c r="MT39" s="272"/>
      <c r="MU39" s="272"/>
      <c r="MV39" s="272"/>
      <c r="MW39" s="272"/>
      <c r="MX39" s="272"/>
      <c r="MY39" s="272"/>
      <c r="MZ39" s="272"/>
      <c r="NA39" s="272"/>
      <c r="NB39" s="272"/>
      <c r="NC39" s="272"/>
      <c r="ND39" s="272"/>
      <c r="NE39" s="272"/>
      <c r="NF39" s="272"/>
      <c r="NG39" s="272"/>
      <c r="NH39" s="272"/>
      <c r="NI39" s="272"/>
      <c r="NJ39" s="272"/>
      <c r="NK39" s="272"/>
      <c r="NL39" s="272"/>
      <c r="NM39" s="272"/>
      <c r="NN39" s="272"/>
      <c r="NO39" s="272"/>
      <c r="NP39" s="272"/>
      <c r="NQ39" s="272"/>
      <c r="NR39" s="272"/>
      <c r="NS39" s="272"/>
      <c r="NT39" s="272"/>
      <c r="NU39" s="272"/>
      <c r="NV39" s="272"/>
      <c r="NW39" s="272"/>
      <c r="NX39" s="272"/>
      <c r="NY39" s="272"/>
      <c r="NZ39" s="272"/>
      <c r="OA39" s="272"/>
      <c r="OB39" s="272"/>
      <c r="OC39" s="272"/>
      <c r="OD39" s="272"/>
      <c r="OE39" s="272"/>
      <c r="OF39" s="272"/>
      <c r="OG39" s="272"/>
      <c r="OH39" s="272"/>
      <c r="OI39" s="272"/>
      <c r="OJ39" s="272"/>
      <c r="OK39" s="272"/>
      <c r="OL39" s="272"/>
      <c r="OM39" s="272"/>
      <c r="ON39" s="272"/>
      <c r="OO39" s="272"/>
      <c r="OP39" s="272"/>
      <c r="OQ39" s="272"/>
      <c r="OR39" s="272"/>
      <c r="OS39" s="272"/>
      <c r="OT39" s="272"/>
      <c r="OU39" s="272"/>
      <c r="OV39" s="272"/>
      <c r="OW39" s="272"/>
      <c r="OX39" s="272"/>
      <c r="OY39" s="272"/>
      <c r="OZ39" s="272"/>
      <c r="PA39" s="272"/>
      <c r="PB39" s="272"/>
      <c r="PC39" s="272"/>
      <c r="PD39" s="272"/>
      <c r="PE39" s="272"/>
      <c r="PF39" s="272"/>
      <c r="PG39" s="272"/>
      <c r="PH39" s="272"/>
      <c r="PI39" s="272"/>
      <c r="PJ39" s="272"/>
      <c r="PK39" s="272"/>
      <c r="PL39" s="272"/>
      <c r="PM39" s="272"/>
      <c r="PN39" s="272"/>
      <c r="PO39" s="272"/>
      <c r="PP39" s="272"/>
      <c r="PQ39" s="272"/>
      <c r="PR39" s="272"/>
      <c r="PS39" s="272"/>
      <c r="PT39" s="272"/>
      <c r="PU39" s="272"/>
      <c r="PV39" s="272"/>
      <c r="PW39" s="272"/>
      <c r="PX39" s="272"/>
      <c r="PY39" s="272"/>
      <c r="PZ39" s="272"/>
      <c r="QA39" s="272"/>
      <c r="QB39" s="272"/>
      <c r="QC39" s="272"/>
      <c r="QD39" s="272"/>
      <c r="QE39" s="272"/>
      <c r="QF39" s="272"/>
      <c r="QG39" s="272"/>
      <c r="QH39" s="272"/>
      <c r="QI39" s="272"/>
      <c r="QJ39" s="272"/>
      <c r="QK39" s="272"/>
      <c r="QL39" s="272"/>
      <c r="QM39" s="272"/>
      <c r="QN39" s="272"/>
      <c r="QO39" s="272"/>
      <c r="QP39" s="272"/>
      <c r="QQ39" s="272"/>
      <c r="QR39" s="272"/>
      <c r="QS39" s="272"/>
      <c r="QT39" s="272"/>
      <c r="QU39" s="272"/>
      <c r="QV39" s="272"/>
      <c r="QW39" s="272"/>
      <c r="QX39" s="272"/>
      <c r="QY39" s="272"/>
      <c r="QZ39" s="272"/>
      <c r="RA39" s="272"/>
      <c r="RB39" s="272"/>
      <c r="RC39" s="272"/>
      <c r="RD39" s="272"/>
      <c r="RE39" s="272"/>
      <c r="RF39" s="272"/>
      <c r="RG39" s="272"/>
      <c r="RH39" s="272"/>
      <c r="RI39" s="272"/>
      <c r="RJ39" s="272"/>
      <c r="RK39" s="272"/>
      <c r="RL39" s="272"/>
      <c r="RM39" s="272"/>
      <c r="RN39" s="272"/>
      <c r="RO39" s="272"/>
      <c r="RP39" s="272"/>
      <c r="RQ39" s="272"/>
      <c r="RR39" s="272"/>
      <c r="RS39" s="272"/>
      <c r="RT39" s="272"/>
      <c r="RU39" s="272"/>
      <c r="RV39" s="272"/>
      <c r="RW39" s="272"/>
      <c r="RX39" s="272"/>
      <c r="RY39" s="272"/>
      <c r="RZ39" s="272"/>
      <c r="SA39" s="272"/>
      <c r="SB39" s="272"/>
      <c r="SC39" s="272"/>
      <c r="SD39" s="272"/>
      <c r="SE39" s="272"/>
      <c r="SF39" s="272"/>
      <c r="SG39" s="272"/>
      <c r="SH39" s="272"/>
      <c r="SI39" s="272"/>
      <c r="SJ39" s="272"/>
      <c r="SK39" s="272"/>
      <c r="SL39" s="272"/>
      <c r="SM39" s="272"/>
      <c r="SN39" s="272"/>
      <c r="SO39" s="272"/>
      <c r="SP39" s="272"/>
      <c r="SQ39" s="272"/>
      <c r="SR39" s="272"/>
      <c r="SS39" s="272"/>
      <c r="ST39" s="272"/>
      <c r="SU39" s="272"/>
      <c r="SV39" s="272"/>
      <c r="SW39" s="272"/>
      <c r="SX39" s="272"/>
      <c r="SY39" s="272"/>
      <c r="SZ39" s="272"/>
      <c r="TA39" s="272"/>
      <c r="TB39" s="272"/>
      <c r="TC39" s="272"/>
      <c r="TD39" s="272"/>
      <c r="TE39" s="272"/>
      <c r="TF39" s="272"/>
      <c r="TG39" s="272"/>
      <c r="TH39" s="272"/>
      <c r="TI39" s="272"/>
      <c r="TJ39" s="272"/>
      <c r="TK39" s="272"/>
      <c r="TL39" s="272"/>
      <c r="TM39" s="272"/>
      <c r="TN39" s="272"/>
      <c r="TO39" s="272"/>
      <c r="TP39" s="272"/>
      <c r="TQ39" s="272"/>
      <c r="TR39" s="272"/>
      <c r="TS39" s="272"/>
      <c r="TT39" s="272"/>
      <c r="TU39" s="272"/>
      <c r="TV39" s="272"/>
      <c r="TW39" s="272"/>
      <c r="TX39" s="272"/>
      <c r="TY39" s="272"/>
      <c r="TZ39" s="272"/>
      <c r="UA39" s="272"/>
      <c r="UB39" s="272"/>
      <c r="UC39" s="272"/>
      <c r="UD39" s="272"/>
      <c r="UE39" s="272"/>
      <c r="UF39" s="272"/>
      <c r="UG39" s="272"/>
      <c r="UH39" s="272"/>
      <c r="UI39" s="272"/>
      <c r="UJ39" s="272"/>
      <c r="UK39" s="272"/>
      <c r="UL39" s="272"/>
      <c r="UM39" s="272"/>
      <c r="UN39" s="272"/>
      <c r="UO39" s="272"/>
      <c r="UP39" s="272"/>
      <c r="UQ39" s="272"/>
      <c r="UR39" s="272"/>
      <c r="US39" s="272"/>
      <c r="UT39" s="272"/>
      <c r="UU39" s="272"/>
      <c r="UV39" s="272"/>
      <c r="UW39" s="272"/>
      <c r="UX39" s="272"/>
      <c r="UY39" s="272"/>
      <c r="UZ39" s="272"/>
      <c r="VA39" s="272"/>
      <c r="VB39" s="272"/>
      <c r="VC39" s="272"/>
      <c r="VD39" s="272"/>
      <c r="VE39" s="272"/>
      <c r="VF39" s="272"/>
      <c r="VG39" s="272"/>
      <c r="VH39" s="272"/>
      <c r="VI39" s="272"/>
      <c r="VJ39" s="272"/>
      <c r="VK39" s="272"/>
      <c r="VL39" s="272"/>
      <c r="VM39" s="272"/>
      <c r="VN39" s="272"/>
      <c r="VO39" s="272"/>
      <c r="VP39" s="272"/>
      <c r="VQ39" s="272"/>
      <c r="VR39" s="272"/>
      <c r="VS39" s="272"/>
      <c r="VT39" s="272"/>
      <c r="VU39" s="272"/>
      <c r="VV39" s="272"/>
      <c r="VW39" s="272"/>
      <c r="VX39" s="272"/>
      <c r="VY39" s="272"/>
      <c r="VZ39" s="272"/>
      <c r="WA39" s="272"/>
      <c r="WB39" s="272"/>
      <c r="WC39" s="272"/>
      <c r="WD39" s="272"/>
      <c r="WE39" s="272"/>
      <c r="WF39" s="272"/>
      <c r="WG39" s="272"/>
      <c r="WH39" s="272"/>
      <c r="WI39" s="272"/>
      <c r="WJ39" s="272"/>
      <c r="WK39" s="272"/>
      <c r="WL39" s="272"/>
      <c r="WM39" s="272"/>
      <c r="WN39" s="272"/>
      <c r="WO39" s="272"/>
      <c r="WP39" s="272"/>
      <c r="WQ39" s="272"/>
      <c r="WR39" s="272"/>
      <c r="WS39" s="272"/>
      <c r="WT39" s="272"/>
      <c r="WU39" s="272"/>
      <c r="WV39" s="272"/>
      <c r="WW39" s="272"/>
      <c r="WX39" s="272"/>
      <c r="WY39" s="272"/>
      <c r="WZ39" s="272"/>
      <c r="XA39" s="272"/>
      <c r="XB39" s="272"/>
      <c r="XC39" s="272"/>
      <c r="XD39" s="272"/>
      <c r="XE39" s="272"/>
      <c r="XF39" s="272"/>
      <c r="XG39" s="272"/>
      <c r="XH39" s="272"/>
      <c r="XI39" s="272"/>
      <c r="XJ39" s="272"/>
      <c r="XK39" s="272"/>
      <c r="XL39" s="272"/>
      <c r="XM39" s="272"/>
      <c r="XN39" s="272"/>
      <c r="XO39" s="272"/>
      <c r="XP39" s="272"/>
      <c r="XQ39" s="272"/>
      <c r="XR39" s="272"/>
      <c r="XS39" s="272"/>
      <c r="XT39" s="272"/>
      <c r="XU39" s="272"/>
      <c r="XV39" s="272"/>
      <c r="XW39" s="272"/>
      <c r="XX39" s="272"/>
      <c r="XY39" s="272"/>
      <c r="XZ39" s="272"/>
      <c r="YA39" s="272"/>
      <c r="YB39" s="272"/>
      <c r="YC39" s="272"/>
      <c r="YD39" s="272"/>
      <c r="YE39" s="272"/>
      <c r="YF39" s="272"/>
      <c r="YG39" s="272"/>
      <c r="YH39" s="272"/>
      <c r="YI39" s="272"/>
      <c r="YJ39" s="272"/>
      <c r="YK39" s="272"/>
      <c r="YL39" s="272"/>
      <c r="YM39" s="272"/>
      <c r="YN39" s="272"/>
      <c r="YO39" s="272"/>
      <c r="YP39" s="272"/>
      <c r="YQ39" s="272"/>
      <c r="YR39" s="272"/>
      <c r="YS39" s="272"/>
      <c r="YT39" s="272"/>
      <c r="YU39" s="272"/>
      <c r="YV39" s="272"/>
      <c r="YW39" s="272"/>
      <c r="YX39" s="272"/>
      <c r="YY39" s="272"/>
      <c r="YZ39" s="272"/>
      <c r="ZA39" s="272"/>
      <c r="ZB39" s="272"/>
      <c r="ZC39" s="272"/>
      <c r="ZD39" s="272"/>
      <c r="ZE39" s="272"/>
      <c r="ZF39" s="272"/>
      <c r="ZG39" s="272"/>
      <c r="ZH39" s="272"/>
      <c r="ZI39" s="272"/>
      <c r="ZJ39" s="272"/>
      <c r="ZK39" s="272"/>
      <c r="ZL39" s="272"/>
      <c r="ZM39" s="272"/>
      <c r="ZN39" s="272"/>
      <c r="ZO39" s="272"/>
      <c r="ZP39" s="272"/>
      <c r="ZQ39" s="272"/>
      <c r="ZR39" s="272"/>
      <c r="ZS39" s="272"/>
      <c r="ZT39" s="272"/>
    </row>
    <row r="40" spans="1:696" s="19" customFormat="1" ht="68.25" customHeight="1">
      <c r="A40" s="44"/>
      <c r="B40" s="597"/>
      <c r="C40" s="597"/>
      <c r="D40" s="600"/>
      <c r="E40" s="619"/>
      <c r="F40" s="619"/>
      <c r="G40" s="626"/>
      <c r="H40" s="626"/>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2"/>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c r="EG40" s="272"/>
      <c r="EH40" s="272"/>
      <c r="EI40" s="272"/>
      <c r="EJ40" s="272"/>
      <c r="EK40" s="272"/>
      <c r="EL40" s="272"/>
      <c r="EM40" s="272"/>
      <c r="EN40" s="272"/>
      <c r="EO40" s="272"/>
      <c r="EP40" s="272"/>
      <c r="EQ40" s="272"/>
      <c r="ER40" s="272"/>
      <c r="ES40" s="272"/>
      <c r="ET40" s="272"/>
      <c r="EU40" s="272"/>
      <c r="EV40" s="272"/>
      <c r="EW40" s="272"/>
      <c r="EX40" s="272"/>
      <c r="EY40" s="272"/>
      <c r="EZ40" s="272"/>
      <c r="FA40" s="272"/>
      <c r="FB40" s="272"/>
      <c r="FC40" s="272"/>
      <c r="FD40" s="272"/>
      <c r="FE40" s="272"/>
      <c r="FF40" s="272"/>
      <c r="FG40" s="272"/>
      <c r="FH40" s="272"/>
      <c r="FI40" s="272"/>
      <c r="FJ40" s="272"/>
      <c r="FK40" s="272"/>
      <c r="FL40" s="272"/>
      <c r="FM40" s="272"/>
      <c r="FN40" s="272"/>
      <c r="FO40" s="272"/>
      <c r="FP40" s="272"/>
      <c r="FQ40" s="272"/>
      <c r="FR40" s="272"/>
      <c r="FS40" s="272"/>
      <c r="FT40" s="272"/>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S40" s="272"/>
      <c r="GT40" s="272"/>
      <c r="GU40" s="272"/>
      <c r="GV40" s="272"/>
      <c r="GW40" s="272"/>
      <c r="GX40" s="272"/>
      <c r="GY40" s="272"/>
      <c r="GZ40" s="272"/>
      <c r="HA40" s="272"/>
      <c r="HB40" s="272"/>
      <c r="HC40" s="272"/>
      <c r="HD40" s="272"/>
      <c r="HE40" s="272"/>
      <c r="HF40" s="272"/>
      <c r="HG40" s="272"/>
      <c r="HH40" s="272"/>
      <c r="HI40" s="272"/>
      <c r="HJ40" s="272"/>
      <c r="HK40" s="272"/>
      <c r="HL40" s="272"/>
      <c r="HM40" s="272"/>
      <c r="HN40" s="272"/>
      <c r="HO40" s="272"/>
      <c r="HP40" s="272"/>
      <c r="HQ40" s="272"/>
      <c r="HR40" s="272"/>
      <c r="HS40" s="272"/>
      <c r="HT40" s="272"/>
      <c r="HU40" s="272"/>
      <c r="HV40" s="272"/>
      <c r="HW40" s="272"/>
      <c r="HX40" s="272"/>
      <c r="HY40" s="272"/>
      <c r="HZ40" s="272"/>
      <c r="IA40" s="272"/>
      <c r="IB40" s="272"/>
      <c r="IC40" s="272"/>
      <c r="ID40" s="272"/>
      <c r="IE40" s="272"/>
      <c r="IF40" s="272"/>
      <c r="IG40" s="272"/>
      <c r="IH40" s="272"/>
      <c r="II40" s="272"/>
      <c r="IJ40" s="272"/>
      <c r="IK40" s="272"/>
      <c r="IL40" s="272"/>
      <c r="IM40" s="272"/>
      <c r="IN40" s="272"/>
      <c r="IO40" s="272"/>
      <c r="IP40" s="272"/>
      <c r="IQ40" s="272"/>
      <c r="IR40" s="272"/>
      <c r="IS40" s="272"/>
      <c r="IT40" s="272"/>
      <c r="IU40" s="272"/>
      <c r="IV40" s="272"/>
      <c r="IW40" s="272"/>
      <c r="IX40" s="272"/>
      <c r="IY40" s="272"/>
      <c r="IZ40" s="272"/>
      <c r="JA40" s="272"/>
      <c r="JB40" s="272"/>
      <c r="JC40" s="272"/>
      <c r="JD40" s="272"/>
      <c r="JE40" s="272"/>
      <c r="JF40" s="272"/>
      <c r="JG40" s="272"/>
      <c r="JH40" s="272"/>
      <c r="JI40" s="272"/>
      <c r="JJ40" s="272"/>
      <c r="JK40" s="272"/>
      <c r="JL40" s="272"/>
      <c r="JM40" s="272"/>
      <c r="JN40" s="272"/>
      <c r="JO40" s="272"/>
      <c r="JP40" s="272"/>
      <c r="JQ40" s="272"/>
      <c r="JR40" s="272"/>
      <c r="JS40" s="272"/>
      <c r="JT40" s="272"/>
      <c r="JU40" s="272"/>
      <c r="JV40" s="272"/>
      <c r="JW40" s="272"/>
      <c r="JX40" s="272"/>
      <c r="JY40" s="272"/>
      <c r="JZ40" s="272"/>
      <c r="KA40" s="272"/>
      <c r="KB40" s="272"/>
      <c r="KC40" s="272"/>
      <c r="KD40" s="272"/>
      <c r="KE40" s="272"/>
      <c r="KF40" s="272"/>
      <c r="KG40" s="272"/>
      <c r="KH40" s="272"/>
      <c r="KI40" s="272"/>
      <c r="KJ40" s="272"/>
      <c r="KK40" s="272"/>
      <c r="KL40" s="272"/>
      <c r="KM40" s="272"/>
      <c r="KN40" s="272"/>
      <c r="KO40" s="272"/>
      <c r="KP40" s="272"/>
      <c r="KQ40" s="272"/>
      <c r="KR40" s="272"/>
      <c r="KS40" s="272"/>
      <c r="KT40" s="272"/>
      <c r="KU40" s="272"/>
      <c r="KV40" s="272"/>
      <c r="KW40" s="272"/>
      <c r="KX40" s="272"/>
      <c r="KY40" s="272"/>
      <c r="KZ40" s="272"/>
      <c r="LA40" s="272"/>
      <c r="LB40" s="272"/>
      <c r="LC40" s="272"/>
      <c r="LD40" s="272"/>
      <c r="LE40" s="272"/>
      <c r="LF40" s="272"/>
      <c r="LG40" s="272"/>
      <c r="LH40" s="272"/>
      <c r="LI40" s="272"/>
      <c r="LJ40" s="272"/>
      <c r="LK40" s="272"/>
      <c r="LL40" s="272"/>
      <c r="LM40" s="272"/>
      <c r="LN40" s="272"/>
      <c r="LO40" s="272"/>
      <c r="LP40" s="272"/>
      <c r="LQ40" s="272"/>
      <c r="LR40" s="272"/>
      <c r="LS40" s="272"/>
      <c r="LT40" s="272"/>
      <c r="LU40" s="272"/>
      <c r="LV40" s="272"/>
      <c r="LW40" s="272"/>
      <c r="LX40" s="272"/>
      <c r="LY40" s="272"/>
      <c r="LZ40" s="272"/>
      <c r="MA40" s="272"/>
      <c r="MB40" s="272"/>
      <c r="MC40" s="272"/>
      <c r="MD40" s="272"/>
      <c r="ME40" s="272"/>
      <c r="MF40" s="272"/>
      <c r="MG40" s="272"/>
      <c r="MH40" s="272"/>
      <c r="MI40" s="272"/>
      <c r="MJ40" s="272"/>
      <c r="MK40" s="272"/>
      <c r="ML40" s="272"/>
      <c r="MM40" s="272"/>
      <c r="MN40" s="272"/>
      <c r="MO40" s="272"/>
      <c r="MP40" s="272"/>
      <c r="MQ40" s="272"/>
      <c r="MR40" s="272"/>
      <c r="MS40" s="272"/>
      <c r="MT40" s="272"/>
      <c r="MU40" s="272"/>
      <c r="MV40" s="272"/>
      <c r="MW40" s="272"/>
      <c r="MX40" s="272"/>
      <c r="MY40" s="272"/>
      <c r="MZ40" s="272"/>
      <c r="NA40" s="272"/>
      <c r="NB40" s="272"/>
      <c r="NC40" s="272"/>
      <c r="ND40" s="272"/>
      <c r="NE40" s="272"/>
      <c r="NF40" s="272"/>
      <c r="NG40" s="272"/>
      <c r="NH40" s="272"/>
      <c r="NI40" s="272"/>
      <c r="NJ40" s="272"/>
      <c r="NK40" s="272"/>
      <c r="NL40" s="272"/>
      <c r="NM40" s="272"/>
      <c r="NN40" s="272"/>
      <c r="NO40" s="272"/>
      <c r="NP40" s="272"/>
      <c r="NQ40" s="272"/>
      <c r="NR40" s="272"/>
      <c r="NS40" s="272"/>
      <c r="NT40" s="272"/>
      <c r="NU40" s="272"/>
      <c r="NV40" s="272"/>
      <c r="NW40" s="272"/>
      <c r="NX40" s="272"/>
      <c r="NY40" s="272"/>
      <c r="NZ40" s="272"/>
      <c r="OA40" s="272"/>
      <c r="OB40" s="272"/>
      <c r="OC40" s="272"/>
      <c r="OD40" s="272"/>
      <c r="OE40" s="272"/>
      <c r="OF40" s="272"/>
      <c r="OG40" s="272"/>
      <c r="OH40" s="272"/>
      <c r="OI40" s="272"/>
      <c r="OJ40" s="272"/>
      <c r="OK40" s="272"/>
      <c r="OL40" s="272"/>
      <c r="OM40" s="272"/>
      <c r="ON40" s="272"/>
      <c r="OO40" s="272"/>
      <c r="OP40" s="272"/>
      <c r="OQ40" s="272"/>
      <c r="OR40" s="272"/>
      <c r="OS40" s="272"/>
      <c r="OT40" s="272"/>
      <c r="OU40" s="272"/>
      <c r="OV40" s="272"/>
      <c r="OW40" s="272"/>
      <c r="OX40" s="272"/>
      <c r="OY40" s="272"/>
      <c r="OZ40" s="272"/>
      <c r="PA40" s="272"/>
      <c r="PB40" s="272"/>
      <c r="PC40" s="272"/>
      <c r="PD40" s="272"/>
      <c r="PE40" s="272"/>
      <c r="PF40" s="272"/>
      <c r="PG40" s="272"/>
      <c r="PH40" s="272"/>
      <c r="PI40" s="272"/>
      <c r="PJ40" s="272"/>
      <c r="PK40" s="272"/>
      <c r="PL40" s="272"/>
      <c r="PM40" s="272"/>
      <c r="PN40" s="272"/>
      <c r="PO40" s="272"/>
      <c r="PP40" s="272"/>
      <c r="PQ40" s="272"/>
      <c r="PR40" s="272"/>
      <c r="PS40" s="272"/>
      <c r="PT40" s="272"/>
      <c r="PU40" s="272"/>
      <c r="PV40" s="272"/>
      <c r="PW40" s="272"/>
      <c r="PX40" s="272"/>
      <c r="PY40" s="272"/>
      <c r="PZ40" s="272"/>
      <c r="QA40" s="272"/>
      <c r="QB40" s="272"/>
      <c r="QC40" s="272"/>
      <c r="QD40" s="272"/>
      <c r="QE40" s="272"/>
      <c r="QF40" s="272"/>
      <c r="QG40" s="272"/>
      <c r="QH40" s="272"/>
      <c r="QI40" s="272"/>
      <c r="QJ40" s="272"/>
      <c r="QK40" s="272"/>
      <c r="QL40" s="272"/>
      <c r="QM40" s="272"/>
      <c r="QN40" s="272"/>
      <c r="QO40" s="272"/>
      <c r="QP40" s="272"/>
      <c r="QQ40" s="272"/>
      <c r="QR40" s="272"/>
      <c r="QS40" s="272"/>
      <c r="QT40" s="272"/>
      <c r="QU40" s="272"/>
      <c r="QV40" s="272"/>
      <c r="QW40" s="272"/>
      <c r="QX40" s="272"/>
      <c r="QY40" s="272"/>
      <c r="QZ40" s="272"/>
      <c r="RA40" s="272"/>
      <c r="RB40" s="272"/>
      <c r="RC40" s="272"/>
      <c r="RD40" s="272"/>
      <c r="RE40" s="272"/>
      <c r="RF40" s="272"/>
      <c r="RG40" s="272"/>
      <c r="RH40" s="272"/>
      <c r="RI40" s="272"/>
      <c r="RJ40" s="272"/>
      <c r="RK40" s="272"/>
      <c r="RL40" s="272"/>
      <c r="RM40" s="272"/>
      <c r="RN40" s="272"/>
      <c r="RO40" s="272"/>
      <c r="RP40" s="272"/>
      <c r="RQ40" s="272"/>
      <c r="RR40" s="272"/>
      <c r="RS40" s="272"/>
      <c r="RT40" s="272"/>
      <c r="RU40" s="272"/>
      <c r="RV40" s="272"/>
      <c r="RW40" s="272"/>
      <c r="RX40" s="272"/>
      <c r="RY40" s="272"/>
      <c r="RZ40" s="272"/>
      <c r="SA40" s="272"/>
      <c r="SB40" s="272"/>
      <c r="SC40" s="272"/>
      <c r="SD40" s="272"/>
      <c r="SE40" s="272"/>
      <c r="SF40" s="272"/>
      <c r="SG40" s="272"/>
      <c r="SH40" s="272"/>
      <c r="SI40" s="272"/>
      <c r="SJ40" s="272"/>
      <c r="SK40" s="272"/>
      <c r="SL40" s="272"/>
      <c r="SM40" s="272"/>
      <c r="SN40" s="272"/>
      <c r="SO40" s="272"/>
      <c r="SP40" s="272"/>
      <c r="SQ40" s="272"/>
      <c r="SR40" s="272"/>
      <c r="SS40" s="272"/>
      <c r="ST40" s="272"/>
      <c r="SU40" s="272"/>
      <c r="SV40" s="272"/>
      <c r="SW40" s="272"/>
      <c r="SX40" s="272"/>
      <c r="SY40" s="272"/>
      <c r="SZ40" s="272"/>
      <c r="TA40" s="272"/>
      <c r="TB40" s="272"/>
      <c r="TC40" s="272"/>
      <c r="TD40" s="272"/>
      <c r="TE40" s="272"/>
      <c r="TF40" s="272"/>
      <c r="TG40" s="272"/>
      <c r="TH40" s="272"/>
      <c r="TI40" s="272"/>
      <c r="TJ40" s="272"/>
      <c r="TK40" s="272"/>
      <c r="TL40" s="272"/>
      <c r="TM40" s="272"/>
      <c r="TN40" s="272"/>
      <c r="TO40" s="272"/>
      <c r="TP40" s="272"/>
      <c r="TQ40" s="272"/>
      <c r="TR40" s="272"/>
      <c r="TS40" s="272"/>
      <c r="TT40" s="272"/>
      <c r="TU40" s="272"/>
      <c r="TV40" s="272"/>
      <c r="TW40" s="272"/>
      <c r="TX40" s="272"/>
      <c r="TY40" s="272"/>
      <c r="TZ40" s="272"/>
      <c r="UA40" s="272"/>
      <c r="UB40" s="272"/>
      <c r="UC40" s="272"/>
      <c r="UD40" s="272"/>
      <c r="UE40" s="272"/>
      <c r="UF40" s="272"/>
      <c r="UG40" s="272"/>
      <c r="UH40" s="272"/>
      <c r="UI40" s="272"/>
      <c r="UJ40" s="272"/>
      <c r="UK40" s="272"/>
      <c r="UL40" s="272"/>
      <c r="UM40" s="272"/>
      <c r="UN40" s="272"/>
      <c r="UO40" s="272"/>
      <c r="UP40" s="272"/>
      <c r="UQ40" s="272"/>
      <c r="UR40" s="272"/>
      <c r="US40" s="272"/>
      <c r="UT40" s="272"/>
      <c r="UU40" s="272"/>
      <c r="UV40" s="272"/>
      <c r="UW40" s="272"/>
      <c r="UX40" s="272"/>
      <c r="UY40" s="272"/>
      <c r="UZ40" s="272"/>
      <c r="VA40" s="272"/>
      <c r="VB40" s="272"/>
      <c r="VC40" s="272"/>
      <c r="VD40" s="272"/>
      <c r="VE40" s="272"/>
      <c r="VF40" s="272"/>
      <c r="VG40" s="272"/>
      <c r="VH40" s="272"/>
      <c r="VI40" s="272"/>
      <c r="VJ40" s="272"/>
      <c r="VK40" s="272"/>
      <c r="VL40" s="272"/>
      <c r="VM40" s="272"/>
      <c r="VN40" s="272"/>
      <c r="VO40" s="272"/>
      <c r="VP40" s="272"/>
      <c r="VQ40" s="272"/>
      <c r="VR40" s="272"/>
      <c r="VS40" s="272"/>
      <c r="VT40" s="272"/>
      <c r="VU40" s="272"/>
      <c r="VV40" s="272"/>
      <c r="VW40" s="272"/>
      <c r="VX40" s="272"/>
      <c r="VY40" s="272"/>
      <c r="VZ40" s="272"/>
      <c r="WA40" s="272"/>
      <c r="WB40" s="272"/>
      <c r="WC40" s="272"/>
      <c r="WD40" s="272"/>
      <c r="WE40" s="272"/>
      <c r="WF40" s="272"/>
      <c r="WG40" s="272"/>
      <c r="WH40" s="272"/>
      <c r="WI40" s="272"/>
      <c r="WJ40" s="272"/>
      <c r="WK40" s="272"/>
      <c r="WL40" s="272"/>
      <c r="WM40" s="272"/>
      <c r="WN40" s="272"/>
      <c r="WO40" s="272"/>
      <c r="WP40" s="272"/>
      <c r="WQ40" s="272"/>
      <c r="WR40" s="272"/>
      <c r="WS40" s="272"/>
      <c r="WT40" s="272"/>
      <c r="WU40" s="272"/>
      <c r="WV40" s="272"/>
      <c r="WW40" s="272"/>
      <c r="WX40" s="272"/>
      <c r="WY40" s="272"/>
      <c r="WZ40" s="272"/>
      <c r="XA40" s="272"/>
      <c r="XB40" s="272"/>
      <c r="XC40" s="272"/>
      <c r="XD40" s="272"/>
      <c r="XE40" s="272"/>
      <c r="XF40" s="272"/>
      <c r="XG40" s="272"/>
      <c r="XH40" s="272"/>
      <c r="XI40" s="272"/>
      <c r="XJ40" s="272"/>
      <c r="XK40" s="272"/>
      <c r="XL40" s="272"/>
      <c r="XM40" s="272"/>
      <c r="XN40" s="272"/>
      <c r="XO40" s="272"/>
      <c r="XP40" s="272"/>
      <c r="XQ40" s="272"/>
      <c r="XR40" s="272"/>
      <c r="XS40" s="272"/>
      <c r="XT40" s="272"/>
      <c r="XU40" s="272"/>
      <c r="XV40" s="272"/>
      <c r="XW40" s="272"/>
      <c r="XX40" s="272"/>
      <c r="XY40" s="272"/>
      <c r="XZ40" s="272"/>
      <c r="YA40" s="272"/>
      <c r="YB40" s="272"/>
      <c r="YC40" s="272"/>
      <c r="YD40" s="272"/>
      <c r="YE40" s="272"/>
      <c r="YF40" s="272"/>
      <c r="YG40" s="272"/>
      <c r="YH40" s="272"/>
      <c r="YI40" s="272"/>
      <c r="YJ40" s="272"/>
      <c r="YK40" s="272"/>
      <c r="YL40" s="272"/>
      <c r="YM40" s="272"/>
      <c r="YN40" s="272"/>
      <c r="YO40" s="272"/>
      <c r="YP40" s="272"/>
      <c r="YQ40" s="272"/>
      <c r="YR40" s="272"/>
      <c r="YS40" s="272"/>
      <c r="YT40" s="272"/>
      <c r="YU40" s="272"/>
      <c r="YV40" s="272"/>
      <c r="YW40" s="272"/>
      <c r="YX40" s="272"/>
      <c r="YY40" s="272"/>
      <c r="YZ40" s="272"/>
      <c r="ZA40" s="272"/>
      <c r="ZB40" s="272"/>
      <c r="ZC40" s="272"/>
      <c r="ZD40" s="272"/>
      <c r="ZE40" s="272"/>
      <c r="ZF40" s="272"/>
      <c r="ZG40" s="272"/>
      <c r="ZH40" s="272"/>
      <c r="ZI40" s="272"/>
      <c r="ZJ40" s="272"/>
      <c r="ZK40" s="272"/>
      <c r="ZL40" s="272"/>
      <c r="ZM40" s="272"/>
      <c r="ZN40" s="272"/>
      <c r="ZO40" s="272"/>
      <c r="ZP40" s="272"/>
      <c r="ZQ40" s="272"/>
      <c r="ZR40" s="272"/>
      <c r="ZS40" s="272"/>
      <c r="ZT40" s="272"/>
    </row>
    <row r="41" spans="1:696" s="19" customFormat="1" ht="15">
      <c r="A41" s="44"/>
      <c r="B41" s="597"/>
      <c r="C41" s="610"/>
      <c r="D41" s="601"/>
      <c r="E41" s="620"/>
      <c r="F41" s="620"/>
      <c r="G41" s="627"/>
      <c r="H41" s="627"/>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2"/>
      <c r="DJ41" s="272"/>
      <c r="DK41" s="272"/>
      <c r="DL41" s="272"/>
      <c r="DM41" s="272"/>
      <c r="DN41" s="272"/>
      <c r="DO41" s="272"/>
      <c r="DP41" s="272"/>
      <c r="DQ41" s="272"/>
      <c r="DR41" s="272"/>
      <c r="DS41" s="272"/>
      <c r="DT41" s="272"/>
      <c r="DU41" s="272"/>
      <c r="DV41" s="272"/>
      <c r="DW41" s="272"/>
      <c r="DX41" s="272"/>
      <c r="DY41" s="272"/>
      <c r="DZ41" s="272"/>
      <c r="EA41" s="272"/>
      <c r="EB41" s="272"/>
      <c r="EC41" s="272"/>
      <c r="ED41" s="272"/>
      <c r="EE41" s="272"/>
      <c r="EF41" s="272"/>
      <c r="EG41" s="272"/>
      <c r="EH41" s="272"/>
      <c r="EI41" s="272"/>
      <c r="EJ41" s="272"/>
      <c r="EK41" s="272"/>
      <c r="EL41" s="272"/>
      <c r="EM41" s="272"/>
      <c r="EN41" s="272"/>
      <c r="EO41" s="272"/>
      <c r="EP41" s="272"/>
      <c r="EQ41" s="272"/>
      <c r="ER41" s="272"/>
      <c r="ES41" s="272"/>
      <c r="ET41" s="272"/>
      <c r="EU41" s="272"/>
      <c r="EV41" s="272"/>
      <c r="EW41" s="272"/>
      <c r="EX41" s="272"/>
      <c r="EY41" s="272"/>
      <c r="EZ41" s="272"/>
      <c r="FA41" s="272"/>
      <c r="FB41" s="272"/>
      <c r="FC41" s="272"/>
      <c r="FD41" s="272"/>
      <c r="FE41" s="272"/>
      <c r="FF41" s="272"/>
      <c r="FG41" s="272"/>
      <c r="FH41" s="272"/>
      <c r="FI41" s="272"/>
      <c r="FJ41" s="272"/>
      <c r="FK41" s="272"/>
      <c r="FL41" s="272"/>
      <c r="FM41" s="272"/>
      <c r="FN41" s="272"/>
      <c r="FO41" s="272"/>
      <c r="FP41" s="272"/>
      <c r="FQ41" s="272"/>
      <c r="FR41" s="272"/>
      <c r="FS41" s="272"/>
      <c r="FT41" s="272"/>
      <c r="FU41" s="272"/>
      <c r="FV41" s="272"/>
      <c r="FW41" s="272"/>
      <c r="FX41" s="272"/>
      <c r="FY41" s="272"/>
      <c r="FZ41" s="272"/>
      <c r="GA41" s="272"/>
      <c r="GB41" s="272"/>
      <c r="GC41" s="272"/>
      <c r="GD41" s="272"/>
      <c r="GE41" s="272"/>
      <c r="GF41" s="272"/>
      <c r="GG41" s="272"/>
      <c r="GH41" s="272"/>
      <c r="GI41" s="272"/>
      <c r="GJ41" s="272"/>
      <c r="GK41" s="272"/>
      <c r="GL41" s="272"/>
      <c r="GM41" s="272"/>
      <c r="GN41" s="272"/>
      <c r="GO41" s="272"/>
      <c r="GP41" s="272"/>
      <c r="GQ41" s="272"/>
      <c r="GR41" s="272"/>
      <c r="GS41" s="272"/>
      <c r="GT41" s="272"/>
      <c r="GU41" s="272"/>
      <c r="GV41" s="272"/>
      <c r="GW41" s="272"/>
      <c r="GX41" s="272"/>
      <c r="GY41" s="272"/>
      <c r="GZ41" s="272"/>
      <c r="HA41" s="272"/>
      <c r="HB41" s="272"/>
      <c r="HC41" s="272"/>
      <c r="HD41" s="272"/>
      <c r="HE41" s="272"/>
      <c r="HF41" s="272"/>
      <c r="HG41" s="272"/>
      <c r="HH41" s="272"/>
      <c r="HI41" s="272"/>
      <c r="HJ41" s="272"/>
      <c r="HK41" s="272"/>
      <c r="HL41" s="272"/>
      <c r="HM41" s="272"/>
      <c r="HN41" s="272"/>
      <c r="HO41" s="272"/>
      <c r="HP41" s="272"/>
      <c r="HQ41" s="272"/>
      <c r="HR41" s="272"/>
      <c r="HS41" s="272"/>
      <c r="HT41" s="272"/>
      <c r="HU41" s="272"/>
      <c r="HV41" s="272"/>
      <c r="HW41" s="272"/>
      <c r="HX41" s="272"/>
      <c r="HY41" s="272"/>
      <c r="HZ41" s="272"/>
      <c r="IA41" s="272"/>
      <c r="IB41" s="272"/>
      <c r="IC41" s="272"/>
      <c r="ID41" s="272"/>
      <c r="IE41" s="272"/>
      <c r="IF41" s="272"/>
      <c r="IG41" s="272"/>
      <c r="IH41" s="272"/>
      <c r="II41" s="272"/>
      <c r="IJ41" s="272"/>
      <c r="IK41" s="272"/>
      <c r="IL41" s="272"/>
      <c r="IM41" s="272"/>
      <c r="IN41" s="272"/>
      <c r="IO41" s="272"/>
      <c r="IP41" s="272"/>
      <c r="IQ41" s="272"/>
      <c r="IR41" s="272"/>
      <c r="IS41" s="272"/>
      <c r="IT41" s="272"/>
      <c r="IU41" s="272"/>
      <c r="IV41" s="272"/>
      <c r="IW41" s="272"/>
      <c r="IX41" s="272"/>
      <c r="IY41" s="272"/>
      <c r="IZ41" s="272"/>
      <c r="JA41" s="272"/>
      <c r="JB41" s="272"/>
      <c r="JC41" s="272"/>
      <c r="JD41" s="272"/>
      <c r="JE41" s="272"/>
      <c r="JF41" s="272"/>
      <c r="JG41" s="272"/>
      <c r="JH41" s="272"/>
      <c r="JI41" s="272"/>
      <c r="JJ41" s="272"/>
      <c r="JK41" s="272"/>
      <c r="JL41" s="272"/>
      <c r="JM41" s="272"/>
      <c r="JN41" s="272"/>
      <c r="JO41" s="272"/>
      <c r="JP41" s="272"/>
      <c r="JQ41" s="272"/>
      <c r="JR41" s="272"/>
      <c r="JS41" s="272"/>
      <c r="JT41" s="272"/>
      <c r="JU41" s="272"/>
      <c r="JV41" s="272"/>
      <c r="JW41" s="272"/>
      <c r="JX41" s="272"/>
      <c r="JY41" s="272"/>
      <c r="JZ41" s="272"/>
      <c r="KA41" s="272"/>
      <c r="KB41" s="272"/>
      <c r="KC41" s="272"/>
      <c r="KD41" s="272"/>
      <c r="KE41" s="272"/>
      <c r="KF41" s="272"/>
      <c r="KG41" s="272"/>
      <c r="KH41" s="272"/>
      <c r="KI41" s="272"/>
      <c r="KJ41" s="272"/>
      <c r="KK41" s="272"/>
      <c r="KL41" s="272"/>
      <c r="KM41" s="272"/>
      <c r="KN41" s="272"/>
      <c r="KO41" s="272"/>
      <c r="KP41" s="272"/>
      <c r="KQ41" s="272"/>
      <c r="KR41" s="272"/>
      <c r="KS41" s="272"/>
      <c r="KT41" s="272"/>
      <c r="KU41" s="272"/>
      <c r="KV41" s="272"/>
      <c r="KW41" s="272"/>
      <c r="KX41" s="272"/>
      <c r="KY41" s="272"/>
      <c r="KZ41" s="272"/>
      <c r="LA41" s="272"/>
      <c r="LB41" s="272"/>
      <c r="LC41" s="272"/>
      <c r="LD41" s="272"/>
      <c r="LE41" s="272"/>
      <c r="LF41" s="272"/>
      <c r="LG41" s="272"/>
      <c r="LH41" s="272"/>
      <c r="LI41" s="272"/>
      <c r="LJ41" s="272"/>
      <c r="LK41" s="272"/>
      <c r="LL41" s="272"/>
      <c r="LM41" s="272"/>
      <c r="LN41" s="272"/>
      <c r="LO41" s="272"/>
      <c r="LP41" s="272"/>
      <c r="LQ41" s="272"/>
      <c r="LR41" s="272"/>
      <c r="LS41" s="272"/>
      <c r="LT41" s="272"/>
      <c r="LU41" s="272"/>
      <c r="LV41" s="272"/>
      <c r="LW41" s="272"/>
      <c r="LX41" s="272"/>
      <c r="LY41" s="272"/>
      <c r="LZ41" s="272"/>
      <c r="MA41" s="272"/>
      <c r="MB41" s="272"/>
      <c r="MC41" s="272"/>
      <c r="MD41" s="272"/>
      <c r="ME41" s="272"/>
      <c r="MF41" s="272"/>
      <c r="MG41" s="272"/>
      <c r="MH41" s="272"/>
      <c r="MI41" s="272"/>
      <c r="MJ41" s="272"/>
      <c r="MK41" s="272"/>
      <c r="ML41" s="272"/>
      <c r="MM41" s="272"/>
      <c r="MN41" s="272"/>
      <c r="MO41" s="272"/>
      <c r="MP41" s="272"/>
      <c r="MQ41" s="272"/>
      <c r="MR41" s="272"/>
      <c r="MS41" s="272"/>
      <c r="MT41" s="272"/>
      <c r="MU41" s="272"/>
      <c r="MV41" s="272"/>
      <c r="MW41" s="272"/>
      <c r="MX41" s="272"/>
      <c r="MY41" s="272"/>
      <c r="MZ41" s="272"/>
      <c r="NA41" s="272"/>
      <c r="NB41" s="272"/>
      <c r="NC41" s="272"/>
      <c r="ND41" s="272"/>
      <c r="NE41" s="272"/>
      <c r="NF41" s="272"/>
      <c r="NG41" s="272"/>
      <c r="NH41" s="272"/>
      <c r="NI41" s="272"/>
      <c r="NJ41" s="272"/>
      <c r="NK41" s="272"/>
      <c r="NL41" s="272"/>
      <c r="NM41" s="272"/>
      <c r="NN41" s="272"/>
      <c r="NO41" s="272"/>
      <c r="NP41" s="272"/>
      <c r="NQ41" s="272"/>
      <c r="NR41" s="272"/>
      <c r="NS41" s="272"/>
      <c r="NT41" s="272"/>
      <c r="NU41" s="272"/>
      <c r="NV41" s="272"/>
      <c r="NW41" s="272"/>
      <c r="NX41" s="272"/>
      <c r="NY41" s="272"/>
      <c r="NZ41" s="272"/>
      <c r="OA41" s="272"/>
      <c r="OB41" s="272"/>
      <c r="OC41" s="272"/>
      <c r="OD41" s="272"/>
      <c r="OE41" s="272"/>
      <c r="OF41" s="272"/>
      <c r="OG41" s="272"/>
      <c r="OH41" s="272"/>
      <c r="OI41" s="272"/>
      <c r="OJ41" s="272"/>
      <c r="OK41" s="272"/>
      <c r="OL41" s="272"/>
      <c r="OM41" s="272"/>
      <c r="ON41" s="272"/>
      <c r="OO41" s="272"/>
      <c r="OP41" s="272"/>
      <c r="OQ41" s="272"/>
      <c r="OR41" s="272"/>
      <c r="OS41" s="272"/>
      <c r="OT41" s="272"/>
      <c r="OU41" s="272"/>
      <c r="OV41" s="272"/>
      <c r="OW41" s="272"/>
      <c r="OX41" s="272"/>
      <c r="OY41" s="272"/>
      <c r="OZ41" s="272"/>
      <c r="PA41" s="272"/>
      <c r="PB41" s="272"/>
      <c r="PC41" s="272"/>
      <c r="PD41" s="272"/>
      <c r="PE41" s="272"/>
      <c r="PF41" s="272"/>
      <c r="PG41" s="272"/>
      <c r="PH41" s="272"/>
      <c r="PI41" s="272"/>
      <c r="PJ41" s="272"/>
      <c r="PK41" s="272"/>
      <c r="PL41" s="272"/>
      <c r="PM41" s="272"/>
      <c r="PN41" s="272"/>
      <c r="PO41" s="272"/>
      <c r="PP41" s="272"/>
      <c r="PQ41" s="272"/>
      <c r="PR41" s="272"/>
      <c r="PS41" s="272"/>
      <c r="PT41" s="272"/>
      <c r="PU41" s="272"/>
      <c r="PV41" s="272"/>
      <c r="PW41" s="272"/>
      <c r="PX41" s="272"/>
      <c r="PY41" s="272"/>
      <c r="PZ41" s="272"/>
      <c r="QA41" s="272"/>
      <c r="QB41" s="272"/>
      <c r="QC41" s="272"/>
      <c r="QD41" s="272"/>
      <c r="QE41" s="272"/>
      <c r="QF41" s="272"/>
      <c r="QG41" s="272"/>
      <c r="QH41" s="272"/>
      <c r="QI41" s="272"/>
      <c r="QJ41" s="272"/>
      <c r="QK41" s="272"/>
      <c r="QL41" s="272"/>
      <c r="QM41" s="272"/>
      <c r="QN41" s="272"/>
      <c r="QO41" s="272"/>
      <c r="QP41" s="272"/>
      <c r="QQ41" s="272"/>
      <c r="QR41" s="272"/>
      <c r="QS41" s="272"/>
      <c r="QT41" s="272"/>
      <c r="QU41" s="272"/>
      <c r="QV41" s="272"/>
      <c r="QW41" s="272"/>
      <c r="QX41" s="272"/>
      <c r="QY41" s="272"/>
      <c r="QZ41" s="272"/>
      <c r="RA41" s="272"/>
      <c r="RB41" s="272"/>
      <c r="RC41" s="272"/>
      <c r="RD41" s="272"/>
      <c r="RE41" s="272"/>
      <c r="RF41" s="272"/>
      <c r="RG41" s="272"/>
      <c r="RH41" s="272"/>
      <c r="RI41" s="272"/>
      <c r="RJ41" s="272"/>
      <c r="RK41" s="272"/>
      <c r="RL41" s="272"/>
      <c r="RM41" s="272"/>
      <c r="RN41" s="272"/>
      <c r="RO41" s="272"/>
      <c r="RP41" s="272"/>
      <c r="RQ41" s="272"/>
      <c r="RR41" s="272"/>
      <c r="RS41" s="272"/>
      <c r="RT41" s="272"/>
      <c r="RU41" s="272"/>
      <c r="RV41" s="272"/>
      <c r="RW41" s="272"/>
      <c r="RX41" s="272"/>
      <c r="RY41" s="272"/>
      <c r="RZ41" s="272"/>
      <c r="SA41" s="272"/>
      <c r="SB41" s="272"/>
      <c r="SC41" s="272"/>
      <c r="SD41" s="272"/>
      <c r="SE41" s="272"/>
      <c r="SF41" s="272"/>
      <c r="SG41" s="272"/>
      <c r="SH41" s="272"/>
      <c r="SI41" s="272"/>
      <c r="SJ41" s="272"/>
      <c r="SK41" s="272"/>
      <c r="SL41" s="272"/>
      <c r="SM41" s="272"/>
      <c r="SN41" s="272"/>
      <c r="SO41" s="272"/>
      <c r="SP41" s="272"/>
      <c r="SQ41" s="272"/>
      <c r="SR41" s="272"/>
      <c r="SS41" s="272"/>
      <c r="ST41" s="272"/>
      <c r="SU41" s="272"/>
      <c r="SV41" s="272"/>
      <c r="SW41" s="272"/>
      <c r="SX41" s="272"/>
      <c r="SY41" s="272"/>
      <c r="SZ41" s="272"/>
      <c r="TA41" s="272"/>
      <c r="TB41" s="272"/>
      <c r="TC41" s="272"/>
      <c r="TD41" s="272"/>
      <c r="TE41" s="272"/>
      <c r="TF41" s="272"/>
      <c r="TG41" s="272"/>
      <c r="TH41" s="272"/>
      <c r="TI41" s="272"/>
      <c r="TJ41" s="272"/>
      <c r="TK41" s="272"/>
      <c r="TL41" s="272"/>
      <c r="TM41" s="272"/>
      <c r="TN41" s="272"/>
      <c r="TO41" s="272"/>
      <c r="TP41" s="272"/>
      <c r="TQ41" s="272"/>
      <c r="TR41" s="272"/>
      <c r="TS41" s="272"/>
      <c r="TT41" s="272"/>
      <c r="TU41" s="272"/>
      <c r="TV41" s="272"/>
      <c r="TW41" s="272"/>
      <c r="TX41" s="272"/>
      <c r="TY41" s="272"/>
      <c r="TZ41" s="272"/>
      <c r="UA41" s="272"/>
      <c r="UB41" s="272"/>
      <c r="UC41" s="272"/>
      <c r="UD41" s="272"/>
      <c r="UE41" s="272"/>
      <c r="UF41" s="272"/>
      <c r="UG41" s="272"/>
      <c r="UH41" s="272"/>
      <c r="UI41" s="272"/>
      <c r="UJ41" s="272"/>
      <c r="UK41" s="272"/>
      <c r="UL41" s="272"/>
      <c r="UM41" s="272"/>
      <c r="UN41" s="272"/>
      <c r="UO41" s="272"/>
      <c r="UP41" s="272"/>
      <c r="UQ41" s="272"/>
      <c r="UR41" s="272"/>
      <c r="US41" s="272"/>
      <c r="UT41" s="272"/>
      <c r="UU41" s="272"/>
      <c r="UV41" s="272"/>
      <c r="UW41" s="272"/>
      <c r="UX41" s="272"/>
      <c r="UY41" s="272"/>
      <c r="UZ41" s="272"/>
      <c r="VA41" s="272"/>
      <c r="VB41" s="272"/>
      <c r="VC41" s="272"/>
      <c r="VD41" s="272"/>
      <c r="VE41" s="272"/>
      <c r="VF41" s="272"/>
      <c r="VG41" s="272"/>
      <c r="VH41" s="272"/>
      <c r="VI41" s="272"/>
      <c r="VJ41" s="272"/>
      <c r="VK41" s="272"/>
      <c r="VL41" s="272"/>
      <c r="VM41" s="272"/>
      <c r="VN41" s="272"/>
      <c r="VO41" s="272"/>
      <c r="VP41" s="272"/>
      <c r="VQ41" s="272"/>
      <c r="VR41" s="272"/>
      <c r="VS41" s="272"/>
      <c r="VT41" s="272"/>
      <c r="VU41" s="272"/>
      <c r="VV41" s="272"/>
      <c r="VW41" s="272"/>
      <c r="VX41" s="272"/>
      <c r="VY41" s="272"/>
      <c r="VZ41" s="272"/>
      <c r="WA41" s="272"/>
      <c r="WB41" s="272"/>
      <c r="WC41" s="272"/>
      <c r="WD41" s="272"/>
      <c r="WE41" s="272"/>
      <c r="WF41" s="272"/>
      <c r="WG41" s="272"/>
      <c r="WH41" s="272"/>
      <c r="WI41" s="272"/>
      <c r="WJ41" s="272"/>
      <c r="WK41" s="272"/>
      <c r="WL41" s="272"/>
      <c r="WM41" s="272"/>
      <c r="WN41" s="272"/>
      <c r="WO41" s="272"/>
      <c r="WP41" s="272"/>
      <c r="WQ41" s="272"/>
      <c r="WR41" s="272"/>
      <c r="WS41" s="272"/>
      <c r="WT41" s="272"/>
      <c r="WU41" s="272"/>
      <c r="WV41" s="272"/>
      <c r="WW41" s="272"/>
      <c r="WX41" s="272"/>
      <c r="WY41" s="272"/>
      <c r="WZ41" s="272"/>
      <c r="XA41" s="272"/>
      <c r="XB41" s="272"/>
      <c r="XC41" s="272"/>
      <c r="XD41" s="272"/>
      <c r="XE41" s="272"/>
      <c r="XF41" s="272"/>
      <c r="XG41" s="272"/>
      <c r="XH41" s="272"/>
      <c r="XI41" s="272"/>
      <c r="XJ41" s="272"/>
      <c r="XK41" s="272"/>
      <c r="XL41" s="272"/>
      <c r="XM41" s="272"/>
      <c r="XN41" s="272"/>
      <c r="XO41" s="272"/>
      <c r="XP41" s="272"/>
      <c r="XQ41" s="272"/>
      <c r="XR41" s="272"/>
      <c r="XS41" s="272"/>
      <c r="XT41" s="272"/>
      <c r="XU41" s="272"/>
      <c r="XV41" s="272"/>
      <c r="XW41" s="272"/>
      <c r="XX41" s="272"/>
      <c r="XY41" s="272"/>
      <c r="XZ41" s="272"/>
      <c r="YA41" s="272"/>
      <c r="YB41" s="272"/>
      <c r="YC41" s="272"/>
      <c r="YD41" s="272"/>
      <c r="YE41" s="272"/>
      <c r="YF41" s="272"/>
      <c r="YG41" s="272"/>
      <c r="YH41" s="272"/>
      <c r="YI41" s="272"/>
      <c r="YJ41" s="272"/>
      <c r="YK41" s="272"/>
      <c r="YL41" s="272"/>
      <c r="YM41" s="272"/>
      <c r="YN41" s="272"/>
      <c r="YO41" s="272"/>
      <c r="YP41" s="272"/>
      <c r="YQ41" s="272"/>
      <c r="YR41" s="272"/>
      <c r="YS41" s="272"/>
      <c r="YT41" s="272"/>
      <c r="YU41" s="272"/>
      <c r="YV41" s="272"/>
      <c r="YW41" s="272"/>
      <c r="YX41" s="272"/>
      <c r="YY41" s="272"/>
      <c r="YZ41" s="272"/>
      <c r="ZA41" s="272"/>
      <c r="ZB41" s="272"/>
      <c r="ZC41" s="272"/>
      <c r="ZD41" s="272"/>
      <c r="ZE41" s="272"/>
      <c r="ZF41" s="272"/>
      <c r="ZG41" s="272"/>
      <c r="ZH41" s="272"/>
      <c r="ZI41" s="272"/>
      <c r="ZJ41" s="272"/>
      <c r="ZK41" s="272"/>
      <c r="ZL41" s="272"/>
      <c r="ZM41" s="272"/>
      <c r="ZN41" s="272"/>
      <c r="ZO41" s="272"/>
      <c r="ZP41" s="272"/>
      <c r="ZQ41" s="272"/>
      <c r="ZR41" s="272"/>
      <c r="ZS41" s="272"/>
      <c r="ZT41" s="272"/>
    </row>
    <row r="42" spans="1:696" s="85" customFormat="1" ht="15">
      <c r="A42" s="44"/>
      <c r="B42" s="597"/>
      <c r="C42" s="24" t="s">
        <v>53</v>
      </c>
      <c r="D42" s="505"/>
      <c r="E42" s="533"/>
      <c r="F42" s="510"/>
      <c r="G42" s="511"/>
      <c r="H42" s="511"/>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c r="DV42" s="272"/>
      <c r="DW42" s="272"/>
      <c r="DX42" s="272"/>
      <c r="DY42" s="272"/>
      <c r="DZ42" s="272"/>
      <c r="EA42" s="272"/>
      <c r="EB42" s="272"/>
      <c r="EC42" s="272"/>
      <c r="ED42" s="272"/>
      <c r="EE42" s="272"/>
      <c r="EF42" s="272"/>
      <c r="EG42" s="272"/>
      <c r="EH42" s="272"/>
      <c r="EI42" s="272"/>
      <c r="EJ42" s="272"/>
      <c r="EK42" s="272"/>
      <c r="EL42" s="272"/>
      <c r="EM42" s="272"/>
      <c r="EN42" s="272"/>
      <c r="EO42" s="272"/>
      <c r="EP42" s="272"/>
      <c r="EQ42" s="272"/>
      <c r="ER42" s="272"/>
      <c r="ES42" s="272"/>
      <c r="ET42" s="272"/>
      <c r="EU42" s="272"/>
      <c r="EV42" s="272"/>
      <c r="EW42" s="272"/>
      <c r="EX42" s="272"/>
      <c r="EY42" s="272"/>
      <c r="EZ42" s="272"/>
      <c r="FA42" s="272"/>
      <c r="FB42" s="272"/>
      <c r="FC42" s="272"/>
      <c r="FD42" s="272"/>
      <c r="FE42" s="272"/>
      <c r="FF42" s="272"/>
      <c r="FG42" s="272"/>
      <c r="FH42" s="272"/>
      <c r="FI42" s="272"/>
      <c r="FJ42" s="272"/>
      <c r="FK42" s="272"/>
      <c r="FL42" s="272"/>
      <c r="FM42" s="272"/>
      <c r="FN42" s="272"/>
      <c r="FO42" s="272"/>
      <c r="FP42" s="272"/>
      <c r="FQ42" s="272"/>
      <c r="FR42" s="272"/>
      <c r="FS42" s="272"/>
      <c r="FT42" s="272"/>
      <c r="FU42" s="272"/>
      <c r="FV42" s="272"/>
      <c r="FW42" s="272"/>
      <c r="FX42" s="272"/>
      <c r="FY42" s="272"/>
      <c r="FZ42" s="272"/>
      <c r="GA42" s="272"/>
      <c r="GB42" s="272"/>
      <c r="GC42" s="272"/>
      <c r="GD42" s="272"/>
      <c r="GE42" s="272"/>
      <c r="GF42" s="272"/>
      <c r="GG42" s="272"/>
      <c r="GH42" s="272"/>
      <c r="GI42" s="272"/>
      <c r="GJ42" s="272"/>
      <c r="GK42" s="272"/>
      <c r="GL42" s="272"/>
      <c r="GM42" s="272"/>
      <c r="GN42" s="272"/>
      <c r="GO42" s="272"/>
      <c r="GP42" s="272"/>
      <c r="GQ42" s="272"/>
      <c r="GR42" s="272"/>
      <c r="GS42" s="272"/>
      <c r="GT42" s="272"/>
      <c r="GU42" s="272"/>
      <c r="GV42" s="272"/>
      <c r="GW42" s="272"/>
      <c r="GX42" s="272"/>
      <c r="GY42" s="272"/>
      <c r="GZ42" s="272"/>
      <c r="HA42" s="272"/>
      <c r="HB42" s="272"/>
      <c r="HC42" s="272"/>
      <c r="HD42" s="272"/>
      <c r="HE42" s="272"/>
      <c r="HF42" s="272"/>
      <c r="HG42" s="272"/>
      <c r="HH42" s="272"/>
      <c r="HI42" s="272"/>
      <c r="HJ42" s="272"/>
      <c r="HK42" s="272"/>
      <c r="HL42" s="272"/>
      <c r="HM42" s="272"/>
      <c r="HN42" s="272"/>
      <c r="HO42" s="272"/>
      <c r="HP42" s="272"/>
      <c r="HQ42" s="272"/>
      <c r="HR42" s="272"/>
      <c r="HS42" s="272"/>
      <c r="HT42" s="272"/>
      <c r="HU42" s="272"/>
      <c r="HV42" s="272"/>
      <c r="HW42" s="272"/>
      <c r="HX42" s="272"/>
      <c r="HY42" s="272"/>
      <c r="HZ42" s="272"/>
      <c r="IA42" s="272"/>
      <c r="IB42" s="272"/>
      <c r="IC42" s="272"/>
      <c r="ID42" s="272"/>
      <c r="IE42" s="272"/>
      <c r="IF42" s="272"/>
      <c r="IG42" s="272"/>
      <c r="IH42" s="272"/>
      <c r="II42" s="272"/>
      <c r="IJ42" s="272"/>
      <c r="IK42" s="272"/>
      <c r="IL42" s="272"/>
      <c r="IM42" s="272"/>
      <c r="IN42" s="272"/>
      <c r="IO42" s="272"/>
      <c r="IP42" s="272"/>
      <c r="IQ42" s="272"/>
      <c r="IR42" s="272"/>
      <c r="IS42" s="272"/>
      <c r="IT42" s="272"/>
      <c r="IU42" s="272"/>
      <c r="IV42" s="272"/>
      <c r="IW42" s="272"/>
      <c r="IX42" s="272"/>
      <c r="IY42" s="272"/>
      <c r="IZ42" s="272"/>
      <c r="JA42" s="272"/>
      <c r="JB42" s="272"/>
      <c r="JC42" s="272"/>
      <c r="JD42" s="272"/>
      <c r="JE42" s="272"/>
      <c r="JF42" s="272"/>
      <c r="JG42" s="272"/>
      <c r="JH42" s="272"/>
      <c r="JI42" s="272"/>
      <c r="JJ42" s="272"/>
      <c r="JK42" s="272"/>
      <c r="JL42" s="272"/>
      <c r="JM42" s="272"/>
      <c r="JN42" s="272"/>
      <c r="JO42" s="272"/>
      <c r="JP42" s="272"/>
      <c r="JQ42" s="272"/>
      <c r="JR42" s="272"/>
      <c r="JS42" s="272"/>
      <c r="JT42" s="272"/>
      <c r="JU42" s="272"/>
      <c r="JV42" s="272"/>
      <c r="JW42" s="272"/>
      <c r="JX42" s="272"/>
      <c r="JY42" s="272"/>
      <c r="JZ42" s="272"/>
      <c r="KA42" s="272"/>
      <c r="KB42" s="272"/>
      <c r="KC42" s="272"/>
      <c r="KD42" s="272"/>
      <c r="KE42" s="272"/>
      <c r="KF42" s="272"/>
      <c r="KG42" s="272"/>
      <c r="KH42" s="272"/>
      <c r="KI42" s="272"/>
      <c r="KJ42" s="272"/>
      <c r="KK42" s="272"/>
      <c r="KL42" s="272"/>
      <c r="KM42" s="272"/>
      <c r="KN42" s="272"/>
      <c r="KO42" s="272"/>
      <c r="KP42" s="272"/>
      <c r="KQ42" s="272"/>
      <c r="KR42" s="272"/>
      <c r="KS42" s="272"/>
      <c r="KT42" s="272"/>
      <c r="KU42" s="272"/>
      <c r="KV42" s="272"/>
      <c r="KW42" s="272"/>
      <c r="KX42" s="272"/>
      <c r="KY42" s="272"/>
      <c r="KZ42" s="272"/>
      <c r="LA42" s="272"/>
      <c r="LB42" s="272"/>
      <c r="LC42" s="272"/>
      <c r="LD42" s="272"/>
      <c r="LE42" s="272"/>
      <c r="LF42" s="272"/>
      <c r="LG42" s="272"/>
      <c r="LH42" s="272"/>
      <c r="LI42" s="272"/>
      <c r="LJ42" s="272"/>
      <c r="LK42" s="272"/>
      <c r="LL42" s="272"/>
      <c r="LM42" s="272"/>
      <c r="LN42" s="272"/>
      <c r="LO42" s="272"/>
      <c r="LP42" s="272"/>
      <c r="LQ42" s="272"/>
      <c r="LR42" s="272"/>
      <c r="LS42" s="272"/>
      <c r="LT42" s="272"/>
      <c r="LU42" s="272"/>
      <c r="LV42" s="272"/>
      <c r="LW42" s="272"/>
      <c r="LX42" s="272"/>
      <c r="LY42" s="272"/>
      <c r="LZ42" s="272"/>
      <c r="MA42" s="272"/>
      <c r="MB42" s="272"/>
      <c r="MC42" s="272"/>
      <c r="MD42" s="272"/>
      <c r="ME42" s="272"/>
      <c r="MF42" s="272"/>
      <c r="MG42" s="272"/>
      <c r="MH42" s="272"/>
      <c r="MI42" s="272"/>
      <c r="MJ42" s="272"/>
      <c r="MK42" s="272"/>
      <c r="ML42" s="272"/>
      <c r="MM42" s="272"/>
      <c r="MN42" s="272"/>
      <c r="MO42" s="272"/>
      <c r="MP42" s="272"/>
      <c r="MQ42" s="272"/>
      <c r="MR42" s="272"/>
      <c r="MS42" s="272"/>
      <c r="MT42" s="272"/>
      <c r="MU42" s="272"/>
      <c r="MV42" s="272"/>
      <c r="MW42" s="272"/>
      <c r="MX42" s="272"/>
      <c r="MY42" s="272"/>
      <c r="MZ42" s="272"/>
      <c r="NA42" s="272"/>
      <c r="NB42" s="272"/>
      <c r="NC42" s="272"/>
      <c r="ND42" s="272"/>
      <c r="NE42" s="272"/>
      <c r="NF42" s="272"/>
      <c r="NG42" s="272"/>
      <c r="NH42" s="272"/>
      <c r="NI42" s="272"/>
      <c r="NJ42" s="272"/>
      <c r="NK42" s="272"/>
      <c r="NL42" s="272"/>
      <c r="NM42" s="272"/>
      <c r="NN42" s="272"/>
      <c r="NO42" s="272"/>
      <c r="NP42" s="272"/>
      <c r="NQ42" s="272"/>
      <c r="NR42" s="272"/>
      <c r="NS42" s="272"/>
      <c r="NT42" s="272"/>
      <c r="NU42" s="272"/>
      <c r="NV42" s="272"/>
      <c r="NW42" s="272"/>
      <c r="NX42" s="272"/>
      <c r="NY42" s="272"/>
      <c r="NZ42" s="272"/>
      <c r="OA42" s="272"/>
      <c r="OB42" s="272"/>
      <c r="OC42" s="272"/>
      <c r="OD42" s="272"/>
      <c r="OE42" s="272"/>
      <c r="OF42" s="272"/>
      <c r="OG42" s="272"/>
      <c r="OH42" s="272"/>
      <c r="OI42" s="272"/>
      <c r="OJ42" s="272"/>
      <c r="OK42" s="272"/>
      <c r="OL42" s="272"/>
      <c r="OM42" s="272"/>
      <c r="ON42" s="272"/>
      <c r="OO42" s="272"/>
      <c r="OP42" s="272"/>
      <c r="OQ42" s="272"/>
      <c r="OR42" s="272"/>
      <c r="OS42" s="272"/>
      <c r="OT42" s="272"/>
      <c r="OU42" s="272"/>
      <c r="OV42" s="272"/>
      <c r="OW42" s="272"/>
      <c r="OX42" s="272"/>
      <c r="OY42" s="272"/>
      <c r="OZ42" s="272"/>
      <c r="PA42" s="272"/>
      <c r="PB42" s="272"/>
      <c r="PC42" s="272"/>
      <c r="PD42" s="272"/>
      <c r="PE42" s="272"/>
      <c r="PF42" s="272"/>
      <c r="PG42" s="272"/>
      <c r="PH42" s="272"/>
      <c r="PI42" s="272"/>
      <c r="PJ42" s="272"/>
      <c r="PK42" s="272"/>
      <c r="PL42" s="272"/>
      <c r="PM42" s="272"/>
      <c r="PN42" s="272"/>
      <c r="PO42" s="272"/>
      <c r="PP42" s="272"/>
      <c r="PQ42" s="272"/>
      <c r="PR42" s="272"/>
      <c r="PS42" s="272"/>
      <c r="PT42" s="272"/>
      <c r="PU42" s="272"/>
      <c r="PV42" s="272"/>
      <c r="PW42" s="272"/>
      <c r="PX42" s="272"/>
      <c r="PY42" s="272"/>
      <c r="PZ42" s="272"/>
      <c r="QA42" s="272"/>
      <c r="QB42" s="272"/>
      <c r="QC42" s="272"/>
      <c r="QD42" s="272"/>
      <c r="QE42" s="272"/>
      <c r="QF42" s="272"/>
      <c r="QG42" s="272"/>
      <c r="QH42" s="272"/>
      <c r="QI42" s="272"/>
      <c r="QJ42" s="272"/>
      <c r="QK42" s="272"/>
      <c r="QL42" s="272"/>
      <c r="QM42" s="272"/>
      <c r="QN42" s="272"/>
      <c r="QO42" s="272"/>
      <c r="QP42" s="272"/>
      <c r="QQ42" s="272"/>
      <c r="QR42" s="272"/>
      <c r="QS42" s="272"/>
      <c r="QT42" s="272"/>
      <c r="QU42" s="272"/>
      <c r="QV42" s="272"/>
      <c r="QW42" s="272"/>
      <c r="QX42" s="272"/>
      <c r="QY42" s="272"/>
      <c r="QZ42" s="272"/>
      <c r="RA42" s="272"/>
      <c r="RB42" s="272"/>
      <c r="RC42" s="272"/>
      <c r="RD42" s="272"/>
      <c r="RE42" s="272"/>
      <c r="RF42" s="272"/>
      <c r="RG42" s="272"/>
      <c r="RH42" s="272"/>
      <c r="RI42" s="272"/>
      <c r="RJ42" s="272"/>
      <c r="RK42" s="272"/>
      <c r="RL42" s="272"/>
      <c r="RM42" s="272"/>
      <c r="RN42" s="272"/>
      <c r="RO42" s="272"/>
      <c r="RP42" s="272"/>
      <c r="RQ42" s="272"/>
      <c r="RR42" s="272"/>
      <c r="RS42" s="272"/>
      <c r="RT42" s="272"/>
      <c r="RU42" s="272"/>
      <c r="RV42" s="272"/>
      <c r="RW42" s="272"/>
      <c r="RX42" s="272"/>
      <c r="RY42" s="272"/>
      <c r="RZ42" s="272"/>
      <c r="SA42" s="272"/>
      <c r="SB42" s="272"/>
      <c r="SC42" s="272"/>
      <c r="SD42" s="272"/>
      <c r="SE42" s="272"/>
      <c r="SF42" s="272"/>
      <c r="SG42" s="272"/>
      <c r="SH42" s="272"/>
      <c r="SI42" s="272"/>
      <c r="SJ42" s="272"/>
      <c r="SK42" s="272"/>
      <c r="SL42" s="272"/>
      <c r="SM42" s="272"/>
      <c r="SN42" s="272"/>
      <c r="SO42" s="272"/>
      <c r="SP42" s="272"/>
      <c r="SQ42" s="272"/>
      <c r="SR42" s="272"/>
      <c r="SS42" s="272"/>
      <c r="ST42" s="272"/>
      <c r="SU42" s="272"/>
      <c r="SV42" s="272"/>
      <c r="SW42" s="272"/>
      <c r="SX42" s="272"/>
      <c r="SY42" s="272"/>
      <c r="SZ42" s="272"/>
      <c r="TA42" s="272"/>
      <c r="TB42" s="272"/>
      <c r="TC42" s="272"/>
      <c r="TD42" s="272"/>
      <c r="TE42" s="272"/>
      <c r="TF42" s="272"/>
      <c r="TG42" s="272"/>
      <c r="TH42" s="272"/>
      <c r="TI42" s="272"/>
      <c r="TJ42" s="272"/>
      <c r="TK42" s="272"/>
      <c r="TL42" s="272"/>
      <c r="TM42" s="272"/>
      <c r="TN42" s="272"/>
      <c r="TO42" s="272"/>
      <c r="TP42" s="272"/>
      <c r="TQ42" s="272"/>
      <c r="TR42" s="272"/>
      <c r="TS42" s="272"/>
      <c r="TT42" s="272"/>
      <c r="TU42" s="272"/>
      <c r="TV42" s="272"/>
      <c r="TW42" s="272"/>
      <c r="TX42" s="272"/>
      <c r="TY42" s="272"/>
      <c r="TZ42" s="272"/>
      <c r="UA42" s="272"/>
      <c r="UB42" s="272"/>
      <c r="UC42" s="272"/>
      <c r="UD42" s="272"/>
      <c r="UE42" s="272"/>
      <c r="UF42" s="272"/>
      <c r="UG42" s="272"/>
      <c r="UH42" s="272"/>
      <c r="UI42" s="272"/>
      <c r="UJ42" s="272"/>
      <c r="UK42" s="272"/>
      <c r="UL42" s="272"/>
      <c r="UM42" s="272"/>
      <c r="UN42" s="272"/>
      <c r="UO42" s="272"/>
      <c r="UP42" s="272"/>
      <c r="UQ42" s="272"/>
      <c r="UR42" s="272"/>
      <c r="US42" s="272"/>
      <c r="UT42" s="272"/>
      <c r="UU42" s="272"/>
      <c r="UV42" s="272"/>
      <c r="UW42" s="272"/>
      <c r="UX42" s="272"/>
      <c r="UY42" s="272"/>
      <c r="UZ42" s="272"/>
      <c r="VA42" s="272"/>
      <c r="VB42" s="272"/>
      <c r="VC42" s="272"/>
      <c r="VD42" s="272"/>
      <c r="VE42" s="272"/>
      <c r="VF42" s="272"/>
      <c r="VG42" s="272"/>
      <c r="VH42" s="272"/>
      <c r="VI42" s="272"/>
      <c r="VJ42" s="272"/>
      <c r="VK42" s="272"/>
      <c r="VL42" s="272"/>
      <c r="VM42" s="272"/>
      <c r="VN42" s="272"/>
      <c r="VO42" s="272"/>
      <c r="VP42" s="272"/>
      <c r="VQ42" s="272"/>
      <c r="VR42" s="272"/>
      <c r="VS42" s="272"/>
      <c r="VT42" s="272"/>
      <c r="VU42" s="272"/>
      <c r="VV42" s="272"/>
      <c r="VW42" s="272"/>
      <c r="VX42" s="272"/>
      <c r="VY42" s="272"/>
      <c r="VZ42" s="272"/>
      <c r="WA42" s="272"/>
      <c r="WB42" s="272"/>
      <c r="WC42" s="272"/>
      <c r="WD42" s="272"/>
      <c r="WE42" s="272"/>
      <c r="WF42" s="272"/>
      <c r="WG42" s="272"/>
      <c r="WH42" s="272"/>
      <c r="WI42" s="272"/>
      <c r="WJ42" s="272"/>
      <c r="WK42" s="272"/>
      <c r="WL42" s="272"/>
      <c r="WM42" s="272"/>
      <c r="WN42" s="272"/>
      <c r="WO42" s="272"/>
      <c r="WP42" s="272"/>
      <c r="WQ42" s="272"/>
      <c r="WR42" s="272"/>
      <c r="WS42" s="272"/>
      <c r="WT42" s="272"/>
      <c r="WU42" s="272"/>
      <c r="WV42" s="272"/>
      <c r="WW42" s="272"/>
      <c r="WX42" s="272"/>
      <c r="WY42" s="272"/>
      <c r="WZ42" s="272"/>
      <c r="XA42" s="272"/>
      <c r="XB42" s="272"/>
      <c r="XC42" s="272"/>
      <c r="XD42" s="272"/>
      <c r="XE42" s="272"/>
      <c r="XF42" s="272"/>
      <c r="XG42" s="272"/>
      <c r="XH42" s="272"/>
      <c r="XI42" s="272"/>
      <c r="XJ42" s="272"/>
      <c r="XK42" s="272"/>
      <c r="XL42" s="272"/>
      <c r="XM42" s="272"/>
      <c r="XN42" s="272"/>
      <c r="XO42" s="272"/>
      <c r="XP42" s="272"/>
      <c r="XQ42" s="272"/>
      <c r="XR42" s="272"/>
      <c r="XS42" s="272"/>
      <c r="XT42" s="272"/>
      <c r="XU42" s="272"/>
      <c r="XV42" s="272"/>
      <c r="XW42" s="272"/>
      <c r="XX42" s="272"/>
      <c r="XY42" s="272"/>
      <c r="XZ42" s="272"/>
      <c r="YA42" s="272"/>
      <c r="YB42" s="272"/>
      <c r="YC42" s="272"/>
      <c r="YD42" s="272"/>
      <c r="YE42" s="272"/>
      <c r="YF42" s="272"/>
      <c r="YG42" s="272"/>
      <c r="YH42" s="272"/>
      <c r="YI42" s="272"/>
      <c r="YJ42" s="272"/>
      <c r="YK42" s="272"/>
      <c r="YL42" s="272"/>
      <c r="YM42" s="272"/>
      <c r="YN42" s="272"/>
      <c r="YO42" s="272"/>
      <c r="YP42" s="272"/>
      <c r="YQ42" s="272"/>
      <c r="YR42" s="272"/>
      <c r="YS42" s="272"/>
      <c r="YT42" s="272"/>
      <c r="YU42" s="272"/>
      <c r="YV42" s="272"/>
      <c r="YW42" s="272"/>
      <c r="YX42" s="272"/>
      <c r="YY42" s="272"/>
      <c r="YZ42" s="272"/>
      <c r="ZA42" s="272"/>
      <c r="ZB42" s="272"/>
      <c r="ZC42" s="272"/>
      <c r="ZD42" s="272"/>
      <c r="ZE42" s="272"/>
      <c r="ZF42" s="272"/>
      <c r="ZG42" s="272"/>
      <c r="ZH42" s="272"/>
      <c r="ZI42" s="272"/>
      <c r="ZJ42" s="272"/>
      <c r="ZK42" s="272"/>
      <c r="ZL42" s="272"/>
      <c r="ZM42" s="272"/>
      <c r="ZN42" s="272"/>
      <c r="ZO42" s="272"/>
      <c r="ZP42" s="272"/>
      <c r="ZQ42" s="272"/>
      <c r="ZR42" s="272"/>
      <c r="ZS42" s="272"/>
      <c r="ZT42" s="272"/>
    </row>
    <row r="43" spans="1:696" s="62" customFormat="1" ht="13.5" thickBot="1">
      <c r="A43" s="73"/>
      <c r="B43" s="609"/>
      <c r="C43" s="28" t="s">
        <v>54</v>
      </c>
      <c r="D43" s="513"/>
      <c r="E43" s="534"/>
      <c r="F43" s="514"/>
      <c r="G43" s="515"/>
      <c r="H43" s="515"/>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2"/>
      <c r="DK43" s="272"/>
      <c r="DL43" s="272"/>
      <c r="DM43" s="272"/>
      <c r="DN43" s="272"/>
      <c r="DO43" s="272"/>
      <c r="DP43" s="272"/>
      <c r="DQ43" s="272"/>
      <c r="DR43" s="272"/>
      <c r="DS43" s="272"/>
      <c r="DT43" s="272"/>
      <c r="DU43" s="272"/>
      <c r="DV43" s="272"/>
      <c r="DW43" s="272"/>
      <c r="DX43" s="272"/>
      <c r="DY43" s="272"/>
      <c r="DZ43" s="272"/>
      <c r="EA43" s="272"/>
      <c r="EB43" s="272"/>
      <c r="EC43" s="272"/>
      <c r="ED43" s="272"/>
      <c r="EE43" s="272"/>
      <c r="EF43" s="272"/>
      <c r="EG43" s="272"/>
      <c r="EH43" s="272"/>
      <c r="EI43" s="272"/>
      <c r="EJ43" s="272"/>
      <c r="EK43" s="272"/>
      <c r="EL43" s="272"/>
      <c r="EM43" s="272"/>
      <c r="EN43" s="272"/>
      <c r="EO43" s="272"/>
      <c r="EP43" s="272"/>
      <c r="EQ43" s="272"/>
      <c r="ER43" s="272"/>
      <c r="ES43" s="272"/>
      <c r="ET43" s="272"/>
      <c r="EU43" s="272"/>
      <c r="EV43" s="272"/>
      <c r="EW43" s="272"/>
      <c r="EX43" s="272"/>
      <c r="EY43" s="272"/>
      <c r="EZ43" s="272"/>
      <c r="FA43" s="272"/>
      <c r="FB43" s="272"/>
      <c r="FC43" s="272"/>
      <c r="FD43" s="272"/>
      <c r="FE43" s="272"/>
      <c r="FF43" s="272"/>
      <c r="FG43" s="272"/>
      <c r="FH43" s="272"/>
      <c r="FI43" s="272"/>
      <c r="FJ43" s="272"/>
      <c r="FK43" s="272"/>
      <c r="FL43" s="272"/>
      <c r="FM43" s="272"/>
      <c r="FN43" s="272"/>
      <c r="FO43" s="272"/>
      <c r="FP43" s="272"/>
      <c r="FQ43" s="272"/>
      <c r="FR43" s="272"/>
      <c r="FS43" s="272"/>
      <c r="FT43" s="272"/>
      <c r="FU43" s="272"/>
      <c r="FV43" s="272"/>
      <c r="FW43" s="272"/>
      <c r="FX43" s="272"/>
      <c r="FY43" s="272"/>
      <c r="FZ43" s="272"/>
      <c r="GA43" s="272"/>
      <c r="GB43" s="272"/>
      <c r="GC43" s="272"/>
      <c r="GD43" s="272"/>
      <c r="GE43" s="272"/>
      <c r="GF43" s="272"/>
      <c r="GG43" s="272"/>
      <c r="GH43" s="272"/>
      <c r="GI43" s="272"/>
      <c r="GJ43" s="272"/>
      <c r="GK43" s="272"/>
      <c r="GL43" s="272"/>
      <c r="GM43" s="272"/>
      <c r="GN43" s="272"/>
      <c r="GO43" s="272"/>
      <c r="GP43" s="272"/>
      <c r="GQ43" s="272"/>
      <c r="GR43" s="272"/>
      <c r="GS43" s="272"/>
      <c r="GT43" s="272"/>
      <c r="GU43" s="272"/>
      <c r="GV43" s="272"/>
      <c r="GW43" s="272"/>
      <c r="GX43" s="272"/>
      <c r="GY43" s="272"/>
      <c r="GZ43" s="272"/>
      <c r="HA43" s="272"/>
      <c r="HB43" s="272"/>
      <c r="HC43" s="272"/>
      <c r="HD43" s="272"/>
      <c r="HE43" s="272"/>
      <c r="HF43" s="272"/>
      <c r="HG43" s="272"/>
      <c r="HH43" s="272"/>
      <c r="HI43" s="272"/>
      <c r="HJ43" s="272"/>
      <c r="HK43" s="272"/>
      <c r="HL43" s="272"/>
      <c r="HM43" s="272"/>
      <c r="HN43" s="272"/>
      <c r="HO43" s="272"/>
      <c r="HP43" s="272"/>
      <c r="HQ43" s="272"/>
      <c r="HR43" s="272"/>
      <c r="HS43" s="272"/>
      <c r="HT43" s="272"/>
      <c r="HU43" s="272"/>
      <c r="HV43" s="272"/>
      <c r="HW43" s="272"/>
      <c r="HX43" s="272"/>
      <c r="HY43" s="272"/>
      <c r="HZ43" s="272"/>
      <c r="IA43" s="272"/>
      <c r="IB43" s="272"/>
      <c r="IC43" s="272"/>
      <c r="ID43" s="272"/>
      <c r="IE43" s="272"/>
      <c r="IF43" s="272"/>
      <c r="IG43" s="272"/>
      <c r="IH43" s="272"/>
      <c r="II43" s="272"/>
      <c r="IJ43" s="272"/>
      <c r="IK43" s="272"/>
      <c r="IL43" s="272"/>
      <c r="IM43" s="272"/>
      <c r="IN43" s="272"/>
      <c r="IO43" s="272"/>
      <c r="IP43" s="272"/>
      <c r="IQ43" s="272"/>
      <c r="IR43" s="272"/>
      <c r="IS43" s="272"/>
      <c r="IT43" s="272"/>
      <c r="IU43" s="272"/>
      <c r="IV43" s="272"/>
      <c r="IW43" s="272"/>
      <c r="IX43" s="272"/>
      <c r="IY43" s="272"/>
      <c r="IZ43" s="272"/>
      <c r="JA43" s="272"/>
      <c r="JB43" s="272"/>
      <c r="JC43" s="272"/>
      <c r="JD43" s="272"/>
      <c r="JE43" s="272"/>
      <c r="JF43" s="272"/>
      <c r="JG43" s="272"/>
      <c r="JH43" s="272"/>
      <c r="JI43" s="272"/>
      <c r="JJ43" s="272"/>
      <c r="JK43" s="272"/>
      <c r="JL43" s="272"/>
      <c r="JM43" s="272"/>
      <c r="JN43" s="272"/>
      <c r="JO43" s="272"/>
      <c r="JP43" s="272"/>
      <c r="JQ43" s="272"/>
      <c r="JR43" s="272"/>
      <c r="JS43" s="272"/>
      <c r="JT43" s="272"/>
      <c r="JU43" s="272"/>
      <c r="JV43" s="272"/>
      <c r="JW43" s="272"/>
      <c r="JX43" s="272"/>
      <c r="JY43" s="272"/>
      <c r="JZ43" s="272"/>
      <c r="KA43" s="272"/>
      <c r="KB43" s="272"/>
      <c r="KC43" s="272"/>
      <c r="KD43" s="272"/>
      <c r="KE43" s="272"/>
      <c r="KF43" s="272"/>
      <c r="KG43" s="272"/>
      <c r="KH43" s="272"/>
      <c r="KI43" s="272"/>
      <c r="KJ43" s="272"/>
      <c r="KK43" s="272"/>
      <c r="KL43" s="272"/>
      <c r="KM43" s="272"/>
      <c r="KN43" s="272"/>
      <c r="KO43" s="272"/>
      <c r="KP43" s="272"/>
      <c r="KQ43" s="272"/>
      <c r="KR43" s="272"/>
      <c r="KS43" s="272"/>
      <c r="KT43" s="272"/>
      <c r="KU43" s="272"/>
      <c r="KV43" s="272"/>
      <c r="KW43" s="272"/>
      <c r="KX43" s="272"/>
      <c r="KY43" s="272"/>
      <c r="KZ43" s="272"/>
      <c r="LA43" s="272"/>
      <c r="LB43" s="272"/>
      <c r="LC43" s="272"/>
      <c r="LD43" s="272"/>
      <c r="LE43" s="272"/>
      <c r="LF43" s="272"/>
      <c r="LG43" s="272"/>
      <c r="LH43" s="272"/>
      <c r="LI43" s="272"/>
      <c r="LJ43" s="272"/>
      <c r="LK43" s="272"/>
      <c r="LL43" s="272"/>
      <c r="LM43" s="272"/>
      <c r="LN43" s="272"/>
      <c r="LO43" s="272"/>
      <c r="LP43" s="272"/>
      <c r="LQ43" s="272"/>
      <c r="LR43" s="272"/>
      <c r="LS43" s="272"/>
      <c r="LT43" s="272"/>
      <c r="LU43" s="272"/>
      <c r="LV43" s="272"/>
      <c r="LW43" s="272"/>
      <c r="LX43" s="272"/>
      <c r="LY43" s="272"/>
      <c r="LZ43" s="272"/>
      <c r="MA43" s="272"/>
      <c r="MB43" s="272"/>
      <c r="MC43" s="272"/>
      <c r="MD43" s="272"/>
      <c r="ME43" s="272"/>
      <c r="MF43" s="272"/>
      <c r="MG43" s="272"/>
      <c r="MH43" s="272"/>
      <c r="MI43" s="272"/>
      <c r="MJ43" s="272"/>
      <c r="MK43" s="272"/>
      <c r="ML43" s="272"/>
      <c r="MM43" s="272"/>
      <c r="MN43" s="272"/>
      <c r="MO43" s="272"/>
      <c r="MP43" s="272"/>
      <c r="MQ43" s="272"/>
      <c r="MR43" s="272"/>
      <c r="MS43" s="272"/>
      <c r="MT43" s="272"/>
      <c r="MU43" s="272"/>
      <c r="MV43" s="272"/>
      <c r="MW43" s="272"/>
      <c r="MX43" s="272"/>
      <c r="MY43" s="272"/>
      <c r="MZ43" s="272"/>
      <c r="NA43" s="272"/>
      <c r="NB43" s="272"/>
      <c r="NC43" s="272"/>
      <c r="ND43" s="272"/>
      <c r="NE43" s="272"/>
      <c r="NF43" s="272"/>
      <c r="NG43" s="272"/>
      <c r="NH43" s="272"/>
      <c r="NI43" s="272"/>
      <c r="NJ43" s="272"/>
      <c r="NK43" s="272"/>
      <c r="NL43" s="272"/>
      <c r="NM43" s="272"/>
      <c r="NN43" s="272"/>
      <c r="NO43" s="272"/>
      <c r="NP43" s="272"/>
      <c r="NQ43" s="272"/>
      <c r="NR43" s="272"/>
      <c r="NS43" s="272"/>
      <c r="NT43" s="272"/>
      <c r="NU43" s="272"/>
      <c r="NV43" s="272"/>
      <c r="NW43" s="272"/>
      <c r="NX43" s="272"/>
      <c r="NY43" s="272"/>
      <c r="NZ43" s="272"/>
      <c r="OA43" s="272"/>
      <c r="OB43" s="272"/>
      <c r="OC43" s="272"/>
      <c r="OD43" s="272"/>
      <c r="OE43" s="272"/>
      <c r="OF43" s="272"/>
      <c r="OG43" s="272"/>
      <c r="OH43" s="272"/>
      <c r="OI43" s="272"/>
      <c r="OJ43" s="272"/>
      <c r="OK43" s="272"/>
      <c r="OL43" s="272"/>
      <c r="OM43" s="272"/>
      <c r="ON43" s="272"/>
      <c r="OO43" s="272"/>
      <c r="OP43" s="272"/>
      <c r="OQ43" s="272"/>
      <c r="OR43" s="272"/>
      <c r="OS43" s="272"/>
      <c r="OT43" s="272"/>
      <c r="OU43" s="272"/>
      <c r="OV43" s="272"/>
      <c r="OW43" s="272"/>
      <c r="OX43" s="272"/>
      <c r="OY43" s="272"/>
      <c r="OZ43" s="272"/>
      <c r="PA43" s="272"/>
      <c r="PB43" s="272"/>
      <c r="PC43" s="272"/>
      <c r="PD43" s="272"/>
      <c r="PE43" s="272"/>
      <c r="PF43" s="272"/>
      <c r="PG43" s="272"/>
      <c r="PH43" s="272"/>
      <c r="PI43" s="272"/>
      <c r="PJ43" s="272"/>
      <c r="PK43" s="272"/>
      <c r="PL43" s="272"/>
      <c r="PM43" s="272"/>
      <c r="PN43" s="272"/>
      <c r="PO43" s="272"/>
      <c r="PP43" s="272"/>
      <c r="PQ43" s="272"/>
      <c r="PR43" s="272"/>
      <c r="PS43" s="272"/>
      <c r="PT43" s="272"/>
      <c r="PU43" s="272"/>
      <c r="PV43" s="272"/>
      <c r="PW43" s="272"/>
      <c r="PX43" s="272"/>
      <c r="PY43" s="272"/>
      <c r="PZ43" s="272"/>
      <c r="QA43" s="272"/>
      <c r="QB43" s="272"/>
      <c r="QC43" s="272"/>
      <c r="QD43" s="272"/>
      <c r="QE43" s="272"/>
      <c r="QF43" s="272"/>
      <c r="QG43" s="272"/>
      <c r="QH43" s="272"/>
      <c r="QI43" s="272"/>
      <c r="QJ43" s="272"/>
      <c r="QK43" s="272"/>
      <c r="QL43" s="272"/>
      <c r="QM43" s="272"/>
      <c r="QN43" s="272"/>
      <c r="QO43" s="272"/>
      <c r="QP43" s="272"/>
      <c r="QQ43" s="272"/>
      <c r="QR43" s="272"/>
      <c r="QS43" s="272"/>
      <c r="QT43" s="272"/>
      <c r="QU43" s="272"/>
      <c r="QV43" s="272"/>
      <c r="QW43" s="272"/>
      <c r="QX43" s="272"/>
      <c r="QY43" s="272"/>
      <c r="QZ43" s="272"/>
      <c r="RA43" s="272"/>
      <c r="RB43" s="272"/>
      <c r="RC43" s="272"/>
      <c r="RD43" s="272"/>
      <c r="RE43" s="272"/>
      <c r="RF43" s="272"/>
      <c r="RG43" s="272"/>
      <c r="RH43" s="272"/>
      <c r="RI43" s="272"/>
      <c r="RJ43" s="272"/>
      <c r="RK43" s="272"/>
      <c r="RL43" s="272"/>
      <c r="RM43" s="272"/>
      <c r="RN43" s="272"/>
      <c r="RO43" s="272"/>
      <c r="RP43" s="272"/>
      <c r="RQ43" s="272"/>
      <c r="RR43" s="272"/>
      <c r="RS43" s="272"/>
      <c r="RT43" s="272"/>
      <c r="RU43" s="272"/>
      <c r="RV43" s="272"/>
      <c r="RW43" s="272"/>
      <c r="RX43" s="272"/>
      <c r="RY43" s="272"/>
      <c r="RZ43" s="272"/>
      <c r="SA43" s="272"/>
      <c r="SB43" s="272"/>
      <c r="SC43" s="272"/>
      <c r="SD43" s="272"/>
      <c r="SE43" s="272"/>
      <c r="SF43" s="272"/>
      <c r="SG43" s="272"/>
      <c r="SH43" s="272"/>
      <c r="SI43" s="272"/>
      <c r="SJ43" s="272"/>
      <c r="SK43" s="272"/>
      <c r="SL43" s="272"/>
      <c r="SM43" s="272"/>
      <c r="SN43" s="272"/>
      <c r="SO43" s="272"/>
      <c r="SP43" s="272"/>
      <c r="SQ43" s="272"/>
      <c r="SR43" s="272"/>
      <c r="SS43" s="272"/>
      <c r="ST43" s="272"/>
      <c r="SU43" s="272"/>
      <c r="SV43" s="272"/>
      <c r="SW43" s="272"/>
      <c r="SX43" s="272"/>
      <c r="SY43" s="272"/>
      <c r="SZ43" s="272"/>
      <c r="TA43" s="272"/>
      <c r="TB43" s="272"/>
      <c r="TC43" s="272"/>
      <c r="TD43" s="272"/>
      <c r="TE43" s="272"/>
      <c r="TF43" s="272"/>
      <c r="TG43" s="272"/>
      <c r="TH43" s="272"/>
      <c r="TI43" s="272"/>
      <c r="TJ43" s="272"/>
      <c r="TK43" s="272"/>
      <c r="TL43" s="272"/>
      <c r="TM43" s="272"/>
      <c r="TN43" s="272"/>
      <c r="TO43" s="272"/>
      <c r="TP43" s="272"/>
      <c r="TQ43" s="272"/>
      <c r="TR43" s="272"/>
      <c r="TS43" s="272"/>
      <c r="TT43" s="272"/>
      <c r="TU43" s="272"/>
      <c r="TV43" s="272"/>
      <c r="TW43" s="272"/>
      <c r="TX43" s="272"/>
      <c r="TY43" s="272"/>
      <c r="TZ43" s="272"/>
      <c r="UA43" s="272"/>
      <c r="UB43" s="272"/>
      <c r="UC43" s="272"/>
      <c r="UD43" s="272"/>
      <c r="UE43" s="272"/>
      <c r="UF43" s="272"/>
      <c r="UG43" s="272"/>
      <c r="UH43" s="272"/>
      <c r="UI43" s="272"/>
      <c r="UJ43" s="272"/>
      <c r="UK43" s="272"/>
      <c r="UL43" s="272"/>
      <c r="UM43" s="272"/>
      <c r="UN43" s="272"/>
      <c r="UO43" s="272"/>
      <c r="UP43" s="272"/>
      <c r="UQ43" s="272"/>
      <c r="UR43" s="272"/>
      <c r="US43" s="272"/>
      <c r="UT43" s="272"/>
      <c r="UU43" s="272"/>
      <c r="UV43" s="272"/>
      <c r="UW43" s="272"/>
      <c r="UX43" s="272"/>
      <c r="UY43" s="272"/>
      <c r="UZ43" s="272"/>
      <c r="VA43" s="272"/>
      <c r="VB43" s="272"/>
      <c r="VC43" s="272"/>
      <c r="VD43" s="272"/>
      <c r="VE43" s="272"/>
      <c r="VF43" s="272"/>
      <c r="VG43" s="272"/>
      <c r="VH43" s="272"/>
      <c r="VI43" s="272"/>
      <c r="VJ43" s="272"/>
      <c r="VK43" s="272"/>
      <c r="VL43" s="272"/>
      <c r="VM43" s="272"/>
      <c r="VN43" s="272"/>
      <c r="VO43" s="272"/>
      <c r="VP43" s="272"/>
      <c r="VQ43" s="272"/>
      <c r="VR43" s="272"/>
      <c r="VS43" s="272"/>
      <c r="VT43" s="272"/>
      <c r="VU43" s="272"/>
      <c r="VV43" s="272"/>
      <c r="VW43" s="272"/>
      <c r="VX43" s="272"/>
      <c r="VY43" s="272"/>
      <c r="VZ43" s="272"/>
      <c r="WA43" s="272"/>
      <c r="WB43" s="272"/>
      <c r="WC43" s="272"/>
      <c r="WD43" s="272"/>
      <c r="WE43" s="272"/>
      <c r="WF43" s="272"/>
      <c r="WG43" s="272"/>
      <c r="WH43" s="272"/>
      <c r="WI43" s="272"/>
      <c r="WJ43" s="272"/>
      <c r="WK43" s="272"/>
      <c r="WL43" s="272"/>
      <c r="WM43" s="272"/>
      <c r="WN43" s="272"/>
      <c r="WO43" s="272"/>
      <c r="WP43" s="272"/>
      <c r="WQ43" s="272"/>
      <c r="WR43" s="272"/>
      <c r="WS43" s="272"/>
      <c r="WT43" s="272"/>
      <c r="WU43" s="272"/>
      <c r="WV43" s="272"/>
      <c r="WW43" s="272"/>
      <c r="WX43" s="272"/>
      <c r="WY43" s="272"/>
      <c r="WZ43" s="272"/>
      <c r="XA43" s="272"/>
      <c r="XB43" s="272"/>
      <c r="XC43" s="272"/>
      <c r="XD43" s="272"/>
      <c r="XE43" s="272"/>
      <c r="XF43" s="272"/>
      <c r="XG43" s="272"/>
      <c r="XH43" s="272"/>
      <c r="XI43" s="272"/>
      <c r="XJ43" s="272"/>
      <c r="XK43" s="272"/>
      <c r="XL43" s="272"/>
      <c r="XM43" s="272"/>
      <c r="XN43" s="272"/>
      <c r="XO43" s="272"/>
      <c r="XP43" s="272"/>
      <c r="XQ43" s="272"/>
      <c r="XR43" s="272"/>
      <c r="XS43" s="272"/>
      <c r="XT43" s="272"/>
      <c r="XU43" s="272"/>
      <c r="XV43" s="272"/>
      <c r="XW43" s="272"/>
      <c r="XX43" s="272"/>
      <c r="XY43" s="272"/>
      <c r="XZ43" s="272"/>
      <c r="YA43" s="272"/>
      <c r="YB43" s="272"/>
      <c r="YC43" s="272"/>
      <c r="YD43" s="272"/>
      <c r="YE43" s="272"/>
      <c r="YF43" s="272"/>
      <c r="YG43" s="272"/>
      <c r="YH43" s="272"/>
      <c r="YI43" s="272"/>
      <c r="YJ43" s="272"/>
      <c r="YK43" s="272"/>
      <c r="YL43" s="272"/>
      <c r="YM43" s="272"/>
      <c r="YN43" s="272"/>
      <c r="YO43" s="272"/>
      <c r="YP43" s="272"/>
      <c r="YQ43" s="272"/>
      <c r="YR43" s="272"/>
      <c r="YS43" s="272"/>
      <c r="YT43" s="272"/>
      <c r="YU43" s="272"/>
      <c r="YV43" s="272"/>
      <c r="YW43" s="272"/>
      <c r="YX43" s="272"/>
      <c r="YY43" s="272"/>
      <c r="YZ43" s="272"/>
      <c r="ZA43" s="272"/>
      <c r="ZB43" s="272"/>
      <c r="ZC43" s="272"/>
      <c r="ZD43" s="272"/>
      <c r="ZE43" s="272"/>
      <c r="ZF43" s="272"/>
      <c r="ZG43" s="272"/>
      <c r="ZH43" s="272"/>
      <c r="ZI43" s="272"/>
      <c r="ZJ43" s="272"/>
      <c r="ZK43" s="272"/>
      <c r="ZL43" s="272"/>
      <c r="ZM43" s="272"/>
      <c r="ZN43" s="272"/>
      <c r="ZO43" s="272"/>
      <c r="ZP43" s="272"/>
      <c r="ZQ43" s="272"/>
      <c r="ZR43" s="272"/>
      <c r="ZS43" s="272"/>
      <c r="ZT43" s="272"/>
    </row>
    <row r="44" spans="1:696" s="61" customFormat="1" ht="38.25">
      <c r="A44" s="46" t="s">
        <v>40</v>
      </c>
      <c r="B44" s="70" t="s">
        <v>25</v>
      </c>
      <c r="C44" s="30" t="s">
        <v>52</v>
      </c>
      <c r="D44" s="501"/>
      <c r="E44" s="531"/>
      <c r="F44" s="502"/>
      <c r="G44" s="503"/>
      <c r="H44" s="503"/>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c r="DJ44" s="272"/>
      <c r="DK44" s="272"/>
      <c r="DL44" s="272"/>
      <c r="DM44" s="272"/>
      <c r="DN44" s="272"/>
      <c r="DO44" s="272"/>
      <c r="DP44" s="272"/>
      <c r="DQ44" s="272"/>
      <c r="DR44" s="272"/>
      <c r="DS44" s="272"/>
      <c r="DT44" s="272"/>
      <c r="DU44" s="272"/>
      <c r="DV44" s="272"/>
      <c r="DW44" s="272"/>
      <c r="DX44" s="272"/>
      <c r="DY44" s="272"/>
      <c r="DZ44" s="272"/>
      <c r="EA44" s="272"/>
      <c r="EB44" s="272"/>
      <c r="EC44" s="272"/>
      <c r="ED44" s="272"/>
      <c r="EE44" s="272"/>
      <c r="EF44" s="272"/>
      <c r="EG44" s="272"/>
      <c r="EH44" s="272"/>
      <c r="EI44" s="272"/>
      <c r="EJ44" s="272"/>
      <c r="EK44" s="272"/>
      <c r="EL44" s="272"/>
      <c r="EM44" s="272"/>
      <c r="EN44" s="272"/>
      <c r="EO44" s="272"/>
      <c r="EP44" s="272"/>
      <c r="EQ44" s="272"/>
      <c r="ER44" s="272"/>
      <c r="ES44" s="272"/>
      <c r="ET44" s="272"/>
      <c r="EU44" s="272"/>
      <c r="EV44" s="272"/>
      <c r="EW44" s="272"/>
      <c r="EX44" s="272"/>
      <c r="EY44" s="272"/>
      <c r="EZ44" s="272"/>
      <c r="FA44" s="272"/>
      <c r="FB44" s="272"/>
      <c r="FC44" s="272"/>
      <c r="FD44" s="272"/>
      <c r="FE44" s="272"/>
      <c r="FF44" s="272"/>
      <c r="FG44" s="272"/>
      <c r="FH44" s="272"/>
      <c r="FI44" s="272"/>
      <c r="FJ44" s="272"/>
      <c r="FK44" s="272"/>
      <c r="FL44" s="272"/>
      <c r="FM44" s="272"/>
      <c r="FN44" s="272"/>
      <c r="FO44" s="272"/>
      <c r="FP44" s="272"/>
      <c r="FQ44" s="272"/>
      <c r="FR44" s="272"/>
      <c r="FS44" s="272"/>
      <c r="FT44" s="272"/>
      <c r="FU44" s="272"/>
      <c r="FV44" s="272"/>
      <c r="FW44" s="272"/>
      <c r="FX44" s="272"/>
      <c r="FY44" s="272"/>
      <c r="FZ44" s="272"/>
      <c r="GA44" s="272"/>
      <c r="GB44" s="272"/>
      <c r="GC44" s="272"/>
      <c r="GD44" s="272"/>
      <c r="GE44" s="272"/>
      <c r="GF44" s="272"/>
      <c r="GG44" s="272"/>
      <c r="GH44" s="272"/>
      <c r="GI44" s="272"/>
      <c r="GJ44" s="272"/>
      <c r="GK44" s="272"/>
      <c r="GL44" s="272"/>
      <c r="GM44" s="272"/>
      <c r="GN44" s="272"/>
      <c r="GO44" s="272"/>
      <c r="GP44" s="272"/>
      <c r="GQ44" s="272"/>
      <c r="GR44" s="272"/>
      <c r="GS44" s="272"/>
      <c r="GT44" s="272"/>
      <c r="GU44" s="272"/>
      <c r="GV44" s="272"/>
      <c r="GW44" s="272"/>
      <c r="GX44" s="272"/>
      <c r="GY44" s="272"/>
      <c r="GZ44" s="272"/>
      <c r="HA44" s="272"/>
      <c r="HB44" s="272"/>
      <c r="HC44" s="272"/>
      <c r="HD44" s="272"/>
      <c r="HE44" s="272"/>
      <c r="HF44" s="272"/>
      <c r="HG44" s="272"/>
      <c r="HH44" s="272"/>
      <c r="HI44" s="272"/>
      <c r="HJ44" s="272"/>
      <c r="HK44" s="272"/>
      <c r="HL44" s="272"/>
      <c r="HM44" s="272"/>
      <c r="HN44" s="272"/>
      <c r="HO44" s="272"/>
      <c r="HP44" s="272"/>
      <c r="HQ44" s="272"/>
      <c r="HR44" s="272"/>
      <c r="HS44" s="272"/>
      <c r="HT44" s="272"/>
      <c r="HU44" s="272"/>
      <c r="HV44" s="272"/>
      <c r="HW44" s="272"/>
      <c r="HX44" s="272"/>
      <c r="HY44" s="272"/>
      <c r="HZ44" s="272"/>
      <c r="IA44" s="272"/>
      <c r="IB44" s="272"/>
      <c r="IC44" s="272"/>
      <c r="ID44" s="272"/>
      <c r="IE44" s="272"/>
      <c r="IF44" s="272"/>
      <c r="IG44" s="272"/>
      <c r="IH44" s="272"/>
      <c r="II44" s="272"/>
      <c r="IJ44" s="272"/>
      <c r="IK44" s="272"/>
      <c r="IL44" s="272"/>
      <c r="IM44" s="272"/>
      <c r="IN44" s="272"/>
      <c r="IO44" s="272"/>
      <c r="IP44" s="272"/>
      <c r="IQ44" s="272"/>
      <c r="IR44" s="272"/>
      <c r="IS44" s="272"/>
      <c r="IT44" s="272"/>
      <c r="IU44" s="272"/>
      <c r="IV44" s="272"/>
      <c r="IW44" s="272"/>
      <c r="IX44" s="272"/>
      <c r="IY44" s="272"/>
      <c r="IZ44" s="272"/>
      <c r="JA44" s="272"/>
      <c r="JB44" s="272"/>
      <c r="JC44" s="272"/>
      <c r="JD44" s="272"/>
      <c r="JE44" s="272"/>
      <c r="JF44" s="272"/>
      <c r="JG44" s="272"/>
      <c r="JH44" s="272"/>
      <c r="JI44" s="272"/>
      <c r="JJ44" s="272"/>
      <c r="JK44" s="272"/>
      <c r="JL44" s="272"/>
      <c r="JM44" s="272"/>
      <c r="JN44" s="272"/>
      <c r="JO44" s="272"/>
      <c r="JP44" s="272"/>
      <c r="JQ44" s="272"/>
      <c r="JR44" s="272"/>
      <c r="JS44" s="272"/>
      <c r="JT44" s="272"/>
      <c r="JU44" s="272"/>
      <c r="JV44" s="272"/>
      <c r="JW44" s="272"/>
      <c r="JX44" s="272"/>
      <c r="JY44" s="272"/>
      <c r="JZ44" s="272"/>
      <c r="KA44" s="272"/>
      <c r="KB44" s="272"/>
      <c r="KC44" s="272"/>
      <c r="KD44" s="272"/>
      <c r="KE44" s="272"/>
      <c r="KF44" s="272"/>
      <c r="KG44" s="272"/>
      <c r="KH44" s="272"/>
      <c r="KI44" s="272"/>
      <c r="KJ44" s="272"/>
      <c r="KK44" s="272"/>
      <c r="KL44" s="272"/>
      <c r="KM44" s="272"/>
      <c r="KN44" s="272"/>
      <c r="KO44" s="272"/>
      <c r="KP44" s="272"/>
      <c r="KQ44" s="272"/>
      <c r="KR44" s="272"/>
      <c r="KS44" s="272"/>
      <c r="KT44" s="272"/>
      <c r="KU44" s="272"/>
      <c r="KV44" s="272"/>
      <c r="KW44" s="272"/>
      <c r="KX44" s="272"/>
      <c r="KY44" s="272"/>
      <c r="KZ44" s="272"/>
      <c r="LA44" s="272"/>
      <c r="LB44" s="272"/>
      <c r="LC44" s="272"/>
      <c r="LD44" s="272"/>
      <c r="LE44" s="272"/>
      <c r="LF44" s="272"/>
      <c r="LG44" s="272"/>
      <c r="LH44" s="272"/>
      <c r="LI44" s="272"/>
      <c r="LJ44" s="272"/>
      <c r="LK44" s="272"/>
      <c r="LL44" s="272"/>
      <c r="LM44" s="272"/>
      <c r="LN44" s="272"/>
      <c r="LO44" s="272"/>
      <c r="LP44" s="272"/>
      <c r="LQ44" s="272"/>
      <c r="LR44" s="272"/>
      <c r="LS44" s="272"/>
      <c r="LT44" s="272"/>
      <c r="LU44" s="272"/>
      <c r="LV44" s="272"/>
      <c r="LW44" s="272"/>
      <c r="LX44" s="272"/>
      <c r="LY44" s="272"/>
      <c r="LZ44" s="272"/>
      <c r="MA44" s="272"/>
      <c r="MB44" s="272"/>
      <c r="MC44" s="272"/>
      <c r="MD44" s="272"/>
      <c r="ME44" s="272"/>
      <c r="MF44" s="272"/>
      <c r="MG44" s="272"/>
      <c r="MH44" s="272"/>
      <c r="MI44" s="272"/>
      <c r="MJ44" s="272"/>
      <c r="MK44" s="272"/>
      <c r="ML44" s="272"/>
      <c r="MM44" s="272"/>
      <c r="MN44" s="272"/>
      <c r="MO44" s="272"/>
      <c r="MP44" s="272"/>
      <c r="MQ44" s="272"/>
      <c r="MR44" s="272"/>
      <c r="MS44" s="272"/>
      <c r="MT44" s="272"/>
      <c r="MU44" s="272"/>
      <c r="MV44" s="272"/>
      <c r="MW44" s="272"/>
      <c r="MX44" s="272"/>
      <c r="MY44" s="272"/>
      <c r="MZ44" s="272"/>
      <c r="NA44" s="272"/>
      <c r="NB44" s="272"/>
      <c r="NC44" s="272"/>
      <c r="ND44" s="272"/>
      <c r="NE44" s="272"/>
      <c r="NF44" s="272"/>
      <c r="NG44" s="272"/>
      <c r="NH44" s="272"/>
      <c r="NI44" s="272"/>
      <c r="NJ44" s="272"/>
      <c r="NK44" s="272"/>
      <c r="NL44" s="272"/>
      <c r="NM44" s="272"/>
      <c r="NN44" s="272"/>
      <c r="NO44" s="272"/>
      <c r="NP44" s="272"/>
      <c r="NQ44" s="272"/>
      <c r="NR44" s="272"/>
      <c r="NS44" s="272"/>
      <c r="NT44" s="272"/>
      <c r="NU44" s="272"/>
      <c r="NV44" s="272"/>
      <c r="NW44" s="272"/>
      <c r="NX44" s="272"/>
      <c r="NY44" s="272"/>
      <c r="NZ44" s="272"/>
      <c r="OA44" s="272"/>
      <c r="OB44" s="272"/>
      <c r="OC44" s="272"/>
      <c r="OD44" s="272"/>
      <c r="OE44" s="272"/>
      <c r="OF44" s="272"/>
      <c r="OG44" s="272"/>
      <c r="OH44" s="272"/>
      <c r="OI44" s="272"/>
      <c r="OJ44" s="272"/>
      <c r="OK44" s="272"/>
      <c r="OL44" s="272"/>
      <c r="OM44" s="272"/>
      <c r="ON44" s="272"/>
      <c r="OO44" s="272"/>
      <c r="OP44" s="272"/>
      <c r="OQ44" s="272"/>
      <c r="OR44" s="272"/>
      <c r="OS44" s="272"/>
      <c r="OT44" s="272"/>
      <c r="OU44" s="272"/>
      <c r="OV44" s="272"/>
      <c r="OW44" s="272"/>
      <c r="OX44" s="272"/>
      <c r="OY44" s="272"/>
      <c r="OZ44" s="272"/>
      <c r="PA44" s="272"/>
      <c r="PB44" s="272"/>
      <c r="PC44" s="272"/>
      <c r="PD44" s="272"/>
      <c r="PE44" s="272"/>
      <c r="PF44" s="272"/>
      <c r="PG44" s="272"/>
      <c r="PH44" s="272"/>
      <c r="PI44" s="272"/>
      <c r="PJ44" s="272"/>
      <c r="PK44" s="272"/>
      <c r="PL44" s="272"/>
      <c r="PM44" s="272"/>
      <c r="PN44" s="272"/>
      <c r="PO44" s="272"/>
      <c r="PP44" s="272"/>
      <c r="PQ44" s="272"/>
      <c r="PR44" s="272"/>
      <c r="PS44" s="272"/>
      <c r="PT44" s="272"/>
      <c r="PU44" s="272"/>
      <c r="PV44" s="272"/>
      <c r="PW44" s="272"/>
      <c r="PX44" s="272"/>
      <c r="PY44" s="272"/>
      <c r="PZ44" s="272"/>
      <c r="QA44" s="272"/>
      <c r="QB44" s="272"/>
      <c r="QC44" s="272"/>
      <c r="QD44" s="272"/>
      <c r="QE44" s="272"/>
      <c r="QF44" s="272"/>
      <c r="QG44" s="272"/>
      <c r="QH44" s="272"/>
      <c r="QI44" s="272"/>
      <c r="QJ44" s="272"/>
      <c r="QK44" s="272"/>
      <c r="QL44" s="272"/>
      <c r="QM44" s="272"/>
      <c r="QN44" s="272"/>
      <c r="QO44" s="272"/>
      <c r="QP44" s="272"/>
      <c r="QQ44" s="272"/>
      <c r="QR44" s="272"/>
      <c r="QS44" s="272"/>
      <c r="QT44" s="272"/>
      <c r="QU44" s="272"/>
      <c r="QV44" s="272"/>
      <c r="QW44" s="272"/>
      <c r="QX44" s="272"/>
      <c r="QY44" s="272"/>
      <c r="QZ44" s="272"/>
      <c r="RA44" s="272"/>
      <c r="RB44" s="272"/>
      <c r="RC44" s="272"/>
      <c r="RD44" s="272"/>
      <c r="RE44" s="272"/>
      <c r="RF44" s="272"/>
      <c r="RG44" s="272"/>
      <c r="RH44" s="272"/>
      <c r="RI44" s="272"/>
      <c r="RJ44" s="272"/>
      <c r="RK44" s="272"/>
      <c r="RL44" s="272"/>
      <c r="RM44" s="272"/>
      <c r="RN44" s="272"/>
      <c r="RO44" s="272"/>
      <c r="RP44" s="272"/>
      <c r="RQ44" s="272"/>
      <c r="RR44" s="272"/>
      <c r="RS44" s="272"/>
      <c r="RT44" s="272"/>
      <c r="RU44" s="272"/>
      <c r="RV44" s="272"/>
      <c r="RW44" s="272"/>
      <c r="RX44" s="272"/>
      <c r="RY44" s="272"/>
      <c r="RZ44" s="272"/>
      <c r="SA44" s="272"/>
      <c r="SB44" s="272"/>
      <c r="SC44" s="272"/>
      <c r="SD44" s="272"/>
      <c r="SE44" s="272"/>
      <c r="SF44" s="272"/>
      <c r="SG44" s="272"/>
      <c r="SH44" s="272"/>
      <c r="SI44" s="272"/>
      <c r="SJ44" s="272"/>
      <c r="SK44" s="272"/>
      <c r="SL44" s="272"/>
      <c r="SM44" s="272"/>
      <c r="SN44" s="272"/>
      <c r="SO44" s="272"/>
      <c r="SP44" s="272"/>
      <c r="SQ44" s="272"/>
      <c r="SR44" s="272"/>
      <c r="SS44" s="272"/>
      <c r="ST44" s="272"/>
      <c r="SU44" s="272"/>
      <c r="SV44" s="272"/>
      <c r="SW44" s="272"/>
      <c r="SX44" s="272"/>
      <c r="SY44" s="272"/>
      <c r="SZ44" s="272"/>
      <c r="TA44" s="272"/>
      <c r="TB44" s="272"/>
      <c r="TC44" s="272"/>
      <c r="TD44" s="272"/>
      <c r="TE44" s="272"/>
      <c r="TF44" s="272"/>
      <c r="TG44" s="272"/>
      <c r="TH44" s="272"/>
      <c r="TI44" s="272"/>
      <c r="TJ44" s="272"/>
      <c r="TK44" s="272"/>
      <c r="TL44" s="272"/>
      <c r="TM44" s="272"/>
      <c r="TN44" s="272"/>
      <c r="TO44" s="272"/>
      <c r="TP44" s="272"/>
      <c r="TQ44" s="272"/>
      <c r="TR44" s="272"/>
      <c r="TS44" s="272"/>
      <c r="TT44" s="272"/>
      <c r="TU44" s="272"/>
      <c r="TV44" s="272"/>
      <c r="TW44" s="272"/>
      <c r="TX44" s="272"/>
      <c r="TY44" s="272"/>
      <c r="TZ44" s="272"/>
      <c r="UA44" s="272"/>
      <c r="UB44" s="272"/>
      <c r="UC44" s="272"/>
      <c r="UD44" s="272"/>
      <c r="UE44" s="272"/>
      <c r="UF44" s="272"/>
      <c r="UG44" s="272"/>
      <c r="UH44" s="272"/>
      <c r="UI44" s="272"/>
      <c r="UJ44" s="272"/>
      <c r="UK44" s="272"/>
      <c r="UL44" s="272"/>
      <c r="UM44" s="272"/>
      <c r="UN44" s="272"/>
      <c r="UO44" s="272"/>
      <c r="UP44" s="272"/>
      <c r="UQ44" s="272"/>
      <c r="UR44" s="272"/>
      <c r="US44" s="272"/>
      <c r="UT44" s="272"/>
      <c r="UU44" s="272"/>
      <c r="UV44" s="272"/>
      <c r="UW44" s="272"/>
      <c r="UX44" s="272"/>
      <c r="UY44" s="272"/>
      <c r="UZ44" s="272"/>
      <c r="VA44" s="272"/>
      <c r="VB44" s="272"/>
      <c r="VC44" s="272"/>
      <c r="VD44" s="272"/>
      <c r="VE44" s="272"/>
      <c r="VF44" s="272"/>
      <c r="VG44" s="272"/>
      <c r="VH44" s="272"/>
      <c r="VI44" s="272"/>
      <c r="VJ44" s="272"/>
      <c r="VK44" s="272"/>
      <c r="VL44" s="272"/>
      <c r="VM44" s="272"/>
      <c r="VN44" s="272"/>
      <c r="VO44" s="272"/>
      <c r="VP44" s="272"/>
      <c r="VQ44" s="272"/>
      <c r="VR44" s="272"/>
      <c r="VS44" s="272"/>
      <c r="VT44" s="272"/>
      <c r="VU44" s="272"/>
      <c r="VV44" s="272"/>
      <c r="VW44" s="272"/>
      <c r="VX44" s="272"/>
      <c r="VY44" s="272"/>
      <c r="VZ44" s="272"/>
      <c r="WA44" s="272"/>
      <c r="WB44" s="272"/>
      <c r="WC44" s="272"/>
      <c r="WD44" s="272"/>
      <c r="WE44" s="272"/>
      <c r="WF44" s="272"/>
      <c r="WG44" s="272"/>
      <c r="WH44" s="272"/>
      <c r="WI44" s="272"/>
      <c r="WJ44" s="272"/>
      <c r="WK44" s="272"/>
      <c r="WL44" s="272"/>
      <c r="WM44" s="272"/>
      <c r="WN44" s="272"/>
      <c r="WO44" s="272"/>
      <c r="WP44" s="272"/>
      <c r="WQ44" s="272"/>
      <c r="WR44" s="272"/>
      <c r="WS44" s="272"/>
      <c r="WT44" s="272"/>
      <c r="WU44" s="272"/>
      <c r="WV44" s="272"/>
      <c r="WW44" s="272"/>
      <c r="WX44" s="272"/>
      <c r="WY44" s="272"/>
      <c r="WZ44" s="272"/>
      <c r="XA44" s="272"/>
      <c r="XB44" s="272"/>
      <c r="XC44" s="272"/>
      <c r="XD44" s="272"/>
      <c r="XE44" s="272"/>
      <c r="XF44" s="272"/>
      <c r="XG44" s="272"/>
      <c r="XH44" s="272"/>
      <c r="XI44" s="272"/>
      <c r="XJ44" s="272"/>
      <c r="XK44" s="272"/>
      <c r="XL44" s="272"/>
      <c r="XM44" s="272"/>
      <c r="XN44" s="272"/>
      <c r="XO44" s="272"/>
      <c r="XP44" s="272"/>
      <c r="XQ44" s="272"/>
      <c r="XR44" s="272"/>
      <c r="XS44" s="272"/>
      <c r="XT44" s="272"/>
      <c r="XU44" s="272"/>
      <c r="XV44" s="272"/>
      <c r="XW44" s="272"/>
      <c r="XX44" s="272"/>
      <c r="XY44" s="272"/>
      <c r="XZ44" s="272"/>
      <c r="YA44" s="272"/>
      <c r="YB44" s="272"/>
      <c r="YC44" s="272"/>
      <c r="YD44" s="272"/>
      <c r="YE44" s="272"/>
      <c r="YF44" s="272"/>
      <c r="YG44" s="272"/>
      <c r="YH44" s="272"/>
      <c r="YI44" s="272"/>
      <c r="YJ44" s="272"/>
      <c r="YK44" s="272"/>
      <c r="YL44" s="272"/>
      <c r="YM44" s="272"/>
      <c r="YN44" s="272"/>
      <c r="YO44" s="272"/>
      <c r="YP44" s="272"/>
      <c r="YQ44" s="272"/>
      <c r="YR44" s="272"/>
      <c r="YS44" s="272"/>
      <c r="YT44" s="272"/>
      <c r="YU44" s="272"/>
      <c r="YV44" s="272"/>
      <c r="YW44" s="272"/>
      <c r="YX44" s="272"/>
      <c r="YY44" s="272"/>
      <c r="YZ44" s="272"/>
      <c r="ZA44" s="272"/>
      <c r="ZB44" s="272"/>
      <c r="ZC44" s="272"/>
      <c r="ZD44" s="272"/>
      <c r="ZE44" s="272"/>
      <c r="ZF44" s="272"/>
      <c r="ZG44" s="272"/>
      <c r="ZH44" s="272"/>
      <c r="ZI44" s="272"/>
      <c r="ZJ44" s="272"/>
      <c r="ZK44" s="272"/>
      <c r="ZL44" s="272"/>
      <c r="ZM44" s="272"/>
      <c r="ZN44" s="272"/>
      <c r="ZO44" s="272"/>
      <c r="ZP44" s="272"/>
      <c r="ZQ44" s="272"/>
      <c r="ZR44" s="272"/>
      <c r="ZS44" s="272"/>
      <c r="ZT44" s="272"/>
    </row>
    <row r="45" spans="1:696" s="19" customFormat="1" ht="15">
      <c r="A45" s="47"/>
      <c r="B45" s="74"/>
      <c r="C45" s="20" t="s">
        <v>53</v>
      </c>
      <c r="D45" s="508"/>
      <c r="E45" s="532"/>
      <c r="F45" s="509"/>
      <c r="G45" s="506"/>
      <c r="H45" s="506"/>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272"/>
      <c r="ED45" s="272"/>
      <c r="EE45" s="272"/>
      <c r="EF45" s="272"/>
      <c r="EG45" s="272"/>
      <c r="EH45" s="272"/>
      <c r="EI45" s="272"/>
      <c r="EJ45" s="272"/>
      <c r="EK45" s="272"/>
      <c r="EL45" s="272"/>
      <c r="EM45" s="272"/>
      <c r="EN45" s="272"/>
      <c r="EO45" s="272"/>
      <c r="EP45" s="272"/>
      <c r="EQ45" s="272"/>
      <c r="ER45" s="272"/>
      <c r="ES45" s="272"/>
      <c r="ET45" s="272"/>
      <c r="EU45" s="272"/>
      <c r="EV45" s="272"/>
      <c r="EW45" s="272"/>
      <c r="EX45" s="272"/>
      <c r="EY45" s="272"/>
      <c r="EZ45" s="272"/>
      <c r="FA45" s="272"/>
      <c r="FB45" s="272"/>
      <c r="FC45" s="272"/>
      <c r="FD45" s="272"/>
      <c r="FE45" s="272"/>
      <c r="FF45" s="272"/>
      <c r="FG45" s="272"/>
      <c r="FH45" s="272"/>
      <c r="FI45" s="272"/>
      <c r="FJ45" s="272"/>
      <c r="FK45" s="272"/>
      <c r="FL45" s="272"/>
      <c r="FM45" s="272"/>
      <c r="FN45" s="272"/>
      <c r="FO45" s="272"/>
      <c r="FP45" s="272"/>
      <c r="FQ45" s="272"/>
      <c r="FR45" s="272"/>
      <c r="FS45" s="272"/>
      <c r="FT45" s="272"/>
      <c r="FU45" s="272"/>
      <c r="FV45" s="272"/>
      <c r="FW45" s="272"/>
      <c r="FX45" s="272"/>
      <c r="FY45" s="272"/>
      <c r="FZ45" s="272"/>
      <c r="GA45" s="272"/>
      <c r="GB45" s="272"/>
      <c r="GC45" s="272"/>
      <c r="GD45" s="272"/>
      <c r="GE45" s="272"/>
      <c r="GF45" s="272"/>
      <c r="GG45" s="272"/>
      <c r="GH45" s="272"/>
      <c r="GI45" s="272"/>
      <c r="GJ45" s="272"/>
      <c r="GK45" s="272"/>
      <c r="GL45" s="272"/>
      <c r="GM45" s="272"/>
      <c r="GN45" s="272"/>
      <c r="GO45" s="272"/>
      <c r="GP45" s="272"/>
      <c r="GQ45" s="272"/>
      <c r="GR45" s="272"/>
      <c r="GS45" s="272"/>
      <c r="GT45" s="272"/>
      <c r="GU45" s="272"/>
      <c r="GV45" s="272"/>
      <c r="GW45" s="272"/>
      <c r="GX45" s="272"/>
      <c r="GY45" s="272"/>
      <c r="GZ45" s="272"/>
      <c r="HA45" s="272"/>
      <c r="HB45" s="272"/>
      <c r="HC45" s="272"/>
      <c r="HD45" s="272"/>
      <c r="HE45" s="272"/>
      <c r="HF45" s="272"/>
      <c r="HG45" s="272"/>
      <c r="HH45" s="272"/>
      <c r="HI45" s="272"/>
      <c r="HJ45" s="272"/>
      <c r="HK45" s="272"/>
      <c r="HL45" s="272"/>
      <c r="HM45" s="272"/>
      <c r="HN45" s="272"/>
      <c r="HO45" s="272"/>
      <c r="HP45" s="272"/>
      <c r="HQ45" s="272"/>
      <c r="HR45" s="272"/>
      <c r="HS45" s="272"/>
      <c r="HT45" s="272"/>
      <c r="HU45" s="272"/>
      <c r="HV45" s="272"/>
      <c r="HW45" s="272"/>
      <c r="HX45" s="272"/>
      <c r="HY45" s="272"/>
      <c r="HZ45" s="272"/>
      <c r="IA45" s="272"/>
      <c r="IB45" s="272"/>
      <c r="IC45" s="272"/>
      <c r="ID45" s="272"/>
      <c r="IE45" s="272"/>
      <c r="IF45" s="272"/>
      <c r="IG45" s="272"/>
      <c r="IH45" s="272"/>
      <c r="II45" s="272"/>
      <c r="IJ45" s="272"/>
      <c r="IK45" s="272"/>
      <c r="IL45" s="272"/>
      <c r="IM45" s="272"/>
      <c r="IN45" s="272"/>
      <c r="IO45" s="272"/>
      <c r="IP45" s="272"/>
      <c r="IQ45" s="272"/>
      <c r="IR45" s="272"/>
      <c r="IS45" s="272"/>
      <c r="IT45" s="272"/>
      <c r="IU45" s="272"/>
      <c r="IV45" s="272"/>
      <c r="IW45" s="272"/>
      <c r="IX45" s="272"/>
      <c r="IY45" s="272"/>
      <c r="IZ45" s="272"/>
      <c r="JA45" s="272"/>
      <c r="JB45" s="272"/>
      <c r="JC45" s="272"/>
      <c r="JD45" s="272"/>
      <c r="JE45" s="272"/>
      <c r="JF45" s="272"/>
      <c r="JG45" s="272"/>
      <c r="JH45" s="272"/>
      <c r="JI45" s="272"/>
      <c r="JJ45" s="272"/>
      <c r="JK45" s="272"/>
      <c r="JL45" s="272"/>
      <c r="JM45" s="272"/>
      <c r="JN45" s="272"/>
      <c r="JO45" s="272"/>
      <c r="JP45" s="272"/>
      <c r="JQ45" s="272"/>
      <c r="JR45" s="272"/>
      <c r="JS45" s="272"/>
      <c r="JT45" s="272"/>
      <c r="JU45" s="272"/>
      <c r="JV45" s="272"/>
      <c r="JW45" s="272"/>
      <c r="JX45" s="272"/>
      <c r="JY45" s="272"/>
      <c r="JZ45" s="272"/>
      <c r="KA45" s="272"/>
      <c r="KB45" s="272"/>
      <c r="KC45" s="272"/>
      <c r="KD45" s="272"/>
      <c r="KE45" s="272"/>
      <c r="KF45" s="272"/>
      <c r="KG45" s="272"/>
      <c r="KH45" s="272"/>
      <c r="KI45" s="272"/>
      <c r="KJ45" s="272"/>
      <c r="KK45" s="272"/>
      <c r="KL45" s="272"/>
      <c r="KM45" s="272"/>
      <c r="KN45" s="272"/>
      <c r="KO45" s="272"/>
      <c r="KP45" s="272"/>
      <c r="KQ45" s="272"/>
      <c r="KR45" s="272"/>
      <c r="KS45" s="272"/>
      <c r="KT45" s="272"/>
      <c r="KU45" s="272"/>
      <c r="KV45" s="272"/>
      <c r="KW45" s="272"/>
      <c r="KX45" s="272"/>
      <c r="KY45" s="272"/>
      <c r="KZ45" s="272"/>
      <c r="LA45" s="272"/>
      <c r="LB45" s="272"/>
      <c r="LC45" s="272"/>
      <c r="LD45" s="272"/>
      <c r="LE45" s="272"/>
      <c r="LF45" s="272"/>
      <c r="LG45" s="272"/>
      <c r="LH45" s="272"/>
      <c r="LI45" s="272"/>
      <c r="LJ45" s="272"/>
      <c r="LK45" s="272"/>
      <c r="LL45" s="272"/>
      <c r="LM45" s="272"/>
      <c r="LN45" s="272"/>
      <c r="LO45" s="272"/>
      <c r="LP45" s="272"/>
      <c r="LQ45" s="272"/>
      <c r="LR45" s="272"/>
      <c r="LS45" s="272"/>
      <c r="LT45" s="272"/>
      <c r="LU45" s="272"/>
      <c r="LV45" s="272"/>
      <c r="LW45" s="272"/>
      <c r="LX45" s="272"/>
      <c r="LY45" s="272"/>
      <c r="LZ45" s="272"/>
      <c r="MA45" s="272"/>
      <c r="MB45" s="272"/>
      <c r="MC45" s="272"/>
      <c r="MD45" s="272"/>
      <c r="ME45" s="272"/>
      <c r="MF45" s="272"/>
      <c r="MG45" s="272"/>
      <c r="MH45" s="272"/>
      <c r="MI45" s="272"/>
      <c r="MJ45" s="272"/>
      <c r="MK45" s="272"/>
      <c r="ML45" s="272"/>
      <c r="MM45" s="272"/>
      <c r="MN45" s="272"/>
      <c r="MO45" s="272"/>
      <c r="MP45" s="272"/>
      <c r="MQ45" s="272"/>
      <c r="MR45" s="272"/>
      <c r="MS45" s="272"/>
      <c r="MT45" s="272"/>
      <c r="MU45" s="272"/>
      <c r="MV45" s="272"/>
      <c r="MW45" s="272"/>
      <c r="MX45" s="272"/>
      <c r="MY45" s="272"/>
      <c r="MZ45" s="272"/>
      <c r="NA45" s="272"/>
      <c r="NB45" s="272"/>
      <c r="NC45" s="272"/>
      <c r="ND45" s="272"/>
      <c r="NE45" s="272"/>
      <c r="NF45" s="272"/>
      <c r="NG45" s="272"/>
      <c r="NH45" s="272"/>
      <c r="NI45" s="272"/>
      <c r="NJ45" s="272"/>
      <c r="NK45" s="272"/>
      <c r="NL45" s="272"/>
      <c r="NM45" s="272"/>
      <c r="NN45" s="272"/>
      <c r="NO45" s="272"/>
      <c r="NP45" s="272"/>
      <c r="NQ45" s="272"/>
      <c r="NR45" s="272"/>
      <c r="NS45" s="272"/>
      <c r="NT45" s="272"/>
      <c r="NU45" s="272"/>
      <c r="NV45" s="272"/>
      <c r="NW45" s="272"/>
      <c r="NX45" s="272"/>
      <c r="NY45" s="272"/>
      <c r="NZ45" s="272"/>
      <c r="OA45" s="272"/>
      <c r="OB45" s="272"/>
      <c r="OC45" s="272"/>
      <c r="OD45" s="272"/>
      <c r="OE45" s="272"/>
      <c r="OF45" s="272"/>
      <c r="OG45" s="272"/>
      <c r="OH45" s="272"/>
      <c r="OI45" s="272"/>
      <c r="OJ45" s="272"/>
      <c r="OK45" s="272"/>
      <c r="OL45" s="272"/>
      <c r="OM45" s="272"/>
      <c r="ON45" s="272"/>
      <c r="OO45" s="272"/>
      <c r="OP45" s="272"/>
      <c r="OQ45" s="272"/>
      <c r="OR45" s="272"/>
      <c r="OS45" s="272"/>
      <c r="OT45" s="272"/>
      <c r="OU45" s="272"/>
      <c r="OV45" s="272"/>
      <c r="OW45" s="272"/>
      <c r="OX45" s="272"/>
      <c r="OY45" s="272"/>
      <c r="OZ45" s="272"/>
      <c r="PA45" s="272"/>
      <c r="PB45" s="272"/>
      <c r="PC45" s="272"/>
      <c r="PD45" s="272"/>
      <c r="PE45" s="272"/>
      <c r="PF45" s="272"/>
      <c r="PG45" s="272"/>
      <c r="PH45" s="272"/>
      <c r="PI45" s="272"/>
      <c r="PJ45" s="272"/>
      <c r="PK45" s="272"/>
      <c r="PL45" s="272"/>
      <c r="PM45" s="272"/>
      <c r="PN45" s="272"/>
      <c r="PO45" s="272"/>
      <c r="PP45" s="272"/>
      <c r="PQ45" s="272"/>
      <c r="PR45" s="272"/>
      <c r="PS45" s="272"/>
      <c r="PT45" s="272"/>
      <c r="PU45" s="272"/>
      <c r="PV45" s="272"/>
      <c r="PW45" s="272"/>
      <c r="PX45" s="272"/>
      <c r="PY45" s="272"/>
      <c r="PZ45" s="272"/>
      <c r="QA45" s="272"/>
      <c r="QB45" s="272"/>
      <c r="QC45" s="272"/>
      <c r="QD45" s="272"/>
      <c r="QE45" s="272"/>
      <c r="QF45" s="272"/>
      <c r="QG45" s="272"/>
      <c r="QH45" s="272"/>
      <c r="QI45" s="272"/>
      <c r="QJ45" s="272"/>
      <c r="QK45" s="272"/>
      <c r="QL45" s="272"/>
      <c r="QM45" s="272"/>
      <c r="QN45" s="272"/>
      <c r="QO45" s="272"/>
      <c r="QP45" s="272"/>
      <c r="QQ45" s="272"/>
      <c r="QR45" s="272"/>
      <c r="QS45" s="272"/>
      <c r="QT45" s="272"/>
      <c r="QU45" s="272"/>
      <c r="QV45" s="272"/>
      <c r="QW45" s="272"/>
      <c r="QX45" s="272"/>
      <c r="QY45" s="272"/>
      <c r="QZ45" s="272"/>
      <c r="RA45" s="272"/>
      <c r="RB45" s="272"/>
      <c r="RC45" s="272"/>
      <c r="RD45" s="272"/>
      <c r="RE45" s="272"/>
      <c r="RF45" s="272"/>
      <c r="RG45" s="272"/>
      <c r="RH45" s="272"/>
      <c r="RI45" s="272"/>
      <c r="RJ45" s="272"/>
      <c r="RK45" s="272"/>
      <c r="RL45" s="272"/>
      <c r="RM45" s="272"/>
      <c r="RN45" s="272"/>
      <c r="RO45" s="272"/>
      <c r="RP45" s="272"/>
      <c r="RQ45" s="272"/>
      <c r="RR45" s="272"/>
      <c r="RS45" s="272"/>
      <c r="RT45" s="272"/>
      <c r="RU45" s="272"/>
      <c r="RV45" s="272"/>
      <c r="RW45" s="272"/>
      <c r="RX45" s="272"/>
      <c r="RY45" s="272"/>
      <c r="RZ45" s="272"/>
      <c r="SA45" s="272"/>
      <c r="SB45" s="272"/>
      <c r="SC45" s="272"/>
      <c r="SD45" s="272"/>
      <c r="SE45" s="272"/>
      <c r="SF45" s="272"/>
      <c r="SG45" s="272"/>
      <c r="SH45" s="272"/>
      <c r="SI45" s="272"/>
      <c r="SJ45" s="272"/>
      <c r="SK45" s="272"/>
      <c r="SL45" s="272"/>
      <c r="SM45" s="272"/>
      <c r="SN45" s="272"/>
      <c r="SO45" s="272"/>
      <c r="SP45" s="272"/>
      <c r="SQ45" s="272"/>
      <c r="SR45" s="272"/>
      <c r="SS45" s="272"/>
      <c r="ST45" s="272"/>
      <c r="SU45" s="272"/>
      <c r="SV45" s="272"/>
      <c r="SW45" s="272"/>
      <c r="SX45" s="272"/>
      <c r="SY45" s="272"/>
      <c r="SZ45" s="272"/>
      <c r="TA45" s="272"/>
      <c r="TB45" s="272"/>
      <c r="TC45" s="272"/>
      <c r="TD45" s="272"/>
      <c r="TE45" s="272"/>
      <c r="TF45" s="272"/>
      <c r="TG45" s="272"/>
      <c r="TH45" s="272"/>
      <c r="TI45" s="272"/>
      <c r="TJ45" s="272"/>
      <c r="TK45" s="272"/>
      <c r="TL45" s="272"/>
      <c r="TM45" s="272"/>
      <c r="TN45" s="272"/>
      <c r="TO45" s="272"/>
      <c r="TP45" s="272"/>
      <c r="TQ45" s="272"/>
      <c r="TR45" s="272"/>
      <c r="TS45" s="272"/>
      <c r="TT45" s="272"/>
      <c r="TU45" s="272"/>
      <c r="TV45" s="272"/>
      <c r="TW45" s="272"/>
      <c r="TX45" s="272"/>
      <c r="TY45" s="272"/>
      <c r="TZ45" s="272"/>
      <c r="UA45" s="272"/>
      <c r="UB45" s="272"/>
      <c r="UC45" s="272"/>
      <c r="UD45" s="272"/>
      <c r="UE45" s="272"/>
      <c r="UF45" s="272"/>
      <c r="UG45" s="272"/>
      <c r="UH45" s="272"/>
      <c r="UI45" s="272"/>
      <c r="UJ45" s="272"/>
      <c r="UK45" s="272"/>
      <c r="UL45" s="272"/>
      <c r="UM45" s="272"/>
      <c r="UN45" s="272"/>
      <c r="UO45" s="272"/>
      <c r="UP45" s="272"/>
      <c r="UQ45" s="272"/>
      <c r="UR45" s="272"/>
      <c r="US45" s="272"/>
      <c r="UT45" s="272"/>
      <c r="UU45" s="272"/>
      <c r="UV45" s="272"/>
      <c r="UW45" s="272"/>
      <c r="UX45" s="272"/>
      <c r="UY45" s="272"/>
      <c r="UZ45" s="272"/>
      <c r="VA45" s="272"/>
      <c r="VB45" s="272"/>
      <c r="VC45" s="272"/>
      <c r="VD45" s="272"/>
      <c r="VE45" s="272"/>
      <c r="VF45" s="272"/>
      <c r="VG45" s="272"/>
      <c r="VH45" s="272"/>
      <c r="VI45" s="272"/>
      <c r="VJ45" s="272"/>
      <c r="VK45" s="272"/>
      <c r="VL45" s="272"/>
      <c r="VM45" s="272"/>
      <c r="VN45" s="272"/>
      <c r="VO45" s="272"/>
      <c r="VP45" s="272"/>
      <c r="VQ45" s="272"/>
      <c r="VR45" s="272"/>
      <c r="VS45" s="272"/>
      <c r="VT45" s="272"/>
      <c r="VU45" s="272"/>
      <c r="VV45" s="272"/>
      <c r="VW45" s="272"/>
      <c r="VX45" s="272"/>
      <c r="VY45" s="272"/>
      <c r="VZ45" s="272"/>
      <c r="WA45" s="272"/>
      <c r="WB45" s="272"/>
      <c r="WC45" s="272"/>
      <c r="WD45" s="272"/>
      <c r="WE45" s="272"/>
      <c r="WF45" s="272"/>
      <c r="WG45" s="272"/>
      <c r="WH45" s="272"/>
      <c r="WI45" s="272"/>
      <c r="WJ45" s="272"/>
      <c r="WK45" s="272"/>
      <c r="WL45" s="272"/>
      <c r="WM45" s="272"/>
      <c r="WN45" s="272"/>
      <c r="WO45" s="272"/>
      <c r="WP45" s="272"/>
      <c r="WQ45" s="272"/>
      <c r="WR45" s="272"/>
      <c r="WS45" s="272"/>
      <c r="WT45" s="272"/>
      <c r="WU45" s="272"/>
      <c r="WV45" s="272"/>
      <c r="WW45" s="272"/>
      <c r="WX45" s="272"/>
      <c r="WY45" s="272"/>
      <c r="WZ45" s="272"/>
      <c r="XA45" s="272"/>
      <c r="XB45" s="272"/>
      <c r="XC45" s="272"/>
      <c r="XD45" s="272"/>
      <c r="XE45" s="272"/>
      <c r="XF45" s="272"/>
      <c r="XG45" s="272"/>
      <c r="XH45" s="272"/>
      <c r="XI45" s="272"/>
      <c r="XJ45" s="272"/>
      <c r="XK45" s="272"/>
      <c r="XL45" s="272"/>
      <c r="XM45" s="272"/>
      <c r="XN45" s="272"/>
      <c r="XO45" s="272"/>
      <c r="XP45" s="272"/>
      <c r="XQ45" s="272"/>
      <c r="XR45" s="272"/>
      <c r="XS45" s="272"/>
      <c r="XT45" s="272"/>
      <c r="XU45" s="272"/>
      <c r="XV45" s="272"/>
      <c r="XW45" s="272"/>
      <c r="XX45" s="272"/>
      <c r="XY45" s="272"/>
      <c r="XZ45" s="272"/>
      <c r="YA45" s="272"/>
      <c r="YB45" s="272"/>
      <c r="YC45" s="272"/>
      <c r="YD45" s="272"/>
      <c r="YE45" s="272"/>
      <c r="YF45" s="272"/>
      <c r="YG45" s="272"/>
      <c r="YH45" s="272"/>
      <c r="YI45" s="272"/>
      <c r="YJ45" s="272"/>
      <c r="YK45" s="272"/>
      <c r="YL45" s="272"/>
      <c r="YM45" s="272"/>
      <c r="YN45" s="272"/>
      <c r="YO45" s="272"/>
      <c r="YP45" s="272"/>
      <c r="YQ45" s="272"/>
      <c r="YR45" s="272"/>
      <c r="YS45" s="272"/>
      <c r="YT45" s="272"/>
      <c r="YU45" s="272"/>
      <c r="YV45" s="272"/>
      <c r="YW45" s="272"/>
      <c r="YX45" s="272"/>
      <c r="YY45" s="272"/>
      <c r="YZ45" s="272"/>
      <c r="ZA45" s="272"/>
      <c r="ZB45" s="272"/>
      <c r="ZC45" s="272"/>
      <c r="ZD45" s="272"/>
      <c r="ZE45" s="272"/>
      <c r="ZF45" s="272"/>
      <c r="ZG45" s="272"/>
      <c r="ZH45" s="272"/>
      <c r="ZI45" s="272"/>
      <c r="ZJ45" s="272"/>
      <c r="ZK45" s="272"/>
      <c r="ZL45" s="272"/>
      <c r="ZM45" s="272"/>
      <c r="ZN45" s="272"/>
      <c r="ZO45" s="272"/>
      <c r="ZP45" s="272"/>
      <c r="ZQ45" s="272"/>
      <c r="ZR45" s="272"/>
      <c r="ZS45" s="272"/>
      <c r="ZT45" s="272"/>
    </row>
    <row r="46" spans="1:696" s="62" customFormat="1" ht="13.5" thickBot="1">
      <c r="A46" s="48"/>
      <c r="B46" s="75"/>
      <c r="C46" s="32" t="s">
        <v>54</v>
      </c>
      <c r="D46" s="513"/>
      <c r="E46" s="534"/>
      <c r="F46" s="514"/>
      <c r="G46" s="515"/>
      <c r="H46" s="515"/>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72"/>
      <c r="CZ46" s="272"/>
      <c r="DA46" s="272"/>
      <c r="DB46" s="272"/>
      <c r="DC46" s="272"/>
      <c r="DD46" s="272"/>
      <c r="DE46" s="272"/>
      <c r="DF46" s="272"/>
      <c r="DG46" s="272"/>
      <c r="DH46" s="272"/>
      <c r="DI46" s="272"/>
      <c r="DJ46" s="272"/>
      <c r="DK46" s="272"/>
      <c r="DL46" s="272"/>
      <c r="DM46" s="272"/>
      <c r="DN46" s="272"/>
      <c r="DO46" s="272"/>
      <c r="DP46" s="272"/>
      <c r="DQ46" s="272"/>
      <c r="DR46" s="272"/>
      <c r="DS46" s="272"/>
      <c r="DT46" s="272"/>
      <c r="DU46" s="272"/>
      <c r="DV46" s="272"/>
      <c r="DW46" s="272"/>
      <c r="DX46" s="272"/>
      <c r="DY46" s="272"/>
      <c r="DZ46" s="272"/>
      <c r="EA46" s="272"/>
      <c r="EB46" s="272"/>
      <c r="EC46" s="272"/>
      <c r="ED46" s="272"/>
      <c r="EE46" s="272"/>
      <c r="EF46" s="272"/>
      <c r="EG46" s="272"/>
      <c r="EH46" s="272"/>
      <c r="EI46" s="272"/>
      <c r="EJ46" s="272"/>
      <c r="EK46" s="272"/>
      <c r="EL46" s="272"/>
      <c r="EM46" s="272"/>
      <c r="EN46" s="272"/>
      <c r="EO46" s="272"/>
      <c r="EP46" s="272"/>
      <c r="EQ46" s="272"/>
      <c r="ER46" s="272"/>
      <c r="ES46" s="272"/>
      <c r="ET46" s="272"/>
      <c r="EU46" s="272"/>
      <c r="EV46" s="272"/>
      <c r="EW46" s="272"/>
      <c r="EX46" s="272"/>
      <c r="EY46" s="272"/>
      <c r="EZ46" s="272"/>
      <c r="FA46" s="272"/>
      <c r="FB46" s="272"/>
      <c r="FC46" s="272"/>
      <c r="FD46" s="272"/>
      <c r="FE46" s="272"/>
      <c r="FF46" s="272"/>
      <c r="FG46" s="272"/>
      <c r="FH46" s="272"/>
      <c r="FI46" s="272"/>
      <c r="FJ46" s="272"/>
      <c r="FK46" s="272"/>
      <c r="FL46" s="272"/>
      <c r="FM46" s="272"/>
      <c r="FN46" s="272"/>
      <c r="FO46" s="272"/>
      <c r="FP46" s="272"/>
      <c r="FQ46" s="272"/>
      <c r="FR46" s="272"/>
      <c r="FS46" s="272"/>
      <c r="FT46" s="272"/>
      <c r="FU46" s="272"/>
      <c r="FV46" s="272"/>
      <c r="FW46" s="272"/>
      <c r="FX46" s="272"/>
      <c r="FY46" s="272"/>
      <c r="FZ46" s="272"/>
      <c r="GA46" s="272"/>
      <c r="GB46" s="272"/>
      <c r="GC46" s="272"/>
      <c r="GD46" s="272"/>
      <c r="GE46" s="272"/>
      <c r="GF46" s="272"/>
      <c r="GG46" s="272"/>
      <c r="GH46" s="272"/>
      <c r="GI46" s="272"/>
      <c r="GJ46" s="272"/>
      <c r="GK46" s="272"/>
      <c r="GL46" s="272"/>
      <c r="GM46" s="272"/>
      <c r="GN46" s="272"/>
      <c r="GO46" s="272"/>
      <c r="GP46" s="272"/>
      <c r="GQ46" s="272"/>
      <c r="GR46" s="272"/>
      <c r="GS46" s="272"/>
      <c r="GT46" s="272"/>
      <c r="GU46" s="272"/>
      <c r="GV46" s="272"/>
      <c r="GW46" s="272"/>
      <c r="GX46" s="272"/>
      <c r="GY46" s="272"/>
      <c r="GZ46" s="272"/>
      <c r="HA46" s="272"/>
      <c r="HB46" s="272"/>
      <c r="HC46" s="272"/>
      <c r="HD46" s="272"/>
      <c r="HE46" s="272"/>
      <c r="HF46" s="272"/>
      <c r="HG46" s="272"/>
      <c r="HH46" s="272"/>
      <c r="HI46" s="272"/>
      <c r="HJ46" s="272"/>
      <c r="HK46" s="272"/>
      <c r="HL46" s="272"/>
      <c r="HM46" s="272"/>
      <c r="HN46" s="272"/>
      <c r="HO46" s="272"/>
      <c r="HP46" s="272"/>
      <c r="HQ46" s="272"/>
      <c r="HR46" s="272"/>
      <c r="HS46" s="272"/>
      <c r="HT46" s="272"/>
      <c r="HU46" s="272"/>
      <c r="HV46" s="272"/>
      <c r="HW46" s="272"/>
      <c r="HX46" s="272"/>
      <c r="HY46" s="272"/>
      <c r="HZ46" s="272"/>
      <c r="IA46" s="272"/>
      <c r="IB46" s="272"/>
      <c r="IC46" s="272"/>
      <c r="ID46" s="272"/>
      <c r="IE46" s="272"/>
      <c r="IF46" s="272"/>
      <c r="IG46" s="272"/>
      <c r="IH46" s="272"/>
      <c r="II46" s="272"/>
      <c r="IJ46" s="272"/>
      <c r="IK46" s="272"/>
      <c r="IL46" s="272"/>
      <c r="IM46" s="272"/>
      <c r="IN46" s="272"/>
      <c r="IO46" s="272"/>
      <c r="IP46" s="272"/>
      <c r="IQ46" s="272"/>
      <c r="IR46" s="272"/>
      <c r="IS46" s="272"/>
      <c r="IT46" s="272"/>
      <c r="IU46" s="272"/>
      <c r="IV46" s="272"/>
      <c r="IW46" s="272"/>
      <c r="IX46" s="272"/>
      <c r="IY46" s="272"/>
      <c r="IZ46" s="272"/>
      <c r="JA46" s="272"/>
      <c r="JB46" s="272"/>
      <c r="JC46" s="272"/>
      <c r="JD46" s="272"/>
      <c r="JE46" s="272"/>
      <c r="JF46" s="272"/>
      <c r="JG46" s="272"/>
      <c r="JH46" s="272"/>
      <c r="JI46" s="272"/>
      <c r="JJ46" s="272"/>
      <c r="JK46" s="272"/>
      <c r="JL46" s="272"/>
      <c r="JM46" s="272"/>
      <c r="JN46" s="272"/>
      <c r="JO46" s="272"/>
      <c r="JP46" s="272"/>
      <c r="JQ46" s="272"/>
      <c r="JR46" s="272"/>
      <c r="JS46" s="272"/>
      <c r="JT46" s="272"/>
      <c r="JU46" s="272"/>
      <c r="JV46" s="272"/>
      <c r="JW46" s="272"/>
      <c r="JX46" s="272"/>
      <c r="JY46" s="272"/>
      <c r="JZ46" s="272"/>
      <c r="KA46" s="272"/>
      <c r="KB46" s="272"/>
      <c r="KC46" s="272"/>
      <c r="KD46" s="272"/>
      <c r="KE46" s="272"/>
      <c r="KF46" s="272"/>
      <c r="KG46" s="272"/>
      <c r="KH46" s="272"/>
      <c r="KI46" s="272"/>
      <c r="KJ46" s="272"/>
      <c r="KK46" s="272"/>
      <c r="KL46" s="272"/>
      <c r="KM46" s="272"/>
      <c r="KN46" s="272"/>
      <c r="KO46" s="272"/>
      <c r="KP46" s="272"/>
      <c r="KQ46" s="272"/>
      <c r="KR46" s="272"/>
      <c r="KS46" s="272"/>
      <c r="KT46" s="272"/>
      <c r="KU46" s="272"/>
      <c r="KV46" s="272"/>
      <c r="KW46" s="272"/>
      <c r="KX46" s="272"/>
      <c r="KY46" s="272"/>
      <c r="KZ46" s="272"/>
      <c r="LA46" s="272"/>
      <c r="LB46" s="272"/>
      <c r="LC46" s="272"/>
      <c r="LD46" s="272"/>
      <c r="LE46" s="272"/>
      <c r="LF46" s="272"/>
      <c r="LG46" s="272"/>
      <c r="LH46" s="272"/>
      <c r="LI46" s="272"/>
      <c r="LJ46" s="272"/>
      <c r="LK46" s="272"/>
      <c r="LL46" s="272"/>
      <c r="LM46" s="272"/>
      <c r="LN46" s="272"/>
      <c r="LO46" s="272"/>
      <c r="LP46" s="272"/>
      <c r="LQ46" s="272"/>
      <c r="LR46" s="272"/>
      <c r="LS46" s="272"/>
      <c r="LT46" s="272"/>
      <c r="LU46" s="272"/>
      <c r="LV46" s="272"/>
      <c r="LW46" s="272"/>
      <c r="LX46" s="272"/>
      <c r="LY46" s="272"/>
      <c r="LZ46" s="272"/>
      <c r="MA46" s="272"/>
      <c r="MB46" s="272"/>
      <c r="MC46" s="272"/>
      <c r="MD46" s="272"/>
      <c r="ME46" s="272"/>
      <c r="MF46" s="272"/>
      <c r="MG46" s="272"/>
      <c r="MH46" s="272"/>
      <c r="MI46" s="272"/>
      <c r="MJ46" s="272"/>
      <c r="MK46" s="272"/>
      <c r="ML46" s="272"/>
      <c r="MM46" s="272"/>
      <c r="MN46" s="272"/>
      <c r="MO46" s="272"/>
      <c r="MP46" s="272"/>
      <c r="MQ46" s="272"/>
      <c r="MR46" s="272"/>
      <c r="MS46" s="272"/>
      <c r="MT46" s="272"/>
      <c r="MU46" s="272"/>
      <c r="MV46" s="272"/>
      <c r="MW46" s="272"/>
      <c r="MX46" s="272"/>
      <c r="MY46" s="272"/>
      <c r="MZ46" s="272"/>
      <c r="NA46" s="272"/>
      <c r="NB46" s="272"/>
      <c r="NC46" s="272"/>
      <c r="ND46" s="272"/>
      <c r="NE46" s="272"/>
      <c r="NF46" s="272"/>
      <c r="NG46" s="272"/>
      <c r="NH46" s="272"/>
      <c r="NI46" s="272"/>
      <c r="NJ46" s="272"/>
      <c r="NK46" s="272"/>
      <c r="NL46" s="272"/>
      <c r="NM46" s="272"/>
      <c r="NN46" s="272"/>
      <c r="NO46" s="272"/>
      <c r="NP46" s="272"/>
      <c r="NQ46" s="272"/>
      <c r="NR46" s="272"/>
      <c r="NS46" s="272"/>
      <c r="NT46" s="272"/>
      <c r="NU46" s="272"/>
      <c r="NV46" s="272"/>
      <c r="NW46" s="272"/>
      <c r="NX46" s="272"/>
      <c r="NY46" s="272"/>
      <c r="NZ46" s="272"/>
      <c r="OA46" s="272"/>
      <c r="OB46" s="272"/>
      <c r="OC46" s="272"/>
      <c r="OD46" s="272"/>
      <c r="OE46" s="272"/>
      <c r="OF46" s="272"/>
      <c r="OG46" s="272"/>
      <c r="OH46" s="272"/>
      <c r="OI46" s="272"/>
      <c r="OJ46" s="272"/>
      <c r="OK46" s="272"/>
      <c r="OL46" s="272"/>
      <c r="OM46" s="272"/>
      <c r="ON46" s="272"/>
      <c r="OO46" s="272"/>
      <c r="OP46" s="272"/>
      <c r="OQ46" s="272"/>
      <c r="OR46" s="272"/>
      <c r="OS46" s="272"/>
      <c r="OT46" s="272"/>
      <c r="OU46" s="272"/>
      <c r="OV46" s="272"/>
      <c r="OW46" s="272"/>
      <c r="OX46" s="272"/>
      <c r="OY46" s="272"/>
      <c r="OZ46" s="272"/>
      <c r="PA46" s="272"/>
      <c r="PB46" s="272"/>
      <c r="PC46" s="272"/>
      <c r="PD46" s="272"/>
      <c r="PE46" s="272"/>
      <c r="PF46" s="272"/>
      <c r="PG46" s="272"/>
      <c r="PH46" s="272"/>
      <c r="PI46" s="272"/>
      <c r="PJ46" s="272"/>
      <c r="PK46" s="272"/>
      <c r="PL46" s="272"/>
      <c r="PM46" s="272"/>
      <c r="PN46" s="272"/>
      <c r="PO46" s="272"/>
      <c r="PP46" s="272"/>
      <c r="PQ46" s="272"/>
      <c r="PR46" s="272"/>
      <c r="PS46" s="272"/>
      <c r="PT46" s="272"/>
      <c r="PU46" s="272"/>
      <c r="PV46" s="272"/>
      <c r="PW46" s="272"/>
      <c r="PX46" s="272"/>
      <c r="PY46" s="272"/>
      <c r="PZ46" s="272"/>
      <c r="QA46" s="272"/>
      <c r="QB46" s="272"/>
      <c r="QC46" s="272"/>
      <c r="QD46" s="272"/>
      <c r="QE46" s="272"/>
      <c r="QF46" s="272"/>
      <c r="QG46" s="272"/>
      <c r="QH46" s="272"/>
      <c r="QI46" s="272"/>
      <c r="QJ46" s="272"/>
      <c r="QK46" s="272"/>
      <c r="QL46" s="272"/>
      <c r="QM46" s="272"/>
      <c r="QN46" s="272"/>
      <c r="QO46" s="272"/>
      <c r="QP46" s="272"/>
      <c r="QQ46" s="272"/>
      <c r="QR46" s="272"/>
      <c r="QS46" s="272"/>
      <c r="QT46" s="272"/>
      <c r="QU46" s="272"/>
      <c r="QV46" s="272"/>
      <c r="QW46" s="272"/>
      <c r="QX46" s="272"/>
      <c r="QY46" s="272"/>
      <c r="QZ46" s="272"/>
      <c r="RA46" s="272"/>
      <c r="RB46" s="272"/>
      <c r="RC46" s="272"/>
      <c r="RD46" s="272"/>
      <c r="RE46" s="272"/>
      <c r="RF46" s="272"/>
      <c r="RG46" s="272"/>
      <c r="RH46" s="272"/>
      <c r="RI46" s="272"/>
      <c r="RJ46" s="272"/>
      <c r="RK46" s="272"/>
      <c r="RL46" s="272"/>
      <c r="RM46" s="272"/>
      <c r="RN46" s="272"/>
      <c r="RO46" s="272"/>
      <c r="RP46" s="272"/>
      <c r="RQ46" s="272"/>
      <c r="RR46" s="272"/>
      <c r="RS46" s="272"/>
      <c r="RT46" s="272"/>
      <c r="RU46" s="272"/>
      <c r="RV46" s="272"/>
      <c r="RW46" s="272"/>
      <c r="RX46" s="272"/>
      <c r="RY46" s="272"/>
      <c r="RZ46" s="272"/>
      <c r="SA46" s="272"/>
      <c r="SB46" s="272"/>
      <c r="SC46" s="272"/>
      <c r="SD46" s="272"/>
      <c r="SE46" s="272"/>
      <c r="SF46" s="272"/>
      <c r="SG46" s="272"/>
      <c r="SH46" s="272"/>
      <c r="SI46" s="272"/>
      <c r="SJ46" s="272"/>
      <c r="SK46" s="272"/>
      <c r="SL46" s="272"/>
      <c r="SM46" s="272"/>
      <c r="SN46" s="272"/>
      <c r="SO46" s="272"/>
      <c r="SP46" s="272"/>
      <c r="SQ46" s="272"/>
      <c r="SR46" s="272"/>
      <c r="SS46" s="272"/>
      <c r="ST46" s="272"/>
      <c r="SU46" s="272"/>
      <c r="SV46" s="272"/>
      <c r="SW46" s="272"/>
      <c r="SX46" s="272"/>
      <c r="SY46" s="272"/>
      <c r="SZ46" s="272"/>
      <c r="TA46" s="272"/>
      <c r="TB46" s="272"/>
      <c r="TC46" s="272"/>
      <c r="TD46" s="272"/>
      <c r="TE46" s="272"/>
      <c r="TF46" s="272"/>
      <c r="TG46" s="272"/>
      <c r="TH46" s="272"/>
      <c r="TI46" s="272"/>
      <c r="TJ46" s="272"/>
      <c r="TK46" s="272"/>
      <c r="TL46" s="272"/>
      <c r="TM46" s="272"/>
      <c r="TN46" s="272"/>
      <c r="TO46" s="272"/>
      <c r="TP46" s="272"/>
      <c r="TQ46" s="272"/>
      <c r="TR46" s="272"/>
      <c r="TS46" s="272"/>
      <c r="TT46" s="272"/>
      <c r="TU46" s="272"/>
      <c r="TV46" s="272"/>
      <c r="TW46" s="272"/>
      <c r="TX46" s="272"/>
      <c r="TY46" s="272"/>
      <c r="TZ46" s="272"/>
      <c r="UA46" s="272"/>
      <c r="UB46" s="272"/>
      <c r="UC46" s="272"/>
      <c r="UD46" s="272"/>
      <c r="UE46" s="272"/>
      <c r="UF46" s="272"/>
      <c r="UG46" s="272"/>
      <c r="UH46" s="272"/>
      <c r="UI46" s="272"/>
      <c r="UJ46" s="272"/>
      <c r="UK46" s="272"/>
      <c r="UL46" s="272"/>
      <c r="UM46" s="272"/>
      <c r="UN46" s="272"/>
      <c r="UO46" s="272"/>
      <c r="UP46" s="272"/>
      <c r="UQ46" s="272"/>
      <c r="UR46" s="272"/>
      <c r="US46" s="272"/>
      <c r="UT46" s="272"/>
      <c r="UU46" s="272"/>
      <c r="UV46" s="272"/>
      <c r="UW46" s="272"/>
      <c r="UX46" s="272"/>
      <c r="UY46" s="272"/>
      <c r="UZ46" s="272"/>
      <c r="VA46" s="272"/>
      <c r="VB46" s="272"/>
      <c r="VC46" s="272"/>
      <c r="VD46" s="272"/>
      <c r="VE46" s="272"/>
      <c r="VF46" s="272"/>
      <c r="VG46" s="272"/>
      <c r="VH46" s="272"/>
      <c r="VI46" s="272"/>
      <c r="VJ46" s="272"/>
      <c r="VK46" s="272"/>
      <c r="VL46" s="272"/>
      <c r="VM46" s="272"/>
      <c r="VN46" s="272"/>
      <c r="VO46" s="272"/>
      <c r="VP46" s="272"/>
      <c r="VQ46" s="272"/>
      <c r="VR46" s="272"/>
      <c r="VS46" s="272"/>
      <c r="VT46" s="272"/>
      <c r="VU46" s="272"/>
      <c r="VV46" s="272"/>
      <c r="VW46" s="272"/>
      <c r="VX46" s="272"/>
      <c r="VY46" s="272"/>
      <c r="VZ46" s="272"/>
      <c r="WA46" s="272"/>
      <c r="WB46" s="272"/>
      <c r="WC46" s="272"/>
      <c r="WD46" s="272"/>
      <c r="WE46" s="272"/>
      <c r="WF46" s="272"/>
      <c r="WG46" s="272"/>
      <c r="WH46" s="272"/>
      <c r="WI46" s="272"/>
      <c r="WJ46" s="272"/>
      <c r="WK46" s="272"/>
      <c r="WL46" s="272"/>
      <c r="WM46" s="272"/>
      <c r="WN46" s="272"/>
      <c r="WO46" s="272"/>
      <c r="WP46" s="272"/>
      <c r="WQ46" s="272"/>
      <c r="WR46" s="272"/>
      <c r="WS46" s="272"/>
      <c r="WT46" s="272"/>
      <c r="WU46" s="272"/>
      <c r="WV46" s="272"/>
      <c r="WW46" s="272"/>
      <c r="WX46" s="272"/>
      <c r="WY46" s="272"/>
      <c r="WZ46" s="272"/>
      <c r="XA46" s="272"/>
      <c r="XB46" s="272"/>
      <c r="XC46" s="272"/>
      <c r="XD46" s="272"/>
      <c r="XE46" s="272"/>
      <c r="XF46" s="272"/>
      <c r="XG46" s="272"/>
      <c r="XH46" s="272"/>
      <c r="XI46" s="272"/>
      <c r="XJ46" s="272"/>
      <c r="XK46" s="272"/>
      <c r="XL46" s="272"/>
      <c r="XM46" s="272"/>
      <c r="XN46" s="272"/>
      <c r="XO46" s="272"/>
      <c r="XP46" s="272"/>
      <c r="XQ46" s="272"/>
      <c r="XR46" s="272"/>
      <c r="XS46" s="272"/>
      <c r="XT46" s="272"/>
      <c r="XU46" s="272"/>
      <c r="XV46" s="272"/>
      <c r="XW46" s="272"/>
      <c r="XX46" s="272"/>
      <c r="XY46" s="272"/>
      <c r="XZ46" s="272"/>
      <c r="YA46" s="272"/>
      <c r="YB46" s="272"/>
      <c r="YC46" s="272"/>
      <c r="YD46" s="272"/>
      <c r="YE46" s="272"/>
      <c r="YF46" s="272"/>
      <c r="YG46" s="272"/>
      <c r="YH46" s="272"/>
      <c r="YI46" s="272"/>
      <c r="YJ46" s="272"/>
      <c r="YK46" s="272"/>
      <c r="YL46" s="272"/>
      <c r="YM46" s="272"/>
      <c r="YN46" s="272"/>
      <c r="YO46" s="272"/>
      <c r="YP46" s="272"/>
      <c r="YQ46" s="272"/>
      <c r="YR46" s="272"/>
      <c r="YS46" s="272"/>
      <c r="YT46" s="272"/>
      <c r="YU46" s="272"/>
      <c r="YV46" s="272"/>
      <c r="YW46" s="272"/>
      <c r="YX46" s="272"/>
      <c r="YY46" s="272"/>
      <c r="YZ46" s="272"/>
      <c r="ZA46" s="272"/>
      <c r="ZB46" s="272"/>
      <c r="ZC46" s="272"/>
      <c r="ZD46" s="272"/>
      <c r="ZE46" s="272"/>
      <c r="ZF46" s="272"/>
      <c r="ZG46" s="272"/>
      <c r="ZH46" s="272"/>
      <c r="ZI46" s="272"/>
      <c r="ZJ46" s="272"/>
      <c r="ZK46" s="272"/>
      <c r="ZL46" s="272"/>
      <c r="ZM46" s="272"/>
      <c r="ZN46" s="272"/>
      <c r="ZO46" s="272"/>
      <c r="ZP46" s="272"/>
      <c r="ZQ46" s="272"/>
      <c r="ZR46" s="272"/>
      <c r="ZS46" s="272"/>
      <c r="ZT46" s="272"/>
    </row>
    <row r="47" spans="1:696" s="61" customFormat="1" ht="15">
      <c r="A47" s="611" t="s">
        <v>3</v>
      </c>
      <c r="B47" s="614" t="s">
        <v>26</v>
      </c>
      <c r="C47" s="30" t="s">
        <v>52</v>
      </c>
      <c r="D47" s="501"/>
      <c r="E47" s="531"/>
      <c r="F47" s="502"/>
      <c r="G47" s="503"/>
      <c r="H47" s="503"/>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72"/>
      <c r="EI47" s="272"/>
      <c r="EJ47" s="272"/>
      <c r="EK47" s="272"/>
      <c r="EL47" s="272"/>
      <c r="EM47" s="272"/>
      <c r="EN47" s="272"/>
      <c r="EO47" s="272"/>
      <c r="EP47" s="272"/>
      <c r="EQ47" s="272"/>
      <c r="ER47" s="272"/>
      <c r="ES47" s="272"/>
      <c r="ET47" s="272"/>
      <c r="EU47" s="272"/>
      <c r="EV47" s="272"/>
      <c r="EW47" s="272"/>
      <c r="EX47" s="272"/>
      <c r="EY47" s="272"/>
      <c r="EZ47" s="272"/>
      <c r="FA47" s="272"/>
      <c r="FB47" s="272"/>
      <c r="FC47" s="272"/>
      <c r="FD47" s="272"/>
      <c r="FE47" s="272"/>
      <c r="FF47" s="272"/>
      <c r="FG47" s="272"/>
      <c r="FH47" s="272"/>
      <c r="FI47" s="272"/>
      <c r="FJ47" s="272"/>
      <c r="FK47" s="272"/>
      <c r="FL47" s="272"/>
      <c r="FM47" s="272"/>
      <c r="FN47" s="272"/>
      <c r="FO47" s="272"/>
      <c r="FP47" s="272"/>
      <c r="FQ47" s="272"/>
      <c r="FR47" s="272"/>
      <c r="FS47" s="272"/>
      <c r="FT47" s="272"/>
      <c r="FU47" s="272"/>
      <c r="FV47" s="272"/>
      <c r="FW47" s="272"/>
      <c r="FX47" s="272"/>
      <c r="FY47" s="272"/>
      <c r="FZ47" s="272"/>
      <c r="GA47" s="272"/>
      <c r="GB47" s="272"/>
      <c r="GC47" s="272"/>
      <c r="GD47" s="272"/>
      <c r="GE47" s="272"/>
      <c r="GF47" s="272"/>
      <c r="GG47" s="272"/>
      <c r="GH47" s="272"/>
      <c r="GI47" s="272"/>
      <c r="GJ47" s="272"/>
      <c r="GK47" s="272"/>
      <c r="GL47" s="272"/>
      <c r="GM47" s="272"/>
      <c r="GN47" s="272"/>
      <c r="GO47" s="272"/>
      <c r="GP47" s="272"/>
      <c r="GQ47" s="272"/>
      <c r="GR47" s="272"/>
      <c r="GS47" s="272"/>
      <c r="GT47" s="272"/>
      <c r="GU47" s="272"/>
      <c r="GV47" s="272"/>
      <c r="GW47" s="272"/>
      <c r="GX47" s="272"/>
      <c r="GY47" s="272"/>
      <c r="GZ47" s="272"/>
      <c r="HA47" s="272"/>
      <c r="HB47" s="272"/>
      <c r="HC47" s="272"/>
      <c r="HD47" s="272"/>
      <c r="HE47" s="272"/>
      <c r="HF47" s="272"/>
      <c r="HG47" s="272"/>
      <c r="HH47" s="272"/>
      <c r="HI47" s="272"/>
      <c r="HJ47" s="272"/>
      <c r="HK47" s="272"/>
      <c r="HL47" s="272"/>
      <c r="HM47" s="272"/>
      <c r="HN47" s="272"/>
      <c r="HO47" s="272"/>
      <c r="HP47" s="272"/>
      <c r="HQ47" s="272"/>
      <c r="HR47" s="272"/>
      <c r="HS47" s="272"/>
      <c r="HT47" s="272"/>
      <c r="HU47" s="272"/>
      <c r="HV47" s="272"/>
      <c r="HW47" s="272"/>
      <c r="HX47" s="272"/>
      <c r="HY47" s="272"/>
      <c r="HZ47" s="272"/>
      <c r="IA47" s="272"/>
      <c r="IB47" s="272"/>
      <c r="IC47" s="272"/>
      <c r="ID47" s="272"/>
      <c r="IE47" s="272"/>
      <c r="IF47" s="272"/>
      <c r="IG47" s="272"/>
      <c r="IH47" s="272"/>
      <c r="II47" s="272"/>
      <c r="IJ47" s="272"/>
      <c r="IK47" s="272"/>
      <c r="IL47" s="272"/>
      <c r="IM47" s="272"/>
      <c r="IN47" s="272"/>
      <c r="IO47" s="272"/>
      <c r="IP47" s="272"/>
      <c r="IQ47" s="272"/>
      <c r="IR47" s="272"/>
      <c r="IS47" s="272"/>
      <c r="IT47" s="272"/>
      <c r="IU47" s="272"/>
      <c r="IV47" s="272"/>
      <c r="IW47" s="272"/>
      <c r="IX47" s="272"/>
      <c r="IY47" s="272"/>
      <c r="IZ47" s="272"/>
      <c r="JA47" s="272"/>
      <c r="JB47" s="272"/>
      <c r="JC47" s="272"/>
      <c r="JD47" s="272"/>
      <c r="JE47" s="272"/>
      <c r="JF47" s="272"/>
      <c r="JG47" s="272"/>
      <c r="JH47" s="272"/>
      <c r="JI47" s="272"/>
      <c r="JJ47" s="272"/>
      <c r="JK47" s="272"/>
      <c r="JL47" s="272"/>
      <c r="JM47" s="272"/>
      <c r="JN47" s="272"/>
      <c r="JO47" s="272"/>
      <c r="JP47" s="272"/>
      <c r="JQ47" s="272"/>
      <c r="JR47" s="272"/>
      <c r="JS47" s="272"/>
      <c r="JT47" s="272"/>
      <c r="JU47" s="272"/>
      <c r="JV47" s="272"/>
      <c r="JW47" s="272"/>
      <c r="JX47" s="272"/>
      <c r="JY47" s="272"/>
      <c r="JZ47" s="272"/>
      <c r="KA47" s="272"/>
      <c r="KB47" s="272"/>
      <c r="KC47" s="272"/>
      <c r="KD47" s="272"/>
      <c r="KE47" s="272"/>
      <c r="KF47" s="272"/>
      <c r="KG47" s="272"/>
      <c r="KH47" s="272"/>
      <c r="KI47" s="272"/>
      <c r="KJ47" s="272"/>
      <c r="KK47" s="272"/>
      <c r="KL47" s="272"/>
      <c r="KM47" s="272"/>
      <c r="KN47" s="272"/>
      <c r="KO47" s="272"/>
      <c r="KP47" s="272"/>
      <c r="KQ47" s="272"/>
      <c r="KR47" s="272"/>
      <c r="KS47" s="272"/>
      <c r="KT47" s="272"/>
      <c r="KU47" s="272"/>
      <c r="KV47" s="272"/>
      <c r="KW47" s="272"/>
      <c r="KX47" s="272"/>
      <c r="KY47" s="272"/>
      <c r="KZ47" s="272"/>
      <c r="LA47" s="272"/>
      <c r="LB47" s="272"/>
      <c r="LC47" s="272"/>
      <c r="LD47" s="272"/>
      <c r="LE47" s="272"/>
      <c r="LF47" s="272"/>
      <c r="LG47" s="272"/>
      <c r="LH47" s="272"/>
      <c r="LI47" s="272"/>
      <c r="LJ47" s="272"/>
      <c r="LK47" s="272"/>
      <c r="LL47" s="272"/>
      <c r="LM47" s="272"/>
      <c r="LN47" s="272"/>
      <c r="LO47" s="272"/>
      <c r="LP47" s="272"/>
      <c r="LQ47" s="272"/>
      <c r="LR47" s="272"/>
      <c r="LS47" s="272"/>
      <c r="LT47" s="272"/>
      <c r="LU47" s="272"/>
      <c r="LV47" s="272"/>
      <c r="LW47" s="272"/>
      <c r="LX47" s="272"/>
      <c r="LY47" s="272"/>
      <c r="LZ47" s="272"/>
      <c r="MA47" s="272"/>
      <c r="MB47" s="272"/>
      <c r="MC47" s="272"/>
      <c r="MD47" s="272"/>
      <c r="ME47" s="272"/>
      <c r="MF47" s="272"/>
      <c r="MG47" s="272"/>
      <c r="MH47" s="272"/>
      <c r="MI47" s="272"/>
      <c r="MJ47" s="272"/>
      <c r="MK47" s="272"/>
      <c r="ML47" s="272"/>
      <c r="MM47" s="272"/>
      <c r="MN47" s="272"/>
      <c r="MO47" s="272"/>
      <c r="MP47" s="272"/>
      <c r="MQ47" s="272"/>
      <c r="MR47" s="272"/>
      <c r="MS47" s="272"/>
      <c r="MT47" s="272"/>
      <c r="MU47" s="272"/>
      <c r="MV47" s="272"/>
      <c r="MW47" s="272"/>
      <c r="MX47" s="272"/>
      <c r="MY47" s="272"/>
      <c r="MZ47" s="272"/>
      <c r="NA47" s="272"/>
      <c r="NB47" s="272"/>
      <c r="NC47" s="272"/>
      <c r="ND47" s="272"/>
      <c r="NE47" s="272"/>
      <c r="NF47" s="272"/>
      <c r="NG47" s="272"/>
      <c r="NH47" s="272"/>
      <c r="NI47" s="272"/>
      <c r="NJ47" s="272"/>
      <c r="NK47" s="272"/>
      <c r="NL47" s="272"/>
      <c r="NM47" s="272"/>
      <c r="NN47" s="272"/>
      <c r="NO47" s="272"/>
      <c r="NP47" s="272"/>
      <c r="NQ47" s="272"/>
      <c r="NR47" s="272"/>
      <c r="NS47" s="272"/>
      <c r="NT47" s="272"/>
      <c r="NU47" s="272"/>
      <c r="NV47" s="272"/>
      <c r="NW47" s="272"/>
      <c r="NX47" s="272"/>
      <c r="NY47" s="272"/>
      <c r="NZ47" s="272"/>
      <c r="OA47" s="272"/>
      <c r="OB47" s="272"/>
      <c r="OC47" s="272"/>
      <c r="OD47" s="272"/>
      <c r="OE47" s="272"/>
      <c r="OF47" s="272"/>
      <c r="OG47" s="272"/>
      <c r="OH47" s="272"/>
      <c r="OI47" s="272"/>
      <c r="OJ47" s="272"/>
      <c r="OK47" s="272"/>
      <c r="OL47" s="272"/>
      <c r="OM47" s="272"/>
      <c r="ON47" s="272"/>
      <c r="OO47" s="272"/>
      <c r="OP47" s="272"/>
      <c r="OQ47" s="272"/>
      <c r="OR47" s="272"/>
      <c r="OS47" s="272"/>
      <c r="OT47" s="272"/>
      <c r="OU47" s="272"/>
      <c r="OV47" s="272"/>
      <c r="OW47" s="272"/>
      <c r="OX47" s="272"/>
      <c r="OY47" s="272"/>
      <c r="OZ47" s="272"/>
      <c r="PA47" s="272"/>
      <c r="PB47" s="272"/>
      <c r="PC47" s="272"/>
      <c r="PD47" s="272"/>
      <c r="PE47" s="272"/>
      <c r="PF47" s="272"/>
      <c r="PG47" s="272"/>
      <c r="PH47" s="272"/>
      <c r="PI47" s="272"/>
      <c r="PJ47" s="272"/>
      <c r="PK47" s="272"/>
      <c r="PL47" s="272"/>
      <c r="PM47" s="272"/>
      <c r="PN47" s="272"/>
      <c r="PO47" s="272"/>
      <c r="PP47" s="272"/>
      <c r="PQ47" s="272"/>
      <c r="PR47" s="272"/>
      <c r="PS47" s="272"/>
      <c r="PT47" s="272"/>
      <c r="PU47" s="272"/>
      <c r="PV47" s="272"/>
      <c r="PW47" s="272"/>
      <c r="PX47" s="272"/>
      <c r="PY47" s="272"/>
      <c r="PZ47" s="272"/>
      <c r="QA47" s="272"/>
      <c r="QB47" s="272"/>
      <c r="QC47" s="272"/>
      <c r="QD47" s="272"/>
      <c r="QE47" s="272"/>
      <c r="QF47" s="272"/>
      <c r="QG47" s="272"/>
      <c r="QH47" s="272"/>
      <c r="QI47" s="272"/>
      <c r="QJ47" s="272"/>
      <c r="QK47" s="272"/>
      <c r="QL47" s="272"/>
      <c r="QM47" s="272"/>
      <c r="QN47" s="272"/>
      <c r="QO47" s="272"/>
      <c r="QP47" s="272"/>
      <c r="QQ47" s="272"/>
      <c r="QR47" s="272"/>
      <c r="QS47" s="272"/>
      <c r="QT47" s="272"/>
      <c r="QU47" s="272"/>
      <c r="QV47" s="272"/>
      <c r="QW47" s="272"/>
      <c r="QX47" s="272"/>
      <c r="QY47" s="272"/>
      <c r="QZ47" s="272"/>
      <c r="RA47" s="272"/>
      <c r="RB47" s="272"/>
      <c r="RC47" s="272"/>
      <c r="RD47" s="272"/>
      <c r="RE47" s="272"/>
      <c r="RF47" s="272"/>
      <c r="RG47" s="272"/>
      <c r="RH47" s="272"/>
      <c r="RI47" s="272"/>
      <c r="RJ47" s="272"/>
      <c r="RK47" s="272"/>
      <c r="RL47" s="272"/>
      <c r="RM47" s="272"/>
      <c r="RN47" s="272"/>
      <c r="RO47" s="272"/>
      <c r="RP47" s="272"/>
      <c r="RQ47" s="272"/>
      <c r="RR47" s="272"/>
      <c r="RS47" s="272"/>
      <c r="RT47" s="272"/>
      <c r="RU47" s="272"/>
      <c r="RV47" s="272"/>
      <c r="RW47" s="272"/>
      <c r="RX47" s="272"/>
      <c r="RY47" s="272"/>
      <c r="RZ47" s="272"/>
      <c r="SA47" s="272"/>
      <c r="SB47" s="272"/>
      <c r="SC47" s="272"/>
      <c r="SD47" s="272"/>
      <c r="SE47" s="272"/>
      <c r="SF47" s="272"/>
      <c r="SG47" s="272"/>
      <c r="SH47" s="272"/>
      <c r="SI47" s="272"/>
      <c r="SJ47" s="272"/>
      <c r="SK47" s="272"/>
      <c r="SL47" s="272"/>
      <c r="SM47" s="272"/>
      <c r="SN47" s="272"/>
      <c r="SO47" s="272"/>
      <c r="SP47" s="272"/>
      <c r="SQ47" s="272"/>
      <c r="SR47" s="272"/>
      <c r="SS47" s="272"/>
      <c r="ST47" s="272"/>
      <c r="SU47" s="272"/>
      <c r="SV47" s="272"/>
      <c r="SW47" s="272"/>
      <c r="SX47" s="272"/>
      <c r="SY47" s="272"/>
      <c r="SZ47" s="272"/>
      <c r="TA47" s="272"/>
      <c r="TB47" s="272"/>
      <c r="TC47" s="272"/>
      <c r="TD47" s="272"/>
      <c r="TE47" s="272"/>
      <c r="TF47" s="272"/>
      <c r="TG47" s="272"/>
      <c r="TH47" s="272"/>
      <c r="TI47" s="272"/>
      <c r="TJ47" s="272"/>
      <c r="TK47" s="272"/>
      <c r="TL47" s="272"/>
      <c r="TM47" s="272"/>
      <c r="TN47" s="272"/>
      <c r="TO47" s="272"/>
      <c r="TP47" s="272"/>
      <c r="TQ47" s="272"/>
      <c r="TR47" s="272"/>
      <c r="TS47" s="272"/>
      <c r="TT47" s="272"/>
      <c r="TU47" s="272"/>
      <c r="TV47" s="272"/>
      <c r="TW47" s="272"/>
      <c r="TX47" s="272"/>
      <c r="TY47" s="272"/>
      <c r="TZ47" s="272"/>
      <c r="UA47" s="272"/>
      <c r="UB47" s="272"/>
      <c r="UC47" s="272"/>
      <c r="UD47" s="272"/>
      <c r="UE47" s="272"/>
      <c r="UF47" s="272"/>
      <c r="UG47" s="272"/>
      <c r="UH47" s="272"/>
      <c r="UI47" s="272"/>
      <c r="UJ47" s="272"/>
      <c r="UK47" s="272"/>
      <c r="UL47" s="272"/>
      <c r="UM47" s="272"/>
      <c r="UN47" s="272"/>
      <c r="UO47" s="272"/>
      <c r="UP47" s="272"/>
      <c r="UQ47" s="272"/>
      <c r="UR47" s="272"/>
      <c r="US47" s="272"/>
      <c r="UT47" s="272"/>
      <c r="UU47" s="272"/>
      <c r="UV47" s="272"/>
      <c r="UW47" s="272"/>
      <c r="UX47" s="272"/>
      <c r="UY47" s="272"/>
      <c r="UZ47" s="272"/>
      <c r="VA47" s="272"/>
      <c r="VB47" s="272"/>
      <c r="VC47" s="272"/>
      <c r="VD47" s="272"/>
      <c r="VE47" s="272"/>
      <c r="VF47" s="272"/>
      <c r="VG47" s="272"/>
      <c r="VH47" s="272"/>
      <c r="VI47" s="272"/>
      <c r="VJ47" s="272"/>
      <c r="VK47" s="272"/>
      <c r="VL47" s="272"/>
      <c r="VM47" s="272"/>
      <c r="VN47" s="272"/>
      <c r="VO47" s="272"/>
      <c r="VP47" s="272"/>
      <c r="VQ47" s="272"/>
      <c r="VR47" s="272"/>
      <c r="VS47" s="272"/>
      <c r="VT47" s="272"/>
      <c r="VU47" s="272"/>
      <c r="VV47" s="272"/>
      <c r="VW47" s="272"/>
      <c r="VX47" s="272"/>
      <c r="VY47" s="272"/>
      <c r="VZ47" s="272"/>
      <c r="WA47" s="272"/>
      <c r="WB47" s="272"/>
      <c r="WC47" s="272"/>
      <c r="WD47" s="272"/>
      <c r="WE47" s="272"/>
      <c r="WF47" s="272"/>
      <c r="WG47" s="272"/>
      <c r="WH47" s="272"/>
      <c r="WI47" s="272"/>
      <c r="WJ47" s="272"/>
      <c r="WK47" s="272"/>
      <c r="WL47" s="272"/>
      <c r="WM47" s="272"/>
      <c r="WN47" s="272"/>
      <c r="WO47" s="272"/>
      <c r="WP47" s="272"/>
      <c r="WQ47" s="272"/>
      <c r="WR47" s="272"/>
      <c r="WS47" s="272"/>
      <c r="WT47" s="272"/>
      <c r="WU47" s="272"/>
      <c r="WV47" s="272"/>
      <c r="WW47" s="272"/>
      <c r="WX47" s="272"/>
      <c r="WY47" s="272"/>
      <c r="WZ47" s="272"/>
      <c r="XA47" s="272"/>
      <c r="XB47" s="272"/>
      <c r="XC47" s="272"/>
      <c r="XD47" s="272"/>
      <c r="XE47" s="272"/>
      <c r="XF47" s="272"/>
      <c r="XG47" s="272"/>
      <c r="XH47" s="272"/>
      <c r="XI47" s="272"/>
      <c r="XJ47" s="272"/>
      <c r="XK47" s="272"/>
      <c r="XL47" s="272"/>
      <c r="XM47" s="272"/>
      <c r="XN47" s="272"/>
      <c r="XO47" s="272"/>
      <c r="XP47" s="272"/>
      <c r="XQ47" s="272"/>
      <c r="XR47" s="272"/>
      <c r="XS47" s="272"/>
      <c r="XT47" s="272"/>
      <c r="XU47" s="272"/>
      <c r="XV47" s="272"/>
      <c r="XW47" s="272"/>
      <c r="XX47" s="272"/>
      <c r="XY47" s="272"/>
      <c r="XZ47" s="272"/>
      <c r="YA47" s="272"/>
      <c r="YB47" s="272"/>
      <c r="YC47" s="272"/>
      <c r="YD47" s="272"/>
      <c r="YE47" s="272"/>
      <c r="YF47" s="272"/>
      <c r="YG47" s="272"/>
      <c r="YH47" s="272"/>
      <c r="YI47" s="272"/>
      <c r="YJ47" s="272"/>
      <c r="YK47" s="272"/>
      <c r="YL47" s="272"/>
      <c r="YM47" s="272"/>
      <c r="YN47" s="272"/>
      <c r="YO47" s="272"/>
      <c r="YP47" s="272"/>
      <c r="YQ47" s="272"/>
      <c r="YR47" s="272"/>
      <c r="YS47" s="272"/>
      <c r="YT47" s="272"/>
      <c r="YU47" s="272"/>
      <c r="YV47" s="272"/>
      <c r="YW47" s="272"/>
      <c r="YX47" s="272"/>
      <c r="YY47" s="272"/>
      <c r="YZ47" s="272"/>
      <c r="ZA47" s="272"/>
      <c r="ZB47" s="272"/>
      <c r="ZC47" s="272"/>
      <c r="ZD47" s="272"/>
      <c r="ZE47" s="272"/>
      <c r="ZF47" s="272"/>
      <c r="ZG47" s="272"/>
      <c r="ZH47" s="272"/>
      <c r="ZI47" s="272"/>
      <c r="ZJ47" s="272"/>
      <c r="ZK47" s="272"/>
      <c r="ZL47" s="272"/>
      <c r="ZM47" s="272"/>
      <c r="ZN47" s="272"/>
      <c r="ZO47" s="272"/>
      <c r="ZP47" s="272"/>
      <c r="ZQ47" s="272"/>
      <c r="ZR47" s="272"/>
      <c r="ZS47" s="272"/>
      <c r="ZT47" s="272"/>
    </row>
    <row r="48" spans="1:696" s="19" customFormat="1" ht="15">
      <c r="A48" s="612"/>
      <c r="B48" s="615"/>
      <c r="C48" s="55" t="s">
        <v>53</v>
      </c>
      <c r="D48" s="55"/>
      <c r="E48" s="57"/>
      <c r="F48" s="57"/>
      <c r="G48" s="263"/>
      <c r="H48" s="263"/>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2"/>
      <c r="CY48" s="272"/>
      <c r="CZ48" s="272"/>
      <c r="DA48" s="272"/>
      <c r="DB48" s="272"/>
      <c r="DC48" s="272"/>
      <c r="DD48" s="272"/>
      <c r="DE48" s="272"/>
      <c r="DF48" s="272"/>
      <c r="DG48" s="272"/>
      <c r="DH48" s="272"/>
      <c r="DI48" s="272"/>
      <c r="DJ48" s="272"/>
      <c r="DK48" s="272"/>
      <c r="DL48" s="272"/>
      <c r="DM48" s="272"/>
      <c r="DN48" s="272"/>
      <c r="DO48" s="272"/>
      <c r="DP48" s="272"/>
      <c r="DQ48" s="272"/>
      <c r="DR48" s="272"/>
      <c r="DS48" s="272"/>
      <c r="DT48" s="272"/>
      <c r="DU48" s="272"/>
      <c r="DV48" s="272"/>
      <c r="DW48" s="272"/>
      <c r="DX48" s="272"/>
      <c r="DY48" s="272"/>
      <c r="DZ48" s="272"/>
      <c r="EA48" s="272"/>
      <c r="EB48" s="272"/>
      <c r="EC48" s="272"/>
      <c r="ED48" s="272"/>
      <c r="EE48" s="272"/>
      <c r="EF48" s="272"/>
      <c r="EG48" s="272"/>
      <c r="EH48" s="272"/>
      <c r="EI48" s="272"/>
      <c r="EJ48" s="272"/>
      <c r="EK48" s="272"/>
      <c r="EL48" s="272"/>
      <c r="EM48" s="272"/>
      <c r="EN48" s="272"/>
      <c r="EO48" s="272"/>
      <c r="EP48" s="272"/>
      <c r="EQ48" s="272"/>
      <c r="ER48" s="272"/>
      <c r="ES48" s="272"/>
      <c r="ET48" s="272"/>
      <c r="EU48" s="272"/>
      <c r="EV48" s="272"/>
      <c r="EW48" s="272"/>
      <c r="EX48" s="272"/>
      <c r="EY48" s="272"/>
      <c r="EZ48" s="272"/>
      <c r="FA48" s="272"/>
      <c r="FB48" s="272"/>
      <c r="FC48" s="272"/>
      <c r="FD48" s="272"/>
      <c r="FE48" s="272"/>
      <c r="FF48" s="272"/>
      <c r="FG48" s="272"/>
      <c r="FH48" s="272"/>
      <c r="FI48" s="272"/>
      <c r="FJ48" s="272"/>
      <c r="FK48" s="272"/>
      <c r="FL48" s="272"/>
      <c r="FM48" s="272"/>
      <c r="FN48" s="272"/>
      <c r="FO48" s="272"/>
      <c r="FP48" s="272"/>
      <c r="FQ48" s="272"/>
      <c r="FR48" s="272"/>
      <c r="FS48" s="272"/>
      <c r="FT48" s="272"/>
      <c r="FU48" s="272"/>
      <c r="FV48" s="272"/>
      <c r="FW48" s="272"/>
      <c r="FX48" s="272"/>
      <c r="FY48" s="272"/>
      <c r="FZ48" s="272"/>
      <c r="GA48" s="272"/>
      <c r="GB48" s="272"/>
      <c r="GC48" s="272"/>
      <c r="GD48" s="272"/>
      <c r="GE48" s="272"/>
      <c r="GF48" s="272"/>
      <c r="GG48" s="272"/>
      <c r="GH48" s="272"/>
      <c r="GI48" s="272"/>
      <c r="GJ48" s="272"/>
      <c r="GK48" s="272"/>
      <c r="GL48" s="272"/>
      <c r="GM48" s="272"/>
      <c r="GN48" s="272"/>
      <c r="GO48" s="272"/>
      <c r="GP48" s="272"/>
      <c r="GQ48" s="272"/>
      <c r="GR48" s="272"/>
      <c r="GS48" s="272"/>
      <c r="GT48" s="272"/>
      <c r="GU48" s="272"/>
      <c r="GV48" s="272"/>
      <c r="GW48" s="272"/>
      <c r="GX48" s="272"/>
      <c r="GY48" s="272"/>
      <c r="GZ48" s="272"/>
      <c r="HA48" s="272"/>
      <c r="HB48" s="272"/>
      <c r="HC48" s="272"/>
      <c r="HD48" s="272"/>
      <c r="HE48" s="272"/>
      <c r="HF48" s="272"/>
      <c r="HG48" s="272"/>
      <c r="HH48" s="272"/>
      <c r="HI48" s="272"/>
      <c r="HJ48" s="272"/>
      <c r="HK48" s="272"/>
      <c r="HL48" s="272"/>
      <c r="HM48" s="272"/>
      <c r="HN48" s="272"/>
      <c r="HO48" s="272"/>
      <c r="HP48" s="272"/>
      <c r="HQ48" s="272"/>
      <c r="HR48" s="272"/>
      <c r="HS48" s="272"/>
      <c r="HT48" s="272"/>
      <c r="HU48" s="272"/>
      <c r="HV48" s="272"/>
      <c r="HW48" s="272"/>
      <c r="HX48" s="272"/>
      <c r="HY48" s="272"/>
      <c r="HZ48" s="272"/>
      <c r="IA48" s="272"/>
      <c r="IB48" s="272"/>
      <c r="IC48" s="272"/>
      <c r="ID48" s="272"/>
      <c r="IE48" s="272"/>
      <c r="IF48" s="272"/>
      <c r="IG48" s="272"/>
      <c r="IH48" s="272"/>
      <c r="II48" s="272"/>
      <c r="IJ48" s="272"/>
      <c r="IK48" s="272"/>
      <c r="IL48" s="272"/>
      <c r="IM48" s="272"/>
      <c r="IN48" s="272"/>
      <c r="IO48" s="272"/>
      <c r="IP48" s="272"/>
      <c r="IQ48" s="272"/>
      <c r="IR48" s="272"/>
      <c r="IS48" s="272"/>
      <c r="IT48" s="272"/>
      <c r="IU48" s="272"/>
      <c r="IV48" s="272"/>
      <c r="IW48" s="272"/>
      <c r="IX48" s="272"/>
      <c r="IY48" s="272"/>
      <c r="IZ48" s="272"/>
      <c r="JA48" s="272"/>
      <c r="JB48" s="272"/>
      <c r="JC48" s="272"/>
      <c r="JD48" s="272"/>
      <c r="JE48" s="272"/>
      <c r="JF48" s="272"/>
      <c r="JG48" s="272"/>
      <c r="JH48" s="272"/>
      <c r="JI48" s="272"/>
      <c r="JJ48" s="272"/>
      <c r="JK48" s="272"/>
      <c r="JL48" s="272"/>
      <c r="JM48" s="272"/>
      <c r="JN48" s="272"/>
      <c r="JO48" s="272"/>
      <c r="JP48" s="272"/>
      <c r="JQ48" s="272"/>
      <c r="JR48" s="272"/>
      <c r="JS48" s="272"/>
      <c r="JT48" s="272"/>
      <c r="JU48" s="272"/>
      <c r="JV48" s="272"/>
      <c r="JW48" s="272"/>
      <c r="JX48" s="272"/>
      <c r="JY48" s="272"/>
      <c r="JZ48" s="272"/>
      <c r="KA48" s="272"/>
      <c r="KB48" s="272"/>
      <c r="KC48" s="272"/>
      <c r="KD48" s="272"/>
      <c r="KE48" s="272"/>
      <c r="KF48" s="272"/>
      <c r="KG48" s="272"/>
      <c r="KH48" s="272"/>
      <c r="KI48" s="272"/>
      <c r="KJ48" s="272"/>
      <c r="KK48" s="272"/>
      <c r="KL48" s="272"/>
      <c r="KM48" s="272"/>
      <c r="KN48" s="272"/>
      <c r="KO48" s="272"/>
      <c r="KP48" s="272"/>
      <c r="KQ48" s="272"/>
      <c r="KR48" s="272"/>
      <c r="KS48" s="272"/>
      <c r="KT48" s="272"/>
      <c r="KU48" s="272"/>
      <c r="KV48" s="272"/>
      <c r="KW48" s="272"/>
      <c r="KX48" s="272"/>
      <c r="KY48" s="272"/>
      <c r="KZ48" s="272"/>
      <c r="LA48" s="272"/>
      <c r="LB48" s="272"/>
      <c r="LC48" s="272"/>
      <c r="LD48" s="272"/>
      <c r="LE48" s="272"/>
      <c r="LF48" s="272"/>
      <c r="LG48" s="272"/>
      <c r="LH48" s="272"/>
      <c r="LI48" s="272"/>
      <c r="LJ48" s="272"/>
      <c r="LK48" s="272"/>
      <c r="LL48" s="272"/>
      <c r="LM48" s="272"/>
      <c r="LN48" s="272"/>
      <c r="LO48" s="272"/>
      <c r="LP48" s="272"/>
      <c r="LQ48" s="272"/>
      <c r="LR48" s="272"/>
      <c r="LS48" s="272"/>
      <c r="LT48" s="272"/>
      <c r="LU48" s="272"/>
      <c r="LV48" s="272"/>
      <c r="LW48" s="272"/>
      <c r="LX48" s="272"/>
      <c r="LY48" s="272"/>
      <c r="LZ48" s="272"/>
      <c r="MA48" s="272"/>
      <c r="MB48" s="272"/>
      <c r="MC48" s="272"/>
      <c r="MD48" s="272"/>
      <c r="ME48" s="272"/>
      <c r="MF48" s="272"/>
      <c r="MG48" s="272"/>
      <c r="MH48" s="272"/>
      <c r="MI48" s="272"/>
      <c r="MJ48" s="272"/>
      <c r="MK48" s="272"/>
      <c r="ML48" s="272"/>
      <c r="MM48" s="272"/>
      <c r="MN48" s="272"/>
      <c r="MO48" s="272"/>
      <c r="MP48" s="272"/>
      <c r="MQ48" s="272"/>
      <c r="MR48" s="272"/>
      <c r="MS48" s="272"/>
      <c r="MT48" s="272"/>
      <c r="MU48" s="272"/>
      <c r="MV48" s="272"/>
      <c r="MW48" s="272"/>
      <c r="MX48" s="272"/>
      <c r="MY48" s="272"/>
      <c r="MZ48" s="272"/>
      <c r="NA48" s="272"/>
      <c r="NB48" s="272"/>
      <c r="NC48" s="272"/>
      <c r="ND48" s="272"/>
      <c r="NE48" s="272"/>
      <c r="NF48" s="272"/>
      <c r="NG48" s="272"/>
      <c r="NH48" s="272"/>
      <c r="NI48" s="272"/>
      <c r="NJ48" s="272"/>
      <c r="NK48" s="272"/>
      <c r="NL48" s="272"/>
      <c r="NM48" s="272"/>
      <c r="NN48" s="272"/>
      <c r="NO48" s="272"/>
      <c r="NP48" s="272"/>
      <c r="NQ48" s="272"/>
      <c r="NR48" s="272"/>
      <c r="NS48" s="272"/>
      <c r="NT48" s="272"/>
      <c r="NU48" s="272"/>
      <c r="NV48" s="272"/>
      <c r="NW48" s="272"/>
      <c r="NX48" s="272"/>
      <c r="NY48" s="272"/>
      <c r="NZ48" s="272"/>
      <c r="OA48" s="272"/>
      <c r="OB48" s="272"/>
      <c r="OC48" s="272"/>
      <c r="OD48" s="272"/>
      <c r="OE48" s="272"/>
      <c r="OF48" s="272"/>
      <c r="OG48" s="272"/>
      <c r="OH48" s="272"/>
      <c r="OI48" s="272"/>
      <c r="OJ48" s="272"/>
      <c r="OK48" s="272"/>
      <c r="OL48" s="272"/>
      <c r="OM48" s="272"/>
      <c r="ON48" s="272"/>
      <c r="OO48" s="272"/>
      <c r="OP48" s="272"/>
      <c r="OQ48" s="272"/>
      <c r="OR48" s="272"/>
      <c r="OS48" s="272"/>
      <c r="OT48" s="272"/>
      <c r="OU48" s="272"/>
      <c r="OV48" s="272"/>
      <c r="OW48" s="272"/>
      <c r="OX48" s="272"/>
      <c r="OY48" s="272"/>
      <c r="OZ48" s="272"/>
      <c r="PA48" s="272"/>
      <c r="PB48" s="272"/>
      <c r="PC48" s="272"/>
      <c r="PD48" s="272"/>
      <c r="PE48" s="272"/>
      <c r="PF48" s="272"/>
      <c r="PG48" s="272"/>
      <c r="PH48" s="272"/>
      <c r="PI48" s="272"/>
      <c r="PJ48" s="272"/>
      <c r="PK48" s="272"/>
      <c r="PL48" s="272"/>
      <c r="PM48" s="272"/>
      <c r="PN48" s="272"/>
      <c r="PO48" s="272"/>
      <c r="PP48" s="272"/>
      <c r="PQ48" s="272"/>
      <c r="PR48" s="272"/>
      <c r="PS48" s="272"/>
      <c r="PT48" s="272"/>
      <c r="PU48" s="272"/>
      <c r="PV48" s="272"/>
      <c r="PW48" s="272"/>
      <c r="PX48" s="272"/>
      <c r="PY48" s="272"/>
      <c r="PZ48" s="272"/>
      <c r="QA48" s="272"/>
      <c r="QB48" s="272"/>
      <c r="QC48" s="272"/>
      <c r="QD48" s="272"/>
      <c r="QE48" s="272"/>
      <c r="QF48" s="272"/>
      <c r="QG48" s="272"/>
      <c r="QH48" s="272"/>
      <c r="QI48" s="272"/>
      <c r="QJ48" s="272"/>
      <c r="QK48" s="272"/>
      <c r="QL48" s="272"/>
      <c r="QM48" s="272"/>
      <c r="QN48" s="272"/>
      <c r="QO48" s="272"/>
      <c r="QP48" s="272"/>
      <c r="QQ48" s="272"/>
      <c r="QR48" s="272"/>
      <c r="QS48" s="272"/>
      <c r="QT48" s="272"/>
      <c r="QU48" s="272"/>
      <c r="QV48" s="272"/>
      <c r="QW48" s="272"/>
      <c r="QX48" s="272"/>
      <c r="QY48" s="272"/>
      <c r="QZ48" s="272"/>
      <c r="RA48" s="272"/>
      <c r="RB48" s="272"/>
      <c r="RC48" s="272"/>
      <c r="RD48" s="272"/>
      <c r="RE48" s="272"/>
      <c r="RF48" s="272"/>
      <c r="RG48" s="272"/>
      <c r="RH48" s="272"/>
      <c r="RI48" s="272"/>
      <c r="RJ48" s="272"/>
      <c r="RK48" s="272"/>
      <c r="RL48" s="272"/>
      <c r="RM48" s="272"/>
      <c r="RN48" s="272"/>
      <c r="RO48" s="272"/>
      <c r="RP48" s="272"/>
      <c r="RQ48" s="272"/>
      <c r="RR48" s="272"/>
      <c r="RS48" s="272"/>
      <c r="RT48" s="272"/>
      <c r="RU48" s="272"/>
      <c r="RV48" s="272"/>
      <c r="RW48" s="272"/>
      <c r="RX48" s="272"/>
      <c r="RY48" s="272"/>
      <c r="RZ48" s="272"/>
      <c r="SA48" s="272"/>
      <c r="SB48" s="272"/>
      <c r="SC48" s="272"/>
      <c r="SD48" s="272"/>
      <c r="SE48" s="272"/>
      <c r="SF48" s="272"/>
      <c r="SG48" s="272"/>
      <c r="SH48" s="272"/>
      <c r="SI48" s="272"/>
      <c r="SJ48" s="272"/>
      <c r="SK48" s="272"/>
      <c r="SL48" s="272"/>
      <c r="SM48" s="272"/>
      <c r="SN48" s="272"/>
      <c r="SO48" s="272"/>
      <c r="SP48" s="272"/>
      <c r="SQ48" s="272"/>
      <c r="SR48" s="272"/>
      <c r="SS48" s="272"/>
      <c r="ST48" s="272"/>
      <c r="SU48" s="272"/>
      <c r="SV48" s="272"/>
      <c r="SW48" s="272"/>
      <c r="SX48" s="272"/>
      <c r="SY48" s="272"/>
      <c r="SZ48" s="272"/>
      <c r="TA48" s="272"/>
      <c r="TB48" s="272"/>
      <c r="TC48" s="272"/>
      <c r="TD48" s="272"/>
      <c r="TE48" s="272"/>
      <c r="TF48" s="272"/>
      <c r="TG48" s="272"/>
      <c r="TH48" s="272"/>
      <c r="TI48" s="272"/>
      <c r="TJ48" s="272"/>
      <c r="TK48" s="272"/>
      <c r="TL48" s="272"/>
      <c r="TM48" s="272"/>
      <c r="TN48" s="272"/>
      <c r="TO48" s="272"/>
      <c r="TP48" s="272"/>
      <c r="TQ48" s="272"/>
      <c r="TR48" s="272"/>
      <c r="TS48" s="272"/>
      <c r="TT48" s="272"/>
      <c r="TU48" s="272"/>
      <c r="TV48" s="272"/>
      <c r="TW48" s="272"/>
      <c r="TX48" s="272"/>
      <c r="TY48" s="272"/>
      <c r="TZ48" s="272"/>
      <c r="UA48" s="272"/>
      <c r="UB48" s="272"/>
      <c r="UC48" s="272"/>
      <c r="UD48" s="272"/>
      <c r="UE48" s="272"/>
      <c r="UF48" s="272"/>
      <c r="UG48" s="272"/>
      <c r="UH48" s="272"/>
      <c r="UI48" s="272"/>
      <c r="UJ48" s="272"/>
      <c r="UK48" s="272"/>
      <c r="UL48" s="272"/>
      <c r="UM48" s="272"/>
      <c r="UN48" s="272"/>
      <c r="UO48" s="272"/>
      <c r="UP48" s="272"/>
      <c r="UQ48" s="272"/>
      <c r="UR48" s="272"/>
      <c r="US48" s="272"/>
      <c r="UT48" s="272"/>
      <c r="UU48" s="272"/>
      <c r="UV48" s="272"/>
      <c r="UW48" s="272"/>
      <c r="UX48" s="272"/>
      <c r="UY48" s="272"/>
      <c r="UZ48" s="272"/>
      <c r="VA48" s="272"/>
      <c r="VB48" s="272"/>
      <c r="VC48" s="272"/>
      <c r="VD48" s="272"/>
      <c r="VE48" s="272"/>
      <c r="VF48" s="272"/>
      <c r="VG48" s="272"/>
      <c r="VH48" s="272"/>
      <c r="VI48" s="272"/>
      <c r="VJ48" s="272"/>
      <c r="VK48" s="272"/>
      <c r="VL48" s="272"/>
      <c r="VM48" s="272"/>
      <c r="VN48" s="272"/>
      <c r="VO48" s="272"/>
      <c r="VP48" s="272"/>
      <c r="VQ48" s="272"/>
      <c r="VR48" s="272"/>
      <c r="VS48" s="272"/>
      <c r="VT48" s="272"/>
      <c r="VU48" s="272"/>
      <c r="VV48" s="272"/>
      <c r="VW48" s="272"/>
      <c r="VX48" s="272"/>
      <c r="VY48" s="272"/>
      <c r="VZ48" s="272"/>
      <c r="WA48" s="272"/>
      <c r="WB48" s="272"/>
      <c r="WC48" s="272"/>
      <c r="WD48" s="272"/>
      <c r="WE48" s="272"/>
      <c r="WF48" s="272"/>
      <c r="WG48" s="272"/>
      <c r="WH48" s="272"/>
      <c r="WI48" s="272"/>
      <c r="WJ48" s="272"/>
      <c r="WK48" s="272"/>
      <c r="WL48" s="272"/>
      <c r="WM48" s="272"/>
      <c r="WN48" s="272"/>
      <c r="WO48" s="272"/>
      <c r="WP48" s="272"/>
      <c r="WQ48" s="272"/>
      <c r="WR48" s="272"/>
      <c r="WS48" s="272"/>
      <c r="WT48" s="272"/>
      <c r="WU48" s="272"/>
      <c r="WV48" s="272"/>
      <c r="WW48" s="272"/>
      <c r="WX48" s="272"/>
      <c r="WY48" s="272"/>
      <c r="WZ48" s="272"/>
      <c r="XA48" s="272"/>
      <c r="XB48" s="272"/>
      <c r="XC48" s="272"/>
      <c r="XD48" s="272"/>
      <c r="XE48" s="272"/>
      <c r="XF48" s="272"/>
      <c r="XG48" s="272"/>
      <c r="XH48" s="272"/>
      <c r="XI48" s="272"/>
      <c r="XJ48" s="272"/>
      <c r="XK48" s="272"/>
      <c r="XL48" s="272"/>
      <c r="XM48" s="272"/>
      <c r="XN48" s="272"/>
      <c r="XO48" s="272"/>
      <c r="XP48" s="272"/>
      <c r="XQ48" s="272"/>
      <c r="XR48" s="272"/>
      <c r="XS48" s="272"/>
      <c r="XT48" s="272"/>
      <c r="XU48" s="272"/>
      <c r="XV48" s="272"/>
      <c r="XW48" s="272"/>
      <c r="XX48" s="272"/>
      <c r="XY48" s="272"/>
      <c r="XZ48" s="272"/>
      <c r="YA48" s="272"/>
      <c r="YB48" s="272"/>
      <c r="YC48" s="272"/>
      <c r="YD48" s="272"/>
      <c r="YE48" s="272"/>
      <c r="YF48" s="272"/>
      <c r="YG48" s="272"/>
      <c r="YH48" s="272"/>
      <c r="YI48" s="272"/>
      <c r="YJ48" s="272"/>
      <c r="YK48" s="272"/>
      <c r="YL48" s="272"/>
      <c r="YM48" s="272"/>
      <c r="YN48" s="272"/>
      <c r="YO48" s="272"/>
      <c r="YP48" s="272"/>
      <c r="YQ48" s="272"/>
      <c r="YR48" s="272"/>
      <c r="YS48" s="272"/>
      <c r="YT48" s="272"/>
      <c r="YU48" s="272"/>
      <c r="YV48" s="272"/>
      <c r="YW48" s="272"/>
      <c r="YX48" s="272"/>
      <c r="YY48" s="272"/>
      <c r="YZ48" s="272"/>
      <c r="ZA48" s="272"/>
      <c r="ZB48" s="272"/>
      <c r="ZC48" s="272"/>
      <c r="ZD48" s="272"/>
      <c r="ZE48" s="272"/>
      <c r="ZF48" s="272"/>
      <c r="ZG48" s="272"/>
      <c r="ZH48" s="272"/>
      <c r="ZI48" s="272"/>
      <c r="ZJ48" s="272"/>
      <c r="ZK48" s="272"/>
      <c r="ZL48" s="272"/>
      <c r="ZM48" s="272"/>
      <c r="ZN48" s="272"/>
      <c r="ZO48" s="272"/>
      <c r="ZP48" s="272"/>
      <c r="ZQ48" s="272"/>
      <c r="ZR48" s="272"/>
      <c r="ZS48" s="272"/>
      <c r="ZT48" s="272"/>
    </row>
    <row r="49" spans="1:696" s="62" customFormat="1" ht="13.5" thickBot="1">
      <c r="A49" s="613"/>
      <c r="B49" s="616"/>
      <c r="C49" s="58" t="s">
        <v>54</v>
      </c>
      <c r="D49" s="58"/>
      <c r="E49" s="60"/>
      <c r="F49" s="60"/>
      <c r="G49" s="264"/>
      <c r="H49" s="264"/>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2"/>
      <c r="FF49" s="272"/>
      <c r="FG49" s="272"/>
      <c r="FH49" s="272"/>
      <c r="FI49" s="272"/>
      <c r="FJ49" s="272"/>
      <c r="FK49" s="272"/>
      <c r="FL49" s="272"/>
      <c r="FM49" s="272"/>
      <c r="FN49" s="272"/>
      <c r="FO49" s="272"/>
      <c r="FP49" s="272"/>
      <c r="FQ49" s="272"/>
      <c r="FR49" s="272"/>
      <c r="FS49" s="272"/>
      <c r="FT49" s="272"/>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c r="HE49" s="272"/>
      <c r="HF49" s="272"/>
      <c r="HG49" s="272"/>
      <c r="HH49" s="272"/>
      <c r="HI49" s="272"/>
      <c r="HJ49" s="272"/>
      <c r="HK49" s="272"/>
      <c r="HL49" s="272"/>
      <c r="HM49" s="272"/>
      <c r="HN49" s="272"/>
      <c r="HO49" s="272"/>
      <c r="HP49" s="272"/>
      <c r="HQ49" s="272"/>
      <c r="HR49" s="272"/>
      <c r="HS49" s="272"/>
      <c r="HT49" s="272"/>
      <c r="HU49" s="272"/>
      <c r="HV49" s="272"/>
      <c r="HW49" s="272"/>
      <c r="HX49" s="272"/>
      <c r="HY49" s="272"/>
      <c r="HZ49" s="272"/>
      <c r="IA49" s="272"/>
      <c r="IB49" s="272"/>
      <c r="IC49" s="272"/>
      <c r="ID49" s="272"/>
      <c r="IE49" s="272"/>
      <c r="IF49" s="272"/>
      <c r="IG49" s="272"/>
      <c r="IH49" s="272"/>
      <c r="II49" s="272"/>
      <c r="IJ49" s="272"/>
      <c r="IK49" s="272"/>
      <c r="IL49" s="272"/>
      <c r="IM49" s="272"/>
      <c r="IN49" s="272"/>
      <c r="IO49" s="272"/>
      <c r="IP49" s="272"/>
      <c r="IQ49" s="272"/>
      <c r="IR49" s="272"/>
      <c r="IS49" s="272"/>
      <c r="IT49" s="272"/>
      <c r="IU49" s="272"/>
      <c r="IV49" s="272"/>
      <c r="IW49" s="272"/>
      <c r="IX49" s="272"/>
      <c r="IY49" s="272"/>
      <c r="IZ49" s="272"/>
      <c r="JA49" s="272"/>
      <c r="JB49" s="272"/>
      <c r="JC49" s="272"/>
      <c r="JD49" s="272"/>
      <c r="JE49" s="272"/>
      <c r="JF49" s="272"/>
      <c r="JG49" s="272"/>
      <c r="JH49" s="272"/>
      <c r="JI49" s="272"/>
      <c r="JJ49" s="272"/>
      <c r="JK49" s="272"/>
      <c r="JL49" s="272"/>
      <c r="JM49" s="272"/>
      <c r="JN49" s="272"/>
      <c r="JO49" s="272"/>
      <c r="JP49" s="272"/>
      <c r="JQ49" s="272"/>
      <c r="JR49" s="272"/>
      <c r="JS49" s="272"/>
      <c r="JT49" s="272"/>
      <c r="JU49" s="272"/>
      <c r="JV49" s="272"/>
      <c r="JW49" s="272"/>
      <c r="JX49" s="272"/>
      <c r="JY49" s="272"/>
      <c r="JZ49" s="272"/>
      <c r="KA49" s="272"/>
      <c r="KB49" s="272"/>
      <c r="KC49" s="272"/>
      <c r="KD49" s="272"/>
      <c r="KE49" s="272"/>
      <c r="KF49" s="272"/>
      <c r="KG49" s="272"/>
      <c r="KH49" s="272"/>
      <c r="KI49" s="272"/>
      <c r="KJ49" s="272"/>
      <c r="KK49" s="272"/>
      <c r="KL49" s="272"/>
      <c r="KM49" s="272"/>
      <c r="KN49" s="272"/>
      <c r="KO49" s="272"/>
      <c r="KP49" s="272"/>
      <c r="KQ49" s="272"/>
      <c r="KR49" s="272"/>
      <c r="KS49" s="272"/>
      <c r="KT49" s="272"/>
      <c r="KU49" s="272"/>
      <c r="KV49" s="272"/>
      <c r="KW49" s="272"/>
      <c r="KX49" s="272"/>
      <c r="KY49" s="272"/>
      <c r="KZ49" s="272"/>
      <c r="LA49" s="272"/>
      <c r="LB49" s="272"/>
      <c r="LC49" s="272"/>
      <c r="LD49" s="272"/>
      <c r="LE49" s="272"/>
      <c r="LF49" s="272"/>
      <c r="LG49" s="272"/>
      <c r="LH49" s="272"/>
      <c r="LI49" s="272"/>
      <c r="LJ49" s="272"/>
      <c r="LK49" s="272"/>
      <c r="LL49" s="272"/>
      <c r="LM49" s="272"/>
      <c r="LN49" s="272"/>
      <c r="LO49" s="272"/>
      <c r="LP49" s="272"/>
      <c r="LQ49" s="272"/>
      <c r="LR49" s="272"/>
      <c r="LS49" s="272"/>
      <c r="LT49" s="272"/>
      <c r="LU49" s="272"/>
      <c r="LV49" s="272"/>
      <c r="LW49" s="272"/>
      <c r="LX49" s="272"/>
      <c r="LY49" s="272"/>
      <c r="LZ49" s="272"/>
      <c r="MA49" s="272"/>
      <c r="MB49" s="272"/>
      <c r="MC49" s="272"/>
      <c r="MD49" s="272"/>
      <c r="ME49" s="272"/>
      <c r="MF49" s="272"/>
      <c r="MG49" s="272"/>
      <c r="MH49" s="272"/>
      <c r="MI49" s="272"/>
      <c r="MJ49" s="272"/>
      <c r="MK49" s="272"/>
      <c r="ML49" s="272"/>
      <c r="MM49" s="272"/>
      <c r="MN49" s="272"/>
      <c r="MO49" s="272"/>
      <c r="MP49" s="272"/>
      <c r="MQ49" s="272"/>
      <c r="MR49" s="272"/>
      <c r="MS49" s="272"/>
      <c r="MT49" s="272"/>
      <c r="MU49" s="272"/>
      <c r="MV49" s="272"/>
      <c r="MW49" s="272"/>
      <c r="MX49" s="272"/>
      <c r="MY49" s="272"/>
      <c r="MZ49" s="272"/>
      <c r="NA49" s="272"/>
      <c r="NB49" s="272"/>
      <c r="NC49" s="272"/>
      <c r="ND49" s="272"/>
      <c r="NE49" s="272"/>
      <c r="NF49" s="272"/>
      <c r="NG49" s="272"/>
      <c r="NH49" s="272"/>
      <c r="NI49" s="272"/>
      <c r="NJ49" s="272"/>
      <c r="NK49" s="272"/>
      <c r="NL49" s="272"/>
      <c r="NM49" s="272"/>
      <c r="NN49" s="272"/>
      <c r="NO49" s="272"/>
      <c r="NP49" s="272"/>
      <c r="NQ49" s="272"/>
      <c r="NR49" s="272"/>
      <c r="NS49" s="272"/>
      <c r="NT49" s="272"/>
      <c r="NU49" s="272"/>
      <c r="NV49" s="272"/>
      <c r="NW49" s="272"/>
      <c r="NX49" s="272"/>
      <c r="NY49" s="272"/>
      <c r="NZ49" s="272"/>
      <c r="OA49" s="272"/>
      <c r="OB49" s="272"/>
      <c r="OC49" s="272"/>
      <c r="OD49" s="272"/>
      <c r="OE49" s="272"/>
      <c r="OF49" s="272"/>
      <c r="OG49" s="272"/>
      <c r="OH49" s="272"/>
      <c r="OI49" s="272"/>
      <c r="OJ49" s="272"/>
      <c r="OK49" s="272"/>
      <c r="OL49" s="272"/>
      <c r="OM49" s="272"/>
      <c r="ON49" s="272"/>
      <c r="OO49" s="272"/>
      <c r="OP49" s="272"/>
      <c r="OQ49" s="272"/>
      <c r="OR49" s="272"/>
      <c r="OS49" s="272"/>
      <c r="OT49" s="272"/>
      <c r="OU49" s="272"/>
      <c r="OV49" s="272"/>
      <c r="OW49" s="272"/>
      <c r="OX49" s="272"/>
      <c r="OY49" s="272"/>
      <c r="OZ49" s="272"/>
      <c r="PA49" s="272"/>
      <c r="PB49" s="272"/>
      <c r="PC49" s="272"/>
      <c r="PD49" s="272"/>
      <c r="PE49" s="272"/>
      <c r="PF49" s="272"/>
      <c r="PG49" s="272"/>
      <c r="PH49" s="272"/>
      <c r="PI49" s="272"/>
      <c r="PJ49" s="272"/>
      <c r="PK49" s="272"/>
      <c r="PL49" s="272"/>
      <c r="PM49" s="272"/>
      <c r="PN49" s="272"/>
      <c r="PO49" s="272"/>
      <c r="PP49" s="272"/>
      <c r="PQ49" s="272"/>
      <c r="PR49" s="272"/>
      <c r="PS49" s="272"/>
      <c r="PT49" s="272"/>
      <c r="PU49" s="272"/>
      <c r="PV49" s="272"/>
      <c r="PW49" s="272"/>
      <c r="PX49" s="272"/>
      <c r="PY49" s="272"/>
      <c r="PZ49" s="272"/>
      <c r="QA49" s="272"/>
      <c r="QB49" s="272"/>
      <c r="QC49" s="272"/>
      <c r="QD49" s="272"/>
      <c r="QE49" s="272"/>
      <c r="QF49" s="272"/>
      <c r="QG49" s="272"/>
      <c r="QH49" s="272"/>
      <c r="QI49" s="272"/>
      <c r="QJ49" s="272"/>
      <c r="QK49" s="272"/>
      <c r="QL49" s="272"/>
      <c r="QM49" s="272"/>
      <c r="QN49" s="272"/>
      <c r="QO49" s="272"/>
      <c r="QP49" s="272"/>
      <c r="QQ49" s="272"/>
      <c r="QR49" s="272"/>
      <c r="QS49" s="272"/>
      <c r="QT49" s="272"/>
      <c r="QU49" s="272"/>
      <c r="QV49" s="272"/>
      <c r="QW49" s="272"/>
      <c r="QX49" s="272"/>
      <c r="QY49" s="272"/>
      <c r="QZ49" s="272"/>
      <c r="RA49" s="272"/>
      <c r="RB49" s="272"/>
      <c r="RC49" s="272"/>
      <c r="RD49" s="272"/>
      <c r="RE49" s="272"/>
      <c r="RF49" s="272"/>
      <c r="RG49" s="272"/>
      <c r="RH49" s="272"/>
      <c r="RI49" s="272"/>
      <c r="RJ49" s="272"/>
      <c r="RK49" s="272"/>
      <c r="RL49" s="272"/>
      <c r="RM49" s="272"/>
      <c r="RN49" s="272"/>
      <c r="RO49" s="272"/>
      <c r="RP49" s="272"/>
      <c r="RQ49" s="272"/>
      <c r="RR49" s="272"/>
      <c r="RS49" s="272"/>
      <c r="RT49" s="272"/>
      <c r="RU49" s="272"/>
      <c r="RV49" s="272"/>
      <c r="RW49" s="272"/>
      <c r="RX49" s="272"/>
      <c r="RY49" s="272"/>
      <c r="RZ49" s="272"/>
      <c r="SA49" s="272"/>
      <c r="SB49" s="272"/>
      <c r="SC49" s="272"/>
      <c r="SD49" s="272"/>
      <c r="SE49" s="272"/>
      <c r="SF49" s="272"/>
      <c r="SG49" s="272"/>
      <c r="SH49" s="272"/>
      <c r="SI49" s="272"/>
      <c r="SJ49" s="272"/>
      <c r="SK49" s="272"/>
      <c r="SL49" s="272"/>
      <c r="SM49" s="272"/>
      <c r="SN49" s="272"/>
      <c r="SO49" s="272"/>
      <c r="SP49" s="272"/>
      <c r="SQ49" s="272"/>
      <c r="SR49" s="272"/>
      <c r="SS49" s="272"/>
      <c r="ST49" s="272"/>
      <c r="SU49" s="272"/>
      <c r="SV49" s="272"/>
      <c r="SW49" s="272"/>
      <c r="SX49" s="272"/>
      <c r="SY49" s="272"/>
      <c r="SZ49" s="272"/>
      <c r="TA49" s="272"/>
      <c r="TB49" s="272"/>
      <c r="TC49" s="272"/>
      <c r="TD49" s="272"/>
      <c r="TE49" s="272"/>
      <c r="TF49" s="272"/>
      <c r="TG49" s="272"/>
      <c r="TH49" s="272"/>
      <c r="TI49" s="272"/>
      <c r="TJ49" s="272"/>
      <c r="TK49" s="272"/>
      <c r="TL49" s="272"/>
      <c r="TM49" s="272"/>
      <c r="TN49" s="272"/>
      <c r="TO49" s="272"/>
      <c r="TP49" s="272"/>
      <c r="TQ49" s="272"/>
      <c r="TR49" s="272"/>
      <c r="TS49" s="272"/>
      <c r="TT49" s="272"/>
      <c r="TU49" s="272"/>
      <c r="TV49" s="272"/>
      <c r="TW49" s="272"/>
      <c r="TX49" s="272"/>
      <c r="TY49" s="272"/>
      <c r="TZ49" s="272"/>
      <c r="UA49" s="272"/>
      <c r="UB49" s="272"/>
      <c r="UC49" s="272"/>
      <c r="UD49" s="272"/>
      <c r="UE49" s="272"/>
      <c r="UF49" s="272"/>
      <c r="UG49" s="272"/>
      <c r="UH49" s="272"/>
      <c r="UI49" s="272"/>
      <c r="UJ49" s="272"/>
      <c r="UK49" s="272"/>
      <c r="UL49" s="272"/>
      <c r="UM49" s="272"/>
      <c r="UN49" s="272"/>
      <c r="UO49" s="272"/>
      <c r="UP49" s="272"/>
      <c r="UQ49" s="272"/>
      <c r="UR49" s="272"/>
      <c r="US49" s="272"/>
      <c r="UT49" s="272"/>
      <c r="UU49" s="272"/>
      <c r="UV49" s="272"/>
      <c r="UW49" s="272"/>
      <c r="UX49" s="272"/>
      <c r="UY49" s="272"/>
      <c r="UZ49" s="272"/>
      <c r="VA49" s="272"/>
      <c r="VB49" s="272"/>
      <c r="VC49" s="272"/>
      <c r="VD49" s="272"/>
      <c r="VE49" s="272"/>
      <c r="VF49" s="272"/>
      <c r="VG49" s="272"/>
      <c r="VH49" s="272"/>
      <c r="VI49" s="272"/>
      <c r="VJ49" s="272"/>
      <c r="VK49" s="272"/>
      <c r="VL49" s="272"/>
      <c r="VM49" s="272"/>
      <c r="VN49" s="272"/>
      <c r="VO49" s="272"/>
      <c r="VP49" s="272"/>
      <c r="VQ49" s="272"/>
      <c r="VR49" s="272"/>
      <c r="VS49" s="272"/>
      <c r="VT49" s="272"/>
      <c r="VU49" s="272"/>
      <c r="VV49" s="272"/>
      <c r="VW49" s="272"/>
      <c r="VX49" s="272"/>
      <c r="VY49" s="272"/>
      <c r="VZ49" s="272"/>
      <c r="WA49" s="272"/>
      <c r="WB49" s="272"/>
      <c r="WC49" s="272"/>
      <c r="WD49" s="272"/>
      <c r="WE49" s="272"/>
      <c r="WF49" s="272"/>
      <c r="WG49" s="272"/>
      <c r="WH49" s="272"/>
      <c r="WI49" s="272"/>
      <c r="WJ49" s="272"/>
      <c r="WK49" s="272"/>
      <c r="WL49" s="272"/>
      <c r="WM49" s="272"/>
      <c r="WN49" s="272"/>
      <c r="WO49" s="272"/>
      <c r="WP49" s="272"/>
      <c r="WQ49" s="272"/>
      <c r="WR49" s="272"/>
      <c r="WS49" s="272"/>
      <c r="WT49" s="272"/>
      <c r="WU49" s="272"/>
      <c r="WV49" s="272"/>
      <c r="WW49" s="272"/>
      <c r="WX49" s="272"/>
      <c r="WY49" s="272"/>
      <c r="WZ49" s="272"/>
      <c r="XA49" s="272"/>
      <c r="XB49" s="272"/>
      <c r="XC49" s="272"/>
      <c r="XD49" s="272"/>
      <c r="XE49" s="272"/>
      <c r="XF49" s="272"/>
      <c r="XG49" s="272"/>
      <c r="XH49" s="272"/>
      <c r="XI49" s="272"/>
      <c r="XJ49" s="272"/>
      <c r="XK49" s="272"/>
      <c r="XL49" s="272"/>
      <c r="XM49" s="272"/>
      <c r="XN49" s="272"/>
      <c r="XO49" s="272"/>
      <c r="XP49" s="272"/>
      <c r="XQ49" s="272"/>
      <c r="XR49" s="272"/>
      <c r="XS49" s="272"/>
      <c r="XT49" s="272"/>
      <c r="XU49" s="272"/>
      <c r="XV49" s="272"/>
      <c r="XW49" s="272"/>
      <c r="XX49" s="272"/>
      <c r="XY49" s="272"/>
      <c r="XZ49" s="272"/>
      <c r="YA49" s="272"/>
      <c r="YB49" s="272"/>
      <c r="YC49" s="272"/>
      <c r="YD49" s="272"/>
      <c r="YE49" s="272"/>
      <c r="YF49" s="272"/>
      <c r="YG49" s="272"/>
      <c r="YH49" s="272"/>
      <c r="YI49" s="272"/>
      <c r="YJ49" s="272"/>
      <c r="YK49" s="272"/>
      <c r="YL49" s="272"/>
      <c r="YM49" s="272"/>
      <c r="YN49" s="272"/>
      <c r="YO49" s="272"/>
      <c r="YP49" s="272"/>
      <c r="YQ49" s="272"/>
      <c r="YR49" s="272"/>
      <c r="YS49" s="272"/>
      <c r="YT49" s="272"/>
      <c r="YU49" s="272"/>
      <c r="YV49" s="272"/>
      <c r="YW49" s="272"/>
      <c r="YX49" s="272"/>
      <c r="YY49" s="272"/>
      <c r="YZ49" s="272"/>
      <c r="ZA49" s="272"/>
      <c r="ZB49" s="272"/>
      <c r="ZC49" s="272"/>
      <c r="ZD49" s="272"/>
      <c r="ZE49" s="272"/>
      <c r="ZF49" s="272"/>
      <c r="ZG49" s="272"/>
      <c r="ZH49" s="272"/>
      <c r="ZI49" s="272"/>
      <c r="ZJ49" s="272"/>
      <c r="ZK49" s="272"/>
      <c r="ZL49" s="272"/>
      <c r="ZM49" s="272"/>
      <c r="ZN49" s="272"/>
      <c r="ZO49" s="272"/>
      <c r="ZP49" s="272"/>
      <c r="ZQ49" s="272"/>
      <c r="ZR49" s="272"/>
      <c r="ZS49" s="272"/>
      <c r="ZT49" s="272"/>
    </row>
    <row r="50" spans="1:8" ht="26.25" thickBot="1">
      <c r="A50" s="3" t="s">
        <v>4</v>
      </c>
      <c r="B50" s="4"/>
      <c r="C50" s="4"/>
      <c r="D50" s="4"/>
      <c r="E50" s="96"/>
      <c r="F50" s="4"/>
      <c r="G50" s="4"/>
      <c r="H50" s="4"/>
    </row>
    <row r="51" spans="1:696" s="61" customFormat="1" ht="131.25" customHeight="1">
      <c r="A51" s="88" t="s">
        <v>5</v>
      </c>
      <c r="B51" s="87" t="s">
        <v>27</v>
      </c>
      <c r="C51" s="608" t="s">
        <v>52</v>
      </c>
      <c r="D51" s="605"/>
      <c r="E51" s="640"/>
      <c r="F51" s="618"/>
      <c r="G51" s="628"/>
      <c r="H51" s="628"/>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c r="CC51" s="272"/>
      <c r="CD51" s="272"/>
      <c r="CE51" s="272"/>
      <c r="CF51" s="272"/>
      <c r="CG51" s="272"/>
      <c r="CH51" s="272"/>
      <c r="CI51" s="272"/>
      <c r="CJ51" s="272"/>
      <c r="CK51" s="272"/>
      <c r="CL51" s="272"/>
      <c r="CM51" s="272"/>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c r="EO51" s="272"/>
      <c r="EP51" s="272"/>
      <c r="EQ51" s="272"/>
      <c r="ER51" s="272"/>
      <c r="ES51" s="272"/>
      <c r="ET51" s="272"/>
      <c r="EU51" s="272"/>
      <c r="EV51" s="272"/>
      <c r="EW51" s="272"/>
      <c r="EX51" s="272"/>
      <c r="EY51" s="272"/>
      <c r="EZ51" s="272"/>
      <c r="FA51" s="272"/>
      <c r="FB51" s="272"/>
      <c r="FC51" s="272"/>
      <c r="FD51" s="272"/>
      <c r="FE51" s="272"/>
      <c r="FF51" s="272"/>
      <c r="FG51" s="272"/>
      <c r="FH51" s="272"/>
      <c r="FI51" s="272"/>
      <c r="FJ51" s="272"/>
      <c r="FK51" s="272"/>
      <c r="FL51" s="272"/>
      <c r="FM51" s="272"/>
      <c r="FN51" s="272"/>
      <c r="FO51" s="272"/>
      <c r="FP51" s="272"/>
      <c r="FQ51" s="272"/>
      <c r="FR51" s="272"/>
      <c r="FS51" s="272"/>
      <c r="FT51" s="272"/>
      <c r="FU51" s="272"/>
      <c r="FV51" s="272"/>
      <c r="FW51" s="272"/>
      <c r="FX51" s="272"/>
      <c r="FY51" s="272"/>
      <c r="FZ51" s="272"/>
      <c r="GA51" s="272"/>
      <c r="GB51" s="272"/>
      <c r="GC51" s="272"/>
      <c r="GD51" s="272"/>
      <c r="GE51" s="272"/>
      <c r="GF51" s="272"/>
      <c r="GG51" s="272"/>
      <c r="GH51" s="272"/>
      <c r="GI51" s="272"/>
      <c r="GJ51" s="272"/>
      <c r="GK51" s="272"/>
      <c r="GL51" s="272"/>
      <c r="GM51" s="272"/>
      <c r="GN51" s="272"/>
      <c r="GO51" s="272"/>
      <c r="GP51" s="272"/>
      <c r="GQ51" s="272"/>
      <c r="GR51" s="272"/>
      <c r="GS51" s="272"/>
      <c r="GT51" s="272"/>
      <c r="GU51" s="272"/>
      <c r="GV51" s="272"/>
      <c r="GW51" s="272"/>
      <c r="GX51" s="272"/>
      <c r="GY51" s="272"/>
      <c r="GZ51" s="272"/>
      <c r="HA51" s="272"/>
      <c r="HB51" s="272"/>
      <c r="HC51" s="272"/>
      <c r="HD51" s="272"/>
      <c r="HE51" s="272"/>
      <c r="HF51" s="272"/>
      <c r="HG51" s="272"/>
      <c r="HH51" s="272"/>
      <c r="HI51" s="272"/>
      <c r="HJ51" s="272"/>
      <c r="HK51" s="272"/>
      <c r="HL51" s="272"/>
      <c r="HM51" s="272"/>
      <c r="HN51" s="272"/>
      <c r="HO51" s="272"/>
      <c r="HP51" s="272"/>
      <c r="HQ51" s="272"/>
      <c r="HR51" s="272"/>
      <c r="HS51" s="272"/>
      <c r="HT51" s="272"/>
      <c r="HU51" s="272"/>
      <c r="HV51" s="272"/>
      <c r="HW51" s="272"/>
      <c r="HX51" s="272"/>
      <c r="HY51" s="272"/>
      <c r="HZ51" s="272"/>
      <c r="IA51" s="272"/>
      <c r="IB51" s="272"/>
      <c r="IC51" s="272"/>
      <c r="ID51" s="272"/>
      <c r="IE51" s="272"/>
      <c r="IF51" s="272"/>
      <c r="IG51" s="272"/>
      <c r="IH51" s="272"/>
      <c r="II51" s="272"/>
      <c r="IJ51" s="272"/>
      <c r="IK51" s="272"/>
      <c r="IL51" s="272"/>
      <c r="IM51" s="272"/>
      <c r="IN51" s="272"/>
      <c r="IO51" s="272"/>
      <c r="IP51" s="272"/>
      <c r="IQ51" s="272"/>
      <c r="IR51" s="272"/>
      <c r="IS51" s="272"/>
      <c r="IT51" s="272"/>
      <c r="IU51" s="272"/>
      <c r="IV51" s="272"/>
      <c r="IW51" s="272"/>
      <c r="IX51" s="272"/>
      <c r="IY51" s="272"/>
      <c r="IZ51" s="272"/>
      <c r="JA51" s="272"/>
      <c r="JB51" s="272"/>
      <c r="JC51" s="272"/>
      <c r="JD51" s="272"/>
      <c r="JE51" s="272"/>
      <c r="JF51" s="272"/>
      <c r="JG51" s="272"/>
      <c r="JH51" s="272"/>
      <c r="JI51" s="272"/>
      <c r="JJ51" s="272"/>
      <c r="JK51" s="272"/>
      <c r="JL51" s="272"/>
      <c r="JM51" s="272"/>
      <c r="JN51" s="272"/>
      <c r="JO51" s="272"/>
      <c r="JP51" s="272"/>
      <c r="JQ51" s="272"/>
      <c r="JR51" s="272"/>
      <c r="JS51" s="272"/>
      <c r="JT51" s="272"/>
      <c r="JU51" s="272"/>
      <c r="JV51" s="272"/>
      <c r="JW51" s="272"/>
      <c r="JX51" s="272"/>
      <c r="JY51" s="272"/>
      <c r="JZ51" s="272"/>
      <c r="KA51" s="272"/>
      <c r="KB51" s="272"/>
      <c r="KC51" s="272"/>
      <c r="KD51" s="272"/>
      <c r="KE51" s="272"/>
      <c r="KF51" s="272"/>
      <c r="KG51" s="272"/>
      <c r="KH51" s="272"/>
      <c r="KI51" s="272"/>
      <c r="KJ51" s="272"/>
      <c r="KK51" s="272"/>
      <c r="KL51" s="272"/>
      <c r="KM51" s="272"/>
      <c r="KN51" s="272"/>
      <c r="KO51" s="272"/>
      <c r="KP51" s="272"/>
      <c r="KQ51" s="272"/>
      <c r="KR51" s="272"/>
      <c r="KS51" s="272"/>
      <c r="KT51" s="272"/>
      <c r="KU51" s="272"/>
      <c r="KV51" s="272"/>
      <c r="KW51" s="272"/>
      <c r="KX51" s="272"/>
      <c r="KY51" s="272"/>
      <c r="KZ51" s="272"/>
      <c r="LA51" s="272"/>
      <c r="LB51" s="272"/>
      <c r="LC51" s="272"/>
      <c r="LD51" s="272"/>
      <c r="LE51" s="272"/>
      <c r="LF51" s="272"/>
      <c r="LG51" s="272"/>
      <c r="LH51" s="272"/>
      <c r="LI51" s="272"/>
      <c r="LJ51" s="272"/>
      <c r="LK51" s="272"/>
      <c r="LL51" s="272"/>
      <c r="LM51" s="272"/>
      <c r="LN51" s="272"/>
      <c r="LO51" s="272"/>
      <c r="LP51" s="272"/>
      <c r="LQ51" s="272"/>
      <c r="LR51" s="272"/>
      <c r="LS51" s="272"/>
      <c r="LT51" s="272"/>
      <c r="LU51" s="272"/>
      <c r="LV51" s="272"/>
      <c r="LW51" s="272"/>
      <c r="LX51" s="272"/>
      <c r="LY51" s="272"/>
      <c r="LZ51" s="272"/>
      <c r="MA51" s="272"/>
      <c r="MB51" s="272"/>
      <c r="MC51" s="272"/>
      <c r="MD51" s="272"/>
      <c r="ME51" s="272"/>
      <c r="MF51" s="272"/>
      <c r="MG51" s="272"/>
      <c r="MH51" s="272"/>
      <c r="MI51" s="272"/>
      <c r="MJ51" s="272"/>
      <c r="MK51" s="272"/>
      <c r="ML51" s="272"/>
      <c r="MM51" s="272"/>
      <c r="MN51" s="272"/>
      <c r="MO51" s="272"/>
      <c r="MP51" s="272"/>
      <c r="MQ51" s="272"/>
      <c r="MR51" s="272"/>
      <c r="MS51" s="272"/>
      <c r="MT51" s="272"/>
      <c r="MU51" s="272"/>
      <c r="MV51" s="272"/>
      <c r="MW51" s="272"/>
      <c r="MX51" s="272"/>
      <c r="MY51" s="272"/>
      <c r="MZ51" s="272"/>
      <c r="NA51" s="272"/>
      <c r="NB51" s="272"/>
      <c r="NC51" s="272"/>
      <c r="ND51" s="272"/>
      <c r="NE51" s="272"/>
      <c r="NF51" s="272"/>
      <c r="NG51" s="272"/>
      <c r="NH51" s="272"/>
      <c r="NI51" s="272"/>
      <c r="NJ51" s="272"/>
      <c r="NK51" s="272"/>
      <c r="NL51" s="272"/>
      <c r="NM51" s="272"/>
      <c r="NN51" s="272"/>
      <c r="NO51" s="272"/>
      <c r="NP51" s="272"/>
      <c r="NQ51" s="272"/>
      <c r="NR51" s="272"/>
      <c r="NS51" s="272"/>
      <c r="NT51" s="272"/>
      <c r="NU51" s="272"/>
      <c r="NV51" s="272"/>
      <c r="NW51" s="272"/>
      <c r="NX51" s="272"/>
      <c r="NY51" s="272"/>
      <c r="NZ51" s="272"/>
      <c r="OA51" s="272"/>
      <c r="OB51" s="272"/>
      <c r="OC51" s="272"/>
      <c r="OD51" s="272"/>
      <c r="OE51" s="272"/>
      <c r="OF51" s="272"/>
      <c r="OG51" s="272"/>
      <c r="OH51" s="272"/>
      <c r="OI51" s="272"/>
      <c r="OJ51" s="272"/>
      <c r="OK51" s="272"/>
      <c r="OL51" s="272"/>
      <c r="OM51" s="272"/>
      <c r="ON51" s="272"/>
      <c r="OO51" s="272"/>
      <c r="OP51" s="272"/>
      <c r="OQ51" s="272"/>
      <c r="OR51" s="272"/>
      <c r="OS51" s="272"/>
      <c r="OT51" s="272"/>
      <c r="OU51" s="272"/>
      <c r="OV51" s="272"/>
      <c r="OW51" s="272"/>
      <c r="OX51" s="272"/>
      <c r="OY51" s="272"/>
      <c r="OZ51" s="272"/>
      <c r="PA51" s="272"/>
      <c r="PB51" s="272"/>
      <c r="PC51" s="272"/>
      <c r="PD51" s="272"/>
      <c r="PE51" s="272"/>
      <c r="PF51" s="272"/>
      <c r="PG51" s="272"/>
      <c r="PH51" s="272"/>
      <c r="PI51" s="272"/>
      <c r="PJ51" s="272"/>
      <c r="PK51" s="272"/>
      <c r="PL51" s="272"/>
      <c r="PM51" s="272"/>
      <c r="PN51" s="272"/>
      <c r="PO51" s="272"/>
      <c r="PP51" s="272"/>
      <c r="PQ51" s="272"/>
      <c r="PR51" s="272"/>
      <c r="PS51" s="272"/>
      <c r="PT51" s="272"/>
      <c r="PU51" s="272"/>
      <c r="PV51" s="272"/>
      <c r="PW51" s="272"/>
      <c r="PX51" s="272"/>
      <c r="PY51" s="272"/>
      <c r="PZ51" s="272"/>
      <c r="QA51" s="272"/>
      <c r="QB51" s="272"/>
      <c r="QC51" s="272"/>
      <c r="QD51" s="272"/>
      <c r="QE51" s="272"/>
      <c r="QF51" s="272"/>
      <c r="QG51" s="272"/>
      <c r="QH51" s="272"/>
      <c r="QI51" s="272"/>
      <c r="QJ51" s="272"/>
      <c r="QK51" s="272"/>
      <c r="QL51" s="272"/>
      <c r="QM51" s="272"/>
      <c r="QN51" s="272"/>
      <c r="QO51" s="272"/>
      <c r="QP51" s="272"/>
      <c r="QQ51" s="272"/>
      <c r="QR51" s="272"/>
      <c r="QS51" s="272"/>
      <c r="QT51" s="272"/>
      <c r="QU51" s="272"/>
      <c r="QV51" s="272"/>
      <c r="QW51" s="272"/>
      <c r="QX51" s="272"/>
      <c r="QY51" s="272"/>
      <c r="QZ51" s="272"/>
      <c r="RA51" s="272"/>
      <c r="RB51" s="272"/>
      <c r="RC51" s="272"/>
      <c r="RD51" s="272"/>
      <c r="RE51" s="272"/>
      <c r="RF51" s="272"/>
      <c r="RG51" s="272"/>
      <c r="RH51" s="272"/>
      <c r="RI51" s="272"/>
      <c r="RJ51" s="272"/>
      <c r="RK51" s="272"/>
      <c r="RL51" s="272"/>
      <c r="RM51" s="272"/>
      <c r="RN51" s="272"/>
      <c r="RO51" s="272"/>
      <c r="RP51" s="272"/>
      <c r="RQ51" s="272"/>
      <c r="RR51" s="272"/>
      <c r="RS51" s="272"/>
      <c r="RT51" s="272"/>
      <c r="RU51" s="272"/>
      <c r="RV51" s="272"/>
      <c r="RW51" s="272"/>
      <c r="RX51" s="272"/>
      <c r="RY51" s="272"/>
      <c r="RZ51" s="272"/>
      <c r="SA51" s="272"/>
      <c r="SB51" s="272"/>
      <c r="SC51" s="272"/>
      <c r="SD51" s="272"/>
      <c r="SE51" s="272"/>
      <c r="SF51" s="272"/>
      <c r="SG51" s="272"/>
      <c r="SH51" s="272"/>
      <c r="SI51" s="272"/>
      <c r="SJ51" s="272"/>
      <c r="SK51" s="272"/>
      <c r="SL51" s="272"/>
      <c r="SM51" s="272"/>
      <c r="SN51" s="272"/>
      <c r="SO51" s="272"/>
      <c r="SP51" s="272"/>
      <c r="SQ51" s="272"/>
      <c r="SR51" s="272"/>
      <c r="SS51" s="272"/>
      <c r="ST51" s="272"/>
      <c r="SU51" s="272"/>
      <c r="SV51" s="272"/>
      <c r="SW51" s="272"/>
      <c r="SX51" s="272"/>
      <c r="SY51" s="272"/>
      <c r="SZ51" s="272"/>
      <c r="TA51" s="272"/>
      <c r="TB51" s="272"/>
      <c r="TC51" s="272"/>
      <c r="TD51" s="272"/>
      <c r="TE51" s="272"/>
      <c r="TF51" s="272"/>
      <c r="TG51" s="272"/>
      <c r="TH51" s="272"/>
      <c r="TI51" s="272"/>
      <c r="TJ51" s="272"/>
      <c r="TK51" s="272"/>
      <c r="TL51" s="272"/>
      <c r="TM51" s="272"/>
      <c r="TN51" s="272"/>
      <c r="TO51" s="272"/>
      <c r="TP51" s="272"/>
      <c r="TQ51" s="272"/>
      <c r="TR51" s="272"/>
      <c r="TS51" s="272"/>
      <c r="TT51" s="272"/>
      <c r="TU51" s="272"/>
      <c r="TV51" s="272"/>
      <c r="TW51" s="272"/>
      <c r="TX51" s="272"/>
      <c r="TY51" s="272"/>
      <c r="TZ51" s="272"/>
      <c r="UA51" s="272"/>
      <c r="UB51" s="272"/>
      <c r="UC51" s="272"/>
      <c r="UD51" s="272"/>
      <c r="UE51" s="272"/>
      <c r="UF51" s="272"/>
      <c r="UG51" s="272"/>
      <c r="UH51" s="272"/>
      <c r="UI51" s="272"/>
      <c r="UJ51" s="272"/>
      <c r="UK51" s="272"/>
      <c r="UL51" s="272"/>
      <c r="UM51" s="272"/>
      <c r="UN51" s="272"/>
      <c r="UO51" s="272"/>
      <c r="UP51" s="272"/>
      <c r="UQ51" s="272"/>
      <c r="UR51" s="272"/>
      <c r="US51" s="272"/>
      <c r="UT51" s="272"/>
      <c r="UU51" s="272"/>
      <c r="UV51" s="272"/>
      <c r="UW51" s="272"/>
      <c r="UX51" s="272"/>
      <c r="UY51" s="272"/>
      <c r="UZ51" s="272"/>
      <c r="VA51" s="272"/>
      <c r="VB51" s="272"/>
      <c r="VC51" s="272"/>
      <c r="VD51" s="272"/>
      <c r="VE51" s="272"/>
      <c r="VF51" s="272"/>
      <c r="VG51" s="272"/>
      <c r="VH51" s="272"/>
      <c r="VI51" s="272"/>
      <c r="VJ51" s="272"/>
      <c r="VK51" s="272"/>
      <c r="VL51" s="272"/>
      <c r="VM51" s="272"/>
      <c r="VN51" s="272"/>
      <c r="VO51" s="272"/>
      <c r="VP51" s="272"/>
      <c r="VQ51" s="272"/>
      <c r="VR51" s="272"/>
      <c r="VS51" s="272"/>
      <c r="VT51" s="272"/>
      <c r="VU51" s="272"/>
      <c r="VV51" s="272"/>
      <c r="VW51" s="272"/>
      <c r="VX51" s="272"/>
      <c r="VY51" s="272"/>
      <c r="VZ51" s="272"/>
      <c r="WA51" s="272"/>
      <c r="WB51" s="272"/>
      <c r="WC51" s="272"/>
      <c r="WD51" s="272"/>
      <c r="WE51" s="272"/>
      <c r="WF51" s="272"/>
      <c r="WG51" s="272"/>
      <c r="WH51" s="272"/>
      <c r="WI51" s="272"/>
      <c r="WJ51" s="272"/>
      <c r="WK51" s="272"/>
      <c r="WL51" s="272"/>
      <c r="WM51" s="272"/>
      <c r="WN51" s="272"/>
      <c r="WO51" s="272"/>
      <c r="WP51" s="272"/>
      <c r="WQ51" s="272"/>
      <c r="WR51" s="272"/>
      <c r="WS51" s="272"/>
      <c r="WT51" s="272"/>
      <c r="WU51" s="272"/>
      <c r="WV51" s="272"/>
      <c r="WW51" s="272"/>
      <c r="WX51" s="272"/>
      <c r="WY51" s="272"/>
      <c r="WZ51" s="272"/>
      <c r="XA51" s="272"/>
      <c r="XB51" s="272"/>
      <c r="XC51" s="272"/>
      <c r="XD51" s="272"/>
      <c r="XE51" s="272"/>
      <c r="XF51" s="272"/>
      <c r="XG51" s="272"/>
      <c r="XH51" s="272"/>
      <c r="XI51" s="272"/>
      <c r="XJ51" s="272"/>
      <c r="XK51" s="272"/>
      <c r="XL51" s="272"/>
      <c r="XM51" s="272"/>
      <c r="XN51" s="272"/>
      <c r="XO51" s="272"/>
      <c r="XP51" s="272"/>
      <c r="XQ51" s="272"/>
      <c r="XR51" s="272"/>
      <c r="XS51" s="272"/>
      <c r="XT51" s="272"/>
      <c r="XU51" s="272"/>
      <c r="XV51" s="272"/>
      <c r="XW51" s="272"/>
      <c r="XX51" s="272"/>
      <c r="XY51" s="272"/>
      <c r="XZ51" s="272"/>
      <c r="YA51" s="272"/>
      <c r="YB51" s="272"/>
      <c r="YC51" s="272"/>
      <c r="YD51" s="272"/>
      <c r="YE51" s="272"/>
      <c r="YF51" s="272"/>
      <c r="YG51" s="272"/>
      <c r="YH51" s="272"/>
      <c r="YI51" s="272"/>
      <c r="YJ51" s="272"/>
      <c r="YK51" s="272"/>
      <c r="YL51" s="272"/>
      <c r="YM51" s="272"/>
      <c r="YN51" s="272"/>
      <c r="YO51" s="272"/>
      <c r="YP51" s="272"/>
      <c r="YQ51" s="272"/>
      <c r="YR51" s="272"/>
      <c r="YS51" s="272"/>
      <c r="YT51" s="272"/>
      <c r="YU51" s="272"/>
      <c r="YV51" s="272"/>
      <c r="YW51" s="272"/>
      <c r="YX51" s="272"/>
      <c r="YY51" s="272"/>
      <c r="YZ51" s="272"/>
      <c r="ZA51" s="272"/>
      <c r="ZB51" s="272"/>
      <c r="ZC51" s="272"/>
      <c r="ZD51" s="272"/>
      <c r="ZE51" s="272"/>
      <c r="ZF51" s="272"/>
      <c r="ZG51" s="272"/>
      <c r="ZH51" s="272"/>
      <c r="ZI51" s="272"/>
      <c r="ZJ51" s="272"/>
      <c r="ZK51" s="272"/>
      <c r="ZL51" s="272"/>
      <c r="ZM51" s="272"/>
      <c r="ZN51" s="272"/>
      <c r="ZO51" s="272"/>
      <c r="ZP51" s="272"/>
      <c r="ZQ51" s="272"/>
      <c r="ZR51" s="272"/>
      <c r="ZS51" s="272"/>
      <c r="ZT51" s="272"/>
    </row>
    <row r="52" spans="1:696" s="86" customFormat="1" ht="21" customHeight="1">
      <c r="A52" s="49"/>
      <c r="B52" s="84"/>
      <c r="C52" s="598"/>
      <c r="D52" s="601"/>
      <c r="E52" s="620"/>
      <c r="F52" s="620"/>
      <c r="G52" s="627"/>
      <c r="H52" s="627"/>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c r="EO52" s="272"/>
      <c r="EP52" s="272"/>
      <c r="EQ52" s="272"/>
      <c r="ER52" s="272"/>
      <c r="ES52" s="272"/>
      <c r="ET52" s="272"/>
      <c r="EU52" s="272"/>
      <c r="EV52" s="272"/>
      <c r="EW52" s="272"/>
      <c r="EX52" s="272"/>
      <c r="EY52" s="272"/>
      <c r="EZ52" s="272"/>
      <c r="FA52" s="272"/>
      <c r="FB52" s="272"/>
      <c r="FC52" s="272"/>
      <c r="FD52" s="272"/>
      <c r="FE52" s="272"/>
      <c r="FF52" s="272"/>
      <c r="FG52" s="272"/>
      <c r="FH52" s="272"/>
      <c r="FI52" s="272"/>
      <c r="FJ52" s="272"/>
      <c r="FK52" s="272"/>
      <c r="FL52" s="272"/>
      <c r="FM52" s="272"/>
      <c r="FN52" s="272"/>
      <c r="FO52" s="272"/>
      <c r="FP52" s="272"/>
      <c r="FQ52" s="272"/>
      <c r="FR52" s="272"/>
      <c r="FS52" s="272"/>
      <c r="FT52" s="272"/>
      <c r="FU52" s="272"/>
      <c r="FV52" s="272"/>
      <c r="FW52" s="272"/>
      <c r="FX52" s="272"/>
      <c r="FY52" s="272"/>
      <c r="FZ52" s="272"/>
      <c r="GA52" s="272"/>
      <c r="GB52" s="272"/>
      <c r="GC52" s="272"/>
      <c r="GD52" s="272"/>
      <c r="GE52" s="272"/>
      <c r="GF52" s="272"/>
      <c r="GG52" s="272"/>
      <c r="GH52" s="272"/>
      <c r="GI52" s="272"/>
      <c r="GJ52" s="272"/>
      <c r="GK52" s="272"/>
      <c r="GL52" s="272"/>
      <c r="GM52" s="272"/>
      <c r="GN52" s="272"/>
      <c r="GO52" s="272"/>
      <c r="GP52" s="272"/>
      <c r="GQ52" s="272"/>
      <c r="GR52" s="272"/>
      <c r="GS52" s="272"/>
      <c r="GT52" s="272"/>
      <c r="GU52" s="272"/>
      <c r="GV52" s="272"/>
      <c r="GW52" s="272"/>
      <c r="GX52" s="272"/>
      <c r="GY52" s="272"/>
      <c r="GZ52" s="272"/>
      <c r="HA52" s="272"/>
      <c r="HB52" s="272"/>
      <c r="HC52" s="272"/>
      <c r="HD52" s="272"/>
      <c r="HE52" s="272"/>
      <c r="HF52" s="272"/>
      <c r="HG52" s="272"/>
      <c r="HH52" s="272"/>
      <c r="HI52" s="272"/>
      <c r="HJ52" s="272"/>
      <c r="HK52" s="272"/>
      <c r="HL52" s="272"/>
      <c r="HM52" s="272"/>
      <c r="HN52" s="272"/>
      <c r="HO52" s="272"/>
      <c r="HP52" s="272"/>
      <c r="HQ52" s="272"/>
      <c r="HR52" s="272"/>
      <c r="HS52" s="272"/>
      <c r="HT52" s="272"/>
      <c r="HU52" s="272"/>
      <c r="HV52" s="272"/>
      <c r="HW52" s="272"/>
      <c r="HX52" s="272"/>
      <c r="HY52" s="272"/>
      <c r="HZ52" s="272"/>
      <c r="IA52" s="272"/>
      <c r="IB52" s="272"/>
      <c r="IC52" s="272"/>
      <c r="ID52" s="272"/>
      <c r="IE52" s="272"/>
      <c r="IF52" s="272"/>
      <c r="IG52" s="272"/>
      <c r="IH52" s="272"/>
      <c r="II52" s="272"/>
      <c r="IJ52" s="272"/>
      <c r="IK52" s="272"/>
      <c r="IL52" s="272"/>
      <c r="IM52" s="272"/>
      <c r="IN52" s="272"/>
      <c r="IO52" s="272"/>
      <c r="IP52" s="272"/>
      <c r="IQ52" s="272"/>
      <c r="IR52" s="272"/>
      <c r="IS52" s="272"/>
      <c r="IT52" s="272"/>
      <c r="IU52" s="272"/>
      <c r="IV52" s="272"/>
      <c r="IW52" s="272"/>
      <c r="IX52" s="272"/>
      <c r="IY52" s="272"/>
      <c r="IZ52" s="272"/>
      <c r="JA52" s="272"/>
      <c r="JB52" s="272"/>
      <c r="JC52" s="272"/>
      <c r="JD52" s="272"/>
      <c r="JE52" s="272"/>
      <c r="JF52" s="272"/>
      <c r="JG52" s="272"/>
      <c r="JH52" s="272"/>
      <c r="JI52" s="272"/>
      <c r="JJ52" s="272"/>
      <c r="JK52" s="272"/>
      <c r="JL52" s="272"/>
      <c r="JM52" s="272"/>
      <c r="JN52" s="272"/>
      <c r="JO52" s="272"/>
      <c r="JP52" s="272"/>
      <c r="JQ52" s="272"/>
      <c r="JR52" s="272"/>
      <c r="JS52" s="272"/>
      <c r="JT52" s="272"/>
      <c r="JU52" s="272"/>
      <c r="JV52" s="272"/>
      <c r="JW52" s="272"/>
      <c r="JX52" s="272"/>
      <c r="JY52" s="272"/>
      <c r="JZ52" s="272"/>
      <c r="KA52" s="272"/>
      <c r="KB52" s="272"/>
      <c r="KC52" s="272"/>
      <c r="KD52" s="272"/>
      <c r="KE52" s="272"/>
      <c r="KF52" s="272"/>
      <c r="KG52" s="272"/>
      <c r="KH52" s="272"/>
      <c r="KI52" s="272"/>
      <c r="KJ52" s="272"/>
      <c r="KK52" s="272"/>
      <c r="KL52" s="272"/>
      <c r="KM52" s="272"/>
      <c r="KN52" s="272"/>
      <c r="KO52" s="272"/>
      <c r="KP52" s="272"/>
      <c r="KQ52" s="272"/>
      <c r="KR52" s="272"/>
      <c r="KS52" s="272"/>
      <c r="KT52" s="272"/>
      <c r="KU52" s="272"/>
      <c r="KV52" s="272"/>
      <c r="KW52" s="272"/>
      <c r="KX52" s="272"/>
      <c r="KY52" s="272"/>
      <c r="KZ52" s="272"/>
      <c r="LA52" s="272"/>
      <c r="LB52" s="272"/>
      <c r="LC52" s="272"/>
      <c r="LD52" s="272"/>
      <c r="LE52" s="272"/>
      <c r="LF52" s="272"/>
      <c r="LG52" s="272"/>
      <c r="LH52" s="272"/>
      <c r="LI52" s="272"/>
      <c r="LJ52" s="272"/>
      <c r="LK52" s="272"/>
      <c r="LL52" s="272"/>
      <c r="LM52" s="272"/>
      <c r="LN52" s="272"/>
      <c r="LO52" s="272"/>
      <c r="LP52" s="272"/>
      <c r="LQ52" s="272"/>
      <c r="LR52" s="272"/>
      <c r="LS52" s="272"/>
      <c r="LT52" s="272"/>
      <c r="LU52" s="272"/>
      <c r="LV52" s="272"/>
      <c r="LW52" s="272"/>
      <c r="LX52" s="272"/>
      <c r="LY52" s="272"/>
      <c r="LZ52" s="272"/>
      <c r="MA52" s="272"/>
      <c r="MB52" s="272"/>
      <c r="MC52" s="272"/>
      <c r="MD52" s="272"/>
      <c r="ME52" s="272"/>
      <c r="MF52" s="272"/>
      <c r="MG52" s="272"/>
      <c r="MH52" s="272"/>
      <c r="MI52" s="272"/>
      <c r="MJ52" s="272"/>
      <c r="MK52" s="272"/>
      <c r="ML52" s="272"/>
      <c r="MM52" s="272"/>
      <c r="MN52" s="272"/>
      <c r="MO52" s="272"/>
      <c r="MP52" s="272"/>
      <c r="MQ52" s="272"/>
      <c r="MR52" s="272"/>
      <c r="MS52" s="272"/>
      <c r="MT52" s="272"/>
      <c r="MU52" s="272"/>
      <c r="MV52" s="272"/>
      <c r="MW52" s="272"/>
      <c r="MX52" s="272"/>
      <c r="MY52" s="272"/>
      <c r="MZ52" s="272"/>
      <c r="NA52" s="272"/>
      <c r="NB52" s="272"/>
      <c r="NC52" s="272"/>
      <c r="ND52" s="272"/>
      <c r="NE52" s="272"/>
      <c r="NF52" s="272"/>
      <c r="NG52" s="272"/>
      <c r="NH52" s="272"/>
      <c r="NI52" s="272"/>
      <c r="NJ52" s="272"/>
      <c r="NK52" s="272"/>
      <c r="NL52" s="272"/>
      <c r="NM52" s="272"/>
      <c r="NN52" s="272"/>
      <c r="NO52" s="272"/>
      <c r="NP52" s="272"/>
      <c r="NQ52" s="272"/>
      <c r="NR52" s="272"/>
      <c r="NS52" s="272"/>
      <c r="NT52" s="272"/>
      <c r="NU52" s="272"/>
      <c r="NV52" s="272"/>
      <c r="NW52" s="272"/>
      <c r="NX52" s="272"/>
      <c r="NY52" s="272"/>
      <c r="NZ52" s="272"/>
      <c r="OA52" s="272"/>
      <c r="OB52" s="272"/>
      <c r="OC52" s="272"/>
      <c r="OD52" s="272"/>
      <c r="OE52" s="272"/>
      <c r="OF52" s="272"/>
      <c r="OG52" s="272"/>
      <c r="OH52" s="272"/>
      <c r="OI52" s="272"/>
      <c r="OJ52" s="272"/>
      <c r="OK52" s="272"/>
      <c r="OL52" s="272"/>
      <c r="OM52" s="272"/>
      <c r="ON52" s="272"/>
      <c r="OO52" s="272"/>
      <c r="OP52" s="272"/>
      <c r="OQ52" s="272"/>
      <c r="OR52" s="272"/>
      <c r="OS52" s="272"/>
      <c r="OT52" s="272"/>
      <c r="OU52" s="272"/>
      <c r="OV52" s="272"/>
      <c r="OW52" s="272"/>
      <c r="OX52" s="272"/>
      <c r="OY52" s="272"/>
      <c r="OZ52" s="272"/>
      <c r="PA52" s="272"/>
      <c r="PB52" s="272"/>
      <c r="PC52" s="272"/>
      <c r="PD52" s="272"/>
      <c r="PE52" s="272"/>
      <c r="PF52" s="272"/>
      <c r="PG52" s="272"/>
      <c r="PH52" s="272"/>
      <c r="PI52" s="272"/>
      <c r="PJ52" s="272"/>
      <c r="PK52" s="272"/>
      <c r="PL52" s="272"/>
      <c r="PM52" s="272"/>
      <c r="PN52" s="272"/>
      <c r="PO52" s="272"/>
      <c r="PP52" s="272"/>
      <c r="PQ52" s="272"/>
      <c r="PR52" s="272"/>
      <c r="PS52" s="272"/>
      <c r="PT52" s="272"/>
      <c r="PU52" s="272"/>
      <c r="PV52" s="272"/>
      <c r="PW52" s="272"/>
      <c r="PX52" s="272"/>
      <c r="PY52" s="272"/>
      <c r="PZ52" s="272"/>
      <c r="QA52" s="272"/>
      <c r="QB52" s="272"/>
      <c r="QC52" s="272"/>
      <c r="QD52" s="272"/>
      <c r="QE52" s="272"/>
      <c r="QF52" s="272"/>
      <c r="QG52" s="272"/>
      <c r="QH52" s="272"/>
      <c r="QI52" s="272"/>
      <c r="QJ52" s="272"/>
      <c r="QK52" s="272"/>
      <c r="QL52" s="272"/>
      <c r="QM52" s="272"/>
      <c r="QN52" s="272"/>
      <c r="QO52" s="272"/>
      <c r="QP52" s="272"/>
      <c r="QQ52" s="272"/>
      <c r="QR52" s="272"/>
      <c r="QS52" s="272"/>
      <c r="QT52" s="272"/>
      <c r="QU52" s="272"/>
      <c r="QV52" s="272"/>
      <c r="QW52" s="272"/>
      <c r="QX52" s="272"/>
      <c r="QY52" s="272"/>
      <c r="QZ52" s="272"/>
      <c r="RA52" s="272"/>
      <c r="RB52" s="272"/>
      <c r="RC52" s="272"/>
      <c r="RD52" s="272"/>
      <c r="RE52" s="272"/>
      <c r="RF52" s="272"/>
      <c r="RG52" s="272"/>
      <c r="RH52" s="272"/>
      <c r="RI52" s="272"/>
      <c r="RJ52" s="272"/>
      <c r="RK52" s="272"/>
      <c r="RL52" s="272"/>
      <c r="RM52" s="272"/>
      <c r="RN52" s="272"/>
      <c r="RO52" s="272"/>
      <c r="RP52" s="272"/>
      <c r="RQ52" s="272"/>
      <c r="RR52" s="272"/>
      <c r="RS52" s="272"/>
      <c r="RT52" s="272"/>
      <c r="RU52" s="272"/>
      <c r="RV52" s="272"/>
      <c r="RW52" s="272"/>
      <c r="RX52" s="272"/>
      <c r="RY52" s="272"/>
      <c r="RZ52" s="272"/>
      <c r="SA52" s="272"/>
      <c r="SB52" s="272"/>
      <c r="SC52" s="272"/>
      <c r="SD52" s="272"/>
      <c r="SE52" s="272"/>
      <c r="SF52" s="272"/>
      <c r="SG52" s="272"/>
      <c r="SH52" s="272"/>
      <c r="SI52" s="272"/>
      <c r="SJ52" s="272"/>
      <c r="SK52" s="272"/>
      <c r="SL52" s="272"/>
      <c r="SM52" s="272"/>
      <c r="SN52" s="272"/>
      <c r="SO52" s="272"/>
      <c r="SP52" s="272"/>
      <c r="SQ52" s="272"/>
      <c r="SR52" s="272"/>
      <c r="SS52" s="272"/>
      <c r="ST52" s="272"/>
      <c r="SU52" s="272"/>
      <c r="SV52" s="272"/>
      <c r="SW52" s="272"/>
      <c r="SX52" s="272"/>
      <c r="SY52" s="272"/>
      <c r="SZ52" s="272"/>
      <c r="TA52" s="272"/>
      <c r="TB52" s="272"/>
      <c r="TC52" s="272"/>
      <c r="TD52" s="272"/>
      <c r="TE52" s="272"/>
      <c r="TF52" s="272"/>
      <c r="TG52" s="272"/>
      <c r="TH52" s="272"/>
      <c r="TI52" s="272"/>
      <c r="TJ52" s="272"/>
      <c r="TK52" s="272"/>
      <c r="TL52" s="272"/>
      <c r="TM52" s="272"/>
      <c r="TN52" s="272"/>
      <c r="TO52" s="272"/>
      <c r="TP52" s="272"/>
      <c r="TQ52" s="272"/>
      <c r="TR52" s="272"/>
      <c r="TS52" s="272"/>
      <c r="TT52" s="272"/>
      <c r="TU52" s="272"/>
      <c r="TV52" s="272"/>
      <c r="TW52" s="272"/>
      <c r="TX52" s="272"/>
      <c r="TY52" s="272"/>
      <c r="TZ52" s="272"/>
      <c r="UA52" s="272"/>
      <c r="UB52" s="272"/>
      <c r="UC52" s="272"/>
      <c r="UD52" s="272"/>
      <c r="UE52" s="272"/>
      <c r="UF52" s="272"/>
      <c r="UG52" s="272"/>
      <c r="UH52" s="272"/>
      <c r="UI52" s="272"/>
      <c r="UJ52" s="272"/>
      <c r="UK52" s="272"/>
      <c r="UL52" s="272"/>
      <c r="UM52" s="272"/>
      <c r="UN52" s="272"/>
      <c r="UO52" s="272"/>
      <c r="UP52" s="272"/>
      <c r="UQ52" s="272"/>
      <c r="UR52" s="272"/>
      <c r="US52" s="272"/>
      <c r="UT52" s="272"/>
      <c r="UU52" s="272"/>
      <c r="UV52" s="272"/>
      <c r="UW52" s="272"/>
      <c r="UX52" s="272"/>
      <c r="UY52" s="272"/>
      <c r="UZ52" s="272"/>
      <c r="VA52" s="272"/>
      <c r="VB52" s="272"/>
      <c r="VC52" s="272"/>
      <c r="VD52" s="272"/>
      <c r="VE52" s="272"/>
      <c r="VF52" s="272"/>
      <c r="VG52" s="272"/>
      <c r="VH52" s="272"/>
      <c r="VI52" s="272"/>
      <c r="VJ52" s="272"/>
      <c r="VK52" s="272"/>
      <c r="VL52" s="272"/>
      <c r="VM52" s="272"/>
      <c r="VN52" s="272"/>
      <c r="VO52" s="272"/>
      <c r="VP52" s="272"/>
      <c r="VQ52" s="272"/>
      <c r="VR52" s="272"/>
      <c r="VS52" s="272"/>
      <c r="VT52" s="272"/>
      <c r="VU52" s="272"/>
      <c r="VV52" s="272"/>
      <c r="VW52" s="272"/>
      <c r="VX52" s="272"/>
      <c r="VY52" s="272"/>
      <c r="VZ52" s="272"/>
      <c r="WA52" s="272"/>
      <c r="WB52" s="272"/>
      <c r="WC52" s="272"/>
      <c r="WD52" s="272"/>
      <c r="WE52" s="272"/>
      <c r="WF52" s="272"/>
      <c r="WG52" s="272"/>
      <c r="WH52" s="272"/>
      <c r="WI52" s="272"/>
      <c r="WJ52" s="272"/>
      <c r="WK52" s="272"/>
      <c r="WL52" s="272"/>
      <c r="WM52" s="272"/>
      <c r="WN52" s="272"/>
      <c r="WO52" s="272"/>
      <c r="WP52" s="272"/>
      <c r="WQ52" s="272"/>
      <c r="WR52" s="272"/>
      <c r="WS52" s="272"/>
      <c r="WT52" s="272"/>
      <c r="WU52" s="272"/>
      <c r="WV52" s="272"/>
      <c r="WW52" s="272"/>
      <c r="WX52" s="272"/>
      <c r="WY52" s="272"/>
      <c r="WZ52" s="272"/>
      <c r="XA52" s="272"/>
      <c r="XB52" s="272"/>
      <c r="XC52" s="272"/>
      <c r="XD52" s="272"/>
      <c r="XE52" s="272"/>
      <c r="XF52" s="272"/>
      <c r="XG52" s="272"/>
      <c r="XH52" s="272"/>
      <c r="XI52" s="272"/>
      <c r="XJ52" s="272"/>
      <c r="XK52" s="272"/>
      <c r="XL52" s="272"/>
      <c r="XM52" s="272"/>
      <c r="XN52" s="272"/>
      <c r="XO52" s="272"/>
      <c r="XP52" s="272"/>
      <c r="XQ52" s="272"/>
      <c r="XR52" s="272"/>
      <c r="XS52" s="272"/>
      <c r="XT52" s="272"/>
      <c r="XU52" s="272"/>
      <c r="XV52" s="272"/>
      <c r="XW52" s="272"/>
      <c r="XX52" s="272"/>
      <c r="XY52" s="272"/>
      <c r="XZ52" s="272"/>
      <c r="YA52" s="272"/>
      <c r="YB52" s="272"/>
      <c r="YC52" s="272"/>
      <c r="YD52" s="272"/>
      <c r="YE52" s="272"/>
      <c r="YF52" s="272"/>
      <c r="YG52" s="272"/>
      <c r="YH52" s="272"/>
      <c r="YI52" s="272"/>
      <c r="YJ52" s="272"/>
      <c r="YK52" s="272"/>
      <c r="YL52" s="272"/>
      <c r="YM52" s="272"/>
      <c r="YN52" s="272"/>
      <c r="YO52" s="272"/>
      <c r="YP52" s="272"/>
      <c r="YQ52" s="272"/>
      <c r="YR52" s="272"/>
      <c r="YS52" s="272"/>
      <c r="YT52" s="272"/>
      <c r="YU52" s="272"/>
      <c r="YV52" s="272"/>
      <c r="YW52" s="272"/>
      <c r="YX52" s="272"/>
      <c r="YY52" s="272"/>
      <c r="YZ52" s="272"/>
      <c r="ZA52" s="272"/>
      <c r="ZB52" s="272"/>
      <c r="ZC52" s="272"/>
      <c r="ZD52" s="272"/>
      <c r="ZE52" s="272"/>
      <c r="ZF52" s="272"/>
      <c r="ZG52" s="272"/>
      <c r="ZH52" s="272"/>
      <c r="ZI52" s="272"/>
      <c r="ZJ52" s="272"/>
      <c r="ZK52" s="272"/>
      <c r="ZL52" s="272"/>
      <c r="ZM52" s="272"/>
      <c r="ZN52" s="272"/>
      <c r="ZO52" s="272"/>
      <c r="ZP52" s="272"/>
      <c r="ZQ52" s="272"/>
      <c r="ZR52" s="272"/>
      <c r="ZS52" s="272"/>
      <c r="ZT52" s="272"/>
    </row>
    <row r="53" spans="1:696" s="19" customFormat="1" ht="15">
      <c r="A53" s="76"/>
      <c r="B53" s="44"/>
      <c r="C53" s="24" t="s">
        <v>53</v>
      </c>
      <c r="D53" s="508"/>
      <c r="E53" s="532"/>
      <c r="F53" s="509"/>
      <c r="G53" s="506"/>
      <c r="H53" s="506"/>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c r="DJ53" s="272"/>
      <c r="DK53" s="272"/>
      <c r="DL53" s="272"/>
      <c r="DM53" s="272"/>
      <c r="DN53" s="272"/>
      <c r="DO53" s="272"/>
      <c r="DP53" s="272"/>
      <c r="DQ53" s="272"/>
      <c r="DR53" s="272"/>
      <c r="DS53" s="272"/>
      <c r="DT53" s="272"/>
      <c r="DU53" s="272"/>
      <c r="DV53" s="272"/>
      <c r="DW53" s="272"/>
      <c r="DX53" s="272"/>
      <c r="DY53" s="272"/>
      <c r="DZ53" s="272"/>
      <c r="EA53" s="272"/>
      <c r="EB53" s="272"/>
      <c r="EC53" s="272"/>
      <c r="ED53" s="272"/>
      <c r="EE53" s="272"/>
      <c r="EF53" s="272"/>
      <c r="EG53" s="272"/>
      <c r="EH53" s="272"/>
      <c r="EI53" s="272"/>
      <c r="EJ53" s="272"/>
      <c r="EK53" s="272"/>
      <c r="EL53" s="272"/>
      <c r="EM53" s="272"/>
      <c r="EN53" s="272"/>
      <c r="EO53" s="272"/>
      <c r="EP53" s="272"/>
      <c r="EQ53" s="272"/>
      <c r="ER53" s="272"/>
      <c r="ES53" s="272"/>
      <c r="ET53" s="272"/>
      <c r="EU53" s="272"/>
      <c r="EV53" s="272"/>
      <c r="EW53" s="272"/>
      <c r="EX53" s="272"/>
      <c r="EY53" s="272"/>
      <c r="EZ53" s="272"/>
      <c r="FA53" s="272"/>
      <c r="FB53" s="272"/>
      <c r="FC53" s="272"/>
      <c r="FD53" s="272"/>
      <c r="FE53" s="272"/>
      <c r="FF53" s="272"/>
      <c r="FG53" s="272"/>
      <c r="FH53" s="272"/>
      <c r="FI53" s="272"/>
      <c r="FJ53" s="272"/>
      <c r="FK53" s="272"/>
      <c r="FL53" s="272"/>
      <c r="FM53" s="272"/>
      <c r="FN53" s="272"/>
      <c r="FO53" s="272"/>
      <c r="FP53" s="272"/>
      <c r="FQ53" s="272"/>
      <c r="FR53" s="272"/>
      <c r="FS53" s="272"/>
      <c r="FT53" s="272"/>
      <c r="FU53" s="272"/>
      <c r="FV53" s="272"/>
      <c r="FW53" s="272"/>
      <c r="FX53" s="272"/>
      <c r="FY53" s="272"/>
      <c r="FZ53" s="272"/>
      <c r="GA53" s="272"/>
      <c r="GB53" s="272"/>
      <c r="GC53" s="272"/>
      <c r="GD53" s="272"/>
      <c r="GE53" s="272"/>
      <c r="GF53" s="272"/>
      <c r="GG53" s="272"/>
      <c r="GH53" s="272"/>
      <c r="GI53" s="272"/>
      <c r="GJ53" s="272"/>
      <c r="GK53" s="272"/>
      <c r="GL53" s="272"/>
      <c r="GM53" s="272"/>
      <c r="GN53" s="272"/>
      <c r="GO53" s="272"/>
      <c r="GP53" s="272"/>
      <c r="GQ53" s="272"/>
      <c r="GR53" s="272"/>
      <c r="GS53" s="272"/>
      <c r="GT53" s="272"/>
      <c r="GU53" s="272"/>
      <c r="GV53" s="272"/>
      <c r="GW53" s="272"/>
      <c r="GX53" s="272"/>
      <c r="GY53" s="272"/>
      <c r="GZ53" s="272"/>
      <c r="HA53" s="272"/>
      <c r="HB53" s="272"/>
      <c r="HC53" s="272"/>
      <c r="HD53" s="272"/>
      <c r="HE53" s="272"/>
      <c r="HF53" s="272"/>
      <c r="HG53" s="272"/>
      <c r="HH53" s="272"/>
      <c r="HI53" s="272"/>
      <c r="HJ53" s="272"/>
      <c r="HK53" s="272"/>
      <c r="HL53" s="272"/>
      <c r="HM53" s="272"/>
      <c r="HN53" s="272"/>
      <c r="HO53" s="272"/>
      <c r="HP53" s="272"/>
      <c r="HQ53" s="272"/>
      <c r="HR53" s="272"/>
      <c r="HS53" s="272"/>
      <c r="HT53" s="272"/>
      <c r="HU53" s="272"/>
      <c r="HV53" s="272"/>
      <c r="HW53" s="272"/>
      <c r="HX53" s="272"/>
      <c r="HY53" s="272"/>
      <c r="HZ53" s="272"/>
      <c r="IA53" s="272"/>
      <c r="IB53" s="272"/>
      <c r="IC53" s="272"/>
      <c r="ID53" s="272"/>
      <c r="IE53" s="272"/>
      <c r="IF53" s="272"/>
      <c r="IG53" s="272"/>
      <c r="IH53" s="272"/>
      <c r="II53" s="272"/>
      <c r="IJ53" s="272"/>
      <c r="IK53" s="272"/>
      <c r="IL53" s="272"/>
      <c r="IM53" s="272"/>
      <c r="IN53" s="272"/>
      <c r="IO53" s="272"/>
      <c r="IP53" s="272"/>
      <c r="IQ53" s="272"/>
      <c r="IR53" s="272"/>
      <c r="IS53" s="272"/>
      <c r="IT53" s="272"/>
      <c r="IU53" s="272"/>
      <c r="IV53" s="272"/>
      <c r="IW53" s="272"/>
      <c r="IX53" s="272"/>
      <c r="IY53" s="272"/>
      <c r="IZ53" s="272"/>
      <c r="JA53" s="272"/>
      <c r="JB53" s="272"/>
      <c r="JC53" s="272"/>
      <c r="JD53" s="272"/>
      <c r="JE53" s="272"/>
      <c r="JF53" s="272"/>
      <c r="JG53" s="272"/>
      <c r="JH53" s="272"/>
      <c r="JI53" s="272"/>
      <c r="JJ53" s="272"/>
      <c r="JK53" s="272"/>
      <c r="JL53" s="272"/>
      <c r="JM53" s="272"/>
      <c r="JN53" s="272"/>
      <c r="JO53" s="272"/>
      <c r="JP53" s="272"/>
      <c r="JQ53" s="272"/>
      <c r="JR53" s="272"/>
      <c r="JS53" s="272"/>
      <c r="JT53" s="272"/>
      <c r="JU53" s="272"/>
      <c r="JV53" s="272"/>
      <c r="JW53" s="272"/>
      <c r="JX53" s="272"/>
      <c r="JY53" s="272"/>
      <c r="JZ53" s="272"/>
      <c r="KA53" s="272"/>
      <c r="KB53" s="272"/>
      <c r="KC53" s="272"/>
      <c r="KD53" s="272"/>
      <c r="KE53" s="272"/>
      <c r="KF53" s="272"/>
      <c r="KG53" s="272"/>
      <c r="KH53" s="272"/>
      <c r="KI53" s="272"/>
      <c r="KJ53" s="272"/>
      <c r="KK53" s="272"/>
      <c r="KL53" s="272"/>
      <c r="KM53" s="272"/>
      <c r="KN53" s="272"/>
      <c r="KO53" s="272"/>
      <c r="KP53" s="272"/>
      <c r="KQ53" s="272"/>
      <c r="KR53" s="272"/>
      <c r="KS53" s="272"/>
      <c r="KT53" s="272"/>
      <c r="KU53" s="272"/>
      <c r="KV53" s="272"/>
      <c r="KW53" s="272"/>
      <c r="KX53" s="272"/>
      <c r="KY53" s="272"/>
      <c r="KZ53" s="272"/>
      <c r="LA53" s="272"/>
      <c r="LB53" s="272"/>
      <c r="LC53" s="272"/>
      <c r="LD53" s="272"/>
      <c r="LE53" s="272"/>
      <c r="LF53" s="272"/>
      <c r="LG53" s="272"/>
      <c r="LH53" s="272"/>
      <c r="LI53" s="272"/>
      <c r="LJ53" s="272"/>
      <c r="LK53" s="272"/>
      <c r="LL53" s="272"/>
      <c r="LM53" s="272"/>
      <c r="LN53" s="272"/>
      <c r="LO53" s="272"/>
      <c r="LP53" s="272"/>
      <c r="LQ53" s="272"/>
      <c r="LR53" s="272"/>
      <c r="LS53" s="272"/>
      <c r="LT53" s="272"/>
      <c r="LU53" s="272"/>
      <c r="LV53" s="272"/>
      <c r="LW53" s="272"/>
      <c r="LX53" s="272"/>
      <c r="LY53" s="272"/>
      <c r="LZ53" s="272"/>
      <c r="MA53" s="272"/>
      <c r="MB53" s="272"/>
      <c r="MC53" s="272"/>
      <c r="MD53" s="272"/>
      <c r="ME53" s="272"/>
      <c r="MF53" s="272"/>
      <c r="MG53" s="272"/>
      <c r="MH53" s="272"/>
      <c r="MI53" s="272"/>
      <c r="MJ53" s="272"/>
      <c r="MK53" s="272"/>
      <c r="ML53" s="272"/>
      <c r="MM53" s="272"/>
      <c r="MN53" s="272"/>
      <c r="MO53" s="272"/>
      <c r="MP53" s="272"/>
      <c r="MQ53" s="272"/>
      <c r="MR53" s="272"/>
      <c r="MS53" s="272"/>
      <c r="MT53" s="272"/>
      <c r="MU53" s="272"/>
      <c r="MV53" s="272"/>
      <c r="MW53" s="272"/>
      <c r="MX53" s="272"/>
      <c r="MY53" s="272"/>
      <c r="MZ53" s="272"/>
      <c r="NA53" s="272"/>
      <c r="NB53" s="272"/>
      <c r="NC53" s="272"/>
      <c r="ND53" s="272"/>
      <c r="NE53" s="272"/>
      <c r="NF53" s="272"/>
      <c r="NG53" s="272"/>
      <c r="NH53" s="272"/>
      <c r="NI53" s="272"/>
      <c r="NJ53" s="272"/>
      <c r="NK53" s="272"/>
      <c r="NL53" s="272"/>
      <c r="NM53" s="272"/>
      <c r="NN53" s="272"/>
      <c r="NO53" s="272"/>
      <c r="NP53" s="272"/>
      <c r="NQ53" s="272"/>
      <c r="NR53" s="272"/>
      <c r="NS53" s="272"/>
      <c r="NT53" s="272"/>
      <c r="NU53" s="272"/>
      <c r="NV53" s="272"/>
      <c r="NW53" s="272"/>
      <c r="NX53" s="272"/>
      <c r="NY53" s="272"/>
      <c r="NZ53" s="272"/>
      <c r="OA53" s="272"/>
      <c r="OB53" s="272"/>
      <c r="OC53" s="272"/>
      <c r="OD53" s="272"/>
      <c r="OE53" s="272"/>
      <c r="OF53" s="272"/>
      <c r="OG53" s="272"/>
      <c r="OH53" s="272"/>
      <c r="OI53" s="272"/>
      <c r="OJ53" s="272"/>
      <c r="OK53" s="272"/>
      <c r="OL53" s="272"/>
      <c r="OM53" s="272"/>
      <c r="ON53" s="272"/>
      <c r="OO53" s="272"/>
      <c r="OP53" s="272"/>
      <c r="OQ53" s="272"/>
      <c r="OR53" s="272"/>
      <c r="OS53" s="272"/>
      <c r="OT53" s="272"/>
      <c r="OU53" s="272"/>
      <c r="OV53" s="272"/>
      <c r="OW53" s="272"/>
      <c r="OX53" s="272"/>
      <c r="OY53" s="272"/>
      <c r="OZ53" s="272"/>
      <c r="PA53" s="272"/>
      <c r="PB53" s="272"/>
      <c r="PC53" s="272"/>
      <c r="PD53" s="272"/>
      <c r="PE53" s="272"/>
      <c r="PF53" s="272"/>
      <c r="PG53" s="272"/>
      <c r="PH53" s="272"/>
      <c r="PI53" s="272"/>
      <c r="PJ53" s="272"/>
      <c r="PK53" s="272"/>
      <c r="PL53" s="272"/>
      <c r="PM53" s="272"/>
      <c r="PN53" s="272"/>
      <c r="PO53" s="272"/>
      <c r="PP53" s="272"/>
      <c r="PQ53" s="272"/>
      <c r="PR53" s="272"/>
      <c r="PS53" s="272"/>
      <c r="PT53" s="272"/>
      <c r="PU53" s="272"/>
      <c r="PV53" s="272"/>
      <c r="PW53" s="272"/>
      <c r="PX53" s="272"/>
      <c r="PY53" s="272"/>
      <c r="PZ53" s="272"/>
      <c r="QA53" s="272"/>
      <c r="QB53" s="272"/>
      <c r="QC53" s="272"/>
      <c r="QD53" s="272"/>
      <c r="QE53" s="272"/>
      <c r="QF53" s="272"/>
      <c r="QG53" s="272"/>
      <c r="QH53" s="272"/>
      <c r="QI53" s="272"/>
      <c r="QJ53" s="272"/>
      <c r="QK53" s="272"/>
      <c r="QL53" s="272"/>
      <c r="QM53" s="272"/>
      <c r="QN53" s="272"/>
      <c r="QO53" s="272"/>
      <c r="QP53" s="272"/>
      <c r="QQ53" s="272"/>
      <c r="QR53" s="272"/>
      <c r="QS53" s="272"/>
      <c r="QT53" s="272"/>
      <c r="QU53" s="272"/>
      <c r="QV53" s="272"/>
      <c r="QW53" s="272"/>
      <c r="QX53" s="272"/>
      <c r="QY53" s="272"/>
      <c r="QZ53" s="272"/>
      <c r="RA53" s="272"/>
      <c r="RB53" s="272"/>
      <c r="RC53" s="272"/>
      <c r="RD53" s="272"/>
      <c r="RE53" s="272"/>
      <c r="RF53" s="272"/>
      <c r="RG53" s="272"/>
      <c r="RH53" s="272"/>
      <c r="RI53" s="272"/>
      <c r="RJ53" s="272"/>
      <c r="RK53" s="272"/>
      <c r="RL53" s="272"/>
      <c r="RM53" s="272"/>
      <c r="RN53" s="272"/>
      <c r="RO53" s="272"/>
      <c r="RP53" s="272"/>
      <c r="RQ53" s="272"/>
      <c r="RR53" s="272"/>
      <c r="RS53" s="272"/>
      <c r="RT53" s="272"/>
      <c r="RU53" s="272"/>
      <c r="RV53" s="272"/>
      <c r="RW53" s="272"/>
      <c r="RX53" s="272"/>
      <c r="RY53" s="272"/>
      <c r="RZ53" s="272"/>
      <c r="SA53" s="272"/>
      <c r="SB53" s="272"/>
      <c r="SC53" s="272"/>
      <c r="SD53" s="272"/>
      <c r="SE53" s="272"/>
      <c r="SF53" s="272"/>
      <c r="SG53" s="272"/>
      <c r="SH53" s="272"/>
      <c r="SI53" s="272"/>
      <c r="SJ53" s="272"/>
      <c r="SK53" s="272"/>
      <c r="SL53" s="272"/>
      <c r="SM53" s="272"/>
      <c r="SN53" s="272"/>
      <c r="SO53" s="272"/>
      <c r="SP53" s="272"/>
      <c r="SQ53" s="272"/>
      <c r="SR53" s="272"/>
      <c r="SS53" s="272"/>
      <c r="ST53" s="272"/>
      <c r="SU53" s="272"/>
      <c r="SV53" s="272"/>
      <c r="SW53" s="272"/>
      <c r="SX53" s="272"/>
      <c r="SY53" s="272"/>
      <c r="SZ53" s="272"/>
      <c r="TA53" s="272"/>
      <c r="TB53" s="272"/>
      <c r="TC53" s="272"/>
      <c r="TD53" s="272"/>
      <c r="TE53" s="272"/>
      <c r="TF53" s="272"/>
      <c r="TG53" s="272"/>
      <c r="TH53" s="272"/>
      <c r="TI53" s="272"/>
      <c r="TJ53" s="272"/>
      <c r="TK53" s="272"/>
      <c r="TL53" s="272"/>
      <c r="TM53" s="272"/>
      <c r="TN53" s="272"/>
      <c r="TO53" s="272"/>
      <c r="TP53" s="272"/>
      <c r="TQ53" s="272"/>
      <c r="TR53" s="272"/>
      <c r="TS53" s="272"/>
      <c r="TT53" s="272"/>
      <c r="TU53" s="272"/>
      <c r="TV53" s="272"/>
      <c r="TW53" s="272"/>
      <c r="TX53" s="272"/>
      <c r="TY53" s="272"/>
      <c r="TZ53" s="272"/>
      <c r="UA53" s="272"/>
      <c r="UB53" s="272"/>
      <c r="UC53" s="272"/>
      <c r="UD53" s="272"/>
      <c r="UE53" s="272"/>
      <c r="UF53" s="272"/>
      <c r="UG53" s="272"/>
      <c r="UH53" s="272"/>
      <c r="UI53" s="272"/>
      <c r="UJ53" s="272"/>
      <c r="UK53" s="272"/>
      <c r="UL53" s="272"/>
      <c r="UM53" s="272"/>
      <c r="UN53" s="272"/>
      <c r="UO53" s="272"/>
      <c r="UP53" s="272"/>
      <c r="UQ53" s="272"/>
      <c r="UR53" s="272"/>
      <c r="US53" s="272"/>
      <c r="UT53" s="272"/>
      <c r="UU53" s="272"/>
      <c r="UV53" s="272"/>
      <c r="UW53" s="272"/>
      <c r="UX53" s="272"/>
      <c r="UY53" s="272"/>
      <c r="UZ53" s="272"/>
      <c r="VA53" s="272"/>
      <c r="VB53" s="272"/>
      <c r="VC53" s="272"/>
      <c r="VD53" s="272"/>
      <c r="VE53" s="272"/>
      <c r="VF53" s="272"/>
      <c r="VG53" s="272"/>
      <c r="VH53" s="272"/>
      <c r="VI53" s="272"/>
      <c r="VJ53" s="272"/>
      <c r="VK53" s="272"/>
      <c r="VL53" s="272"/>
      <c r="VM53" s="272"/>
      <c r="VN53" s="272"/>
      <c r="VO53" s="272"/>
      <c r="VP53" s="272"/>
      <c r="VQ53" s="272"/>
      <c r="VR53" s="272"/>
      <c r="VS53" s="272"/>
      <c r="VT53" s="272"/>
      <c r="VU53" s="272"/>
      <c r="VV53" s="272"/>
      <c r="VW53" s="272"/>
      <c r="VX53" s="272"/>
      <c r="VY53" s="272"/>
      <c r="VZ53" s="272"/>
      <c r="WA53" s="272"/>
      <c r="WB53" s="272"/>
      <c r="WC53" s="272"/>
      <c r="WD53" s="272"/>
      <c r="WE53" s="272"/>
      <c r="WF53" s="272"/>
      <c r="WG53" s="272"/>
      <c r="WH53" s="272"/>
      <c r="WI53" s="272"/>
      <c r="WJ53" s="272"/>
      <c r="WK53" s="272"/>
      <c r="WL53" s="272"/>
      <c r="WM53" s="272"/>
      <c r="WN53" s="272"/>
      <c r="WO53" s="272"/>
      <c r="WP53" s="272"/>
      <c r="WQ53" s="272"/>
      <c r="WR53" s="272"/>
      <c r="WS53" s="272"/>
      <c r="WT53" s="272"/>
      <c r="WU53" s="272"/>
      <c r="WV53" s="272"/>
      <c r="WW53" s="272"/>
      <c r="WX53" s="272"/>
      <c r="WY53" s="272"/>
      <c r="WZ53" s="272"/>
      <c r="XA53" s="272"/>
      <c r="XB53" s="272"/>
      <c r="XC53" s="272"/>
      <c r="XD53" s="272"/>
      <c r="XE53" s="272"/>
      <c r="XF53" s="272"/>
      <c r="XG53" s="272"/>
      <c r="XH53" s="272"/>
      <c r="XI53" s="272"/>
      <c r="XJ53" s="272"/>
      <c r="XK53" s="272"/>
      <c r="XL53" s="272"/>
      <c r="XM53" s="272"/>
      <c r="XN53" s="272"/>
      <c r="XO53" s="272"/>
      <c r="XP53" s="272"/>
      <c r="XQ53" s="272"/>
      <c r="XR53" s="272"/>
      <c r="XS53" s="272"/>
      <c r="XT53" s="272"/>
      <c r="XU53" s="272"/>
      <c r="XV53" s="272"/>
      <c r="XW53" s="272"/>
      <c r="XX53" s="272"/>
      <c r="XY53" s="272"/>
      <c r="XZ53" s="272"/>
      <c r="YA53" s="272"/>
      <c r="YB53" s="272"/>
      <c r="YC53" s="272"/>
      <c r="YD53" s="272"/>
      <c r="YE53" s="272"/>
      <c r="YF53" s="272"/>
      <c r="YG53" s="272"/>
      <c r="YH53" s="272"/>
      <c r="YI53" s="272"/>
      <c r="YJ53" s="272"/>
      <c r="YK53" s="272"/>
      <c r="YL53" s="272"/>
      <c r="YM53" s="272"/>
      <c r="YN53" s="272"/>
      <c r="YO53" s="272"/>
      <c r="YP53" s="272"/>
      <c r="YQ53" s="272"/>
      <c r="YR53" s="272"/>
      <c r="YS53" s="272"/>
      <c r="YT53" s="272"/>
      <c r="YU53" s="272"/>
      <c r="YV53" s="272"/>
      <c r="YW53" s="272"/>
      <c r="YX53" s="272"/>
      <c r="YY53" s="272"/>
      <c r="YZ53" s="272"/>
      <c r="ZA53" s="272"/>
      <c r="ZB53" s="272"/>
      <c r="ZC53" s="272"/>
      <c r="ZD53" s="272"/>
      <c r="ZE53" s="272"/>
      <c r="ZF53" s="272"/>
      <c r="ZG53" s="272"/>
      <c r="ZH53" s="272"/>
      <c r="ZI53" s="272"/>
      <c r="ZJ53" s="272"/>
      <c r="ZK53" s="272"/>
      <c r="ZL53" s="272"/>
      <c r="ZM53" s="272"/>
      <c r="ZN53" s="272"/>
      <c r="ZO53" s="272"/>
      <c r="ZP53" s="272"/>
      <c r="ZQ53" s="272"/>
      <c r="ZR53" s="272"/>
      <c r="ZS53" s="272"/>
      <c r="ZT53" s="272"/>
    </row>
    <row r="54" spans="1:696" s="62" customFormat="1" ht="13.5" thickBot="1">
      <c r="A54" s="77"/>
      <c r="B54" s="73"/>
      <c r="C54" s="28" t="s">
        <v>54</v>
      </c>
      <c r="D54" s="513"/>
      <c r="E54" s="532"/>
      <c r="F54" s="509"/>
      <c r="G54" s="506"/>
      <c r="H54" s="506"/>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72"/>
      <c r="DV54" s="272"/>
      <c r="DW54" s="272"/>
      <c r="DX54" s="272"/>
      <c r="DY54" s="272"/>
      <c r="DZ54" s="272"/>
      <c r="EA54" s="272"/>
      <c r="EB54" s="272"/>
      <c r="EC54" s="272"/>
      <c r="ED54" s="272"/>
      <c r="EE54" s="272"/>
      <c r="EF54" s="272"/>
      <c r="EG54" s="272"/>
      <c r="EH54" s="272"/>
      <c r="EI54" s="272"/>
      <c r="EJ54" s="272"/>
      <c r="EK54" s="272"/>
      <c r="EL54" s="272"/>
      <c r="EM54" s="272"/>
      <c r="EN54" s="272"/>
      <c r="EO54" s="272"/>
      <c r="EP54" s="272"/>
      <c r="EQ54" s="272"/>
      <c r="ER54" s="272"/>
      <c r="ES54" s="272"/>
      <c r="ET54" s="272"/>
      <c r="EU54" s="272"/>
      <c r="EV54" s="272"/>
      <c r="EW54" s="272"/>
      <c r="EX54" s="272"/>
      <c r="EY54" s="272"/>
      <c r="EZ54" s="272"/>
      <c r="FA54" s="272"/>
      <c r="FB54" s="272"/>
      <c r="FC54" s="272"/>
      <c r="FD54" s="272"/>
      <c r="FE54" s="272"/>
      <c r="FF54" s="272"/>
      <c r="FG54" s="272"/>
      <c r="FH54" s="272"/>
      <c r="FI54" s="272"/>
      <c r="FJ54" s="272"/>
      <c r="FK54" s="272"/>
      <c r="FL54" s="272"/>
      <c r="FM54" s="272"/>
      <c r="FN54" s="272"/>
      <c r="FO54" s="272"/>
      <c r="FP54" s="272"/>
      <c r="FQ54" s="272"/>
      <c r="FR54" s="272"/>
      <c r="FS54" s="272"/>
      <c r="FT54" s="272"/>
      <c r="FU54" s="272"/>
      <c r="FV54" s="272"/>
      <c r="FW54" s="272"/>
      <c r="FX54" s="272"/>
      <c r="FY54" s="272"/>
      <c r="FZ54" s="272"/>
      <c r="GA54" s="272"/>
      <c r="GB54" s="272"/>
      <c r="GC54" s="272"/>
      <c r="GD54" s="272"/>
      <c r="GE54" s="272"/>
      <c r="GF54" s="272"/>
      <c r="GG54" s="272"/>
      <c r="GH54" s="272"/>
      <c r="GI54" s="272"/>
      <c r="GJ54" s="272"/>
      <c r="GK54" s="272"/>
      <c r="GL54" s="272"/>
      <c r="GM54" s="272"/>
      <c r="GN54" s="272"/>
      <c r="GO54" s="272"/>
      <c r="GP54" s="272"/>
      <c r="GQ54" s="272"/>
      <c r="GR54" s="272"/>
      <c r="GS54" s="272"/>
      <c r="GT54" s="272"/>
      <c r="GU54" s="272"/>
      <c r="GV54" s="272"/>
      <c r="GW54" s="272"/>
      <c r="GX54" s="272"/>
      <c r="GY54" s="272"/>
      <c r="GZ54" s="272"/>
      <c r="HA54" s="272"/>
      <c r="HB54" s="272"/>
      <c r="HC54" s="272"/>
      <c r="HD54" s="272"/>
      <c r="HE54" s="272"/>
      <c r="HF54" s="272"/>
      <c r="HG54" s="272"/>
      <c r="HH54" s="272"/>
      <c r="HI54" s="272"/>
      <c r="HJ54" s="272"/>
      <c r="HK54" s="272"/>
      <c r="HL54" s="272"/>
      <c r="HM54" s="272"/>
      <c r="HN54" s="272"/>
      <c r="HO54" s="272"/>
      <c r="HP54" s="272"/>
      <c r="HQ54" s="272"/>
      <c r="HR54" s="272"/>
      <c r="HS54" s="272"/>
      <c r="HT54" s="272"/>
      <c r="HU54" s="272"/>
      <c r="HV54" s="272"/>
      <c r="HW54" s="272"/>
      <c r="HX54" s="272"/>
      <c r="HY54" s="272"/>
      <c r="HZ54" s="272"/>
      <c r="IA54" s="272"/>
      <c r="IB54" s="272"/>
      <c r="IC54" s="272"/>
      <c r="ID54" s="272"/>
      <c r="IE54" s="272"/>
      <c r="IF54" s="272"/>
      <c r="IG54" s="272"/>
      <c r="IH54" s="272"/>
      <c r="II54" s="272"/>
      <c r="IJ54" s="272"/>
      <c r="IK54" s="272"/>
      <c r="IL54" s="272"/>
      <c r="IM54" s="272"/>
      <c r="IN54" s="272"/>
      <c r="IO54" s="272"/>
      <c r="IP54" s="272"/>
      <c r="IQ54" s="272"/>
      <c r="IR54" s="272"/>
      <c r="IS54" s="272"/>
      <c r="IT54" s="272"/>
      <c r="IU54" s="272"/>
      <c r="IV54" s="272"/>
      <c r="IW54" s="272"/>
      <c r="IX54" s="272"/>
      <c r="IY54" s="272"/>
      <c r="IZ54" s="272"/>
      <c r="JA54" s="272"/>
      <c r="JB54" s="272"/>
      <c r="JC54" s="272"/>
      <c r="JD54" s="272"/>
      <c r="JE54" s="272"/>
      <c r="JF54" s="272"/>
      <c r="JG54" s="272"/>
      <c r="JH54" s="272"/>
      <c r="JI54" s="272"/>
      <c r="JJ54" s="272"/>
      <c r="JK54" s="272"/>
      <c r="JL54" s="272"/>
      <c r="JM54" s="272"/>
      <c r="JN54" s="272"/>
      <c r="JO54" s="272"/>
      <c r="JP54" s="272"/>
      <c r="JQ54" s="272"/>
      <c r="JR54" s="272"/>
      <c r="JS54" s="272"/>
      <c r="JT54" s="272"/>
      <c r="JU54" s="272"/>
      <c r="JV54" s="272"/>
      <c r="JW54" s="272"/>
      <c r="JX54" s="272"/>
      <c r="JY54" s="272"/>
      <c r="JZ54" s="272"/>
      <c r="KA54" s="272"/>
      <c r="KB54" s="272"/>
      <c r="KC54" s="272"/>
      <c r="KD54" s="272"/>
      <c r="KE54" s="272"/>
      <c r="KF54" s="272"/>
      <c r="KG54" s="272"/>
      <c r="KH54" s="272"/>
      <c r="KI54" s="272"/>
      <c r="KJ54" s="272"/>
      <c r="KK54" s="272"/>
      <c r="KL54" s="272"/>
      <c r="KM54" s="272"/>
      <c r="KN54" s="272"/>
      <c r="KO54" s="272"/>
      <c r="KP54" s="272"/>
      <c r="KQ54" s="272"/>
      <c r="KR54" s="272"/>
      <c r="KS54" s="272"/>
      <c r="KT54" s="272"/>
      <c r="KU54" s="272"/>
      <c r="KV54" s="272"/>
      <c r="KW54" s="272"/>
      <c r="KX54" s="272"/>
      <c r="KY54" s="272"/>
      <c r="KZ54" s="272"/>
      <c r="LA54" s="272"/>
      <c r="LB54" s="272"/>
      <c r="LC54" s="272"/>
      <c r="LD54" s="272"/>
      <c r="LE54" s="272"/>
      <c r="LF54" s="272"/>
      <c r="LG54" s="272"/>
      <c r="LH54" s="272"/>
      <c r="LI54" s="272"/>
      <c r="LJ54" s="272"/>
      <c r="LK54" s="272"/>
      <c r="LL54" s="272"/>
      <c r="LM54" s="272"/>
      <c r="LN54" s="272"/>
      <c r="LO54" s="272"/>
      <c r="LP54" s="272"/>
      <c r="LQ54" s="272"/>
      <c r="LR54" s="272"/>
      <c r="LS54" s="272"/>
      <c r="LT54" s="272"/>
      <c r="LU54" s="272"/>
      <c r="LV54" s="272"/>
      <c r="LW54" s="272"/>
      <c r="LX54" s="272"/>
      <c r="LY54" s="272"/>
      <c r="LZ54" s="272"/>
      <c r="MA54" s="272"/>
      <c r="MB54" s="272"/>
      <c r="MC54" s="272"/>
      <c r="MD54" s="272"/>
      <c r="ME54" s="272"/>
      <c r="MF54" s="272"/>
      <c r="MG54" s="272"/>
      <c r="MH54" s="272"/>
      <c r="MI54" s="272"/>
      <c r="MJ54" s="272"/>
      <c r="MK54" s="272"/>
      <c r="ML54" s="272"/>
      <c r="MM54" s="272"/>
      <c r="MN54" s="272"/>
      <c r="MO54" s="272"/>
      <c r="MP54" s="272"/>
      <c r="MQ54" s="272"/>
      <c r="MR54" s="272"/>
      <c r="MS54" s="272"/>
      <c r="MT54" s="272"/>
      <c r="MU54" s="272"/>
      <c r="MV54" s="272"/>
      <c r="MW54" s="272"/>
      <c r="MX54" s="272"/>
      <c r="MY54" s="272"/>
      <c r="MZ54" s="272"/>
      <c r="NA54" s="272"/>
      <c r="NB54" s="272"/>
      <c r="NC54" s="272"/>
      <c r="ND54" s="272"/>
      <c r="NE54" s="272"/>
      <c r="NF54" s="272"/>
      <c r="NG54" s="272"/>
      <c r="NH54" s="272"/>
      <c r="NI54" s="272"/>
      <c r="NJ54" s="272"/>
      <c r="NK54" s="272"/>
      <c r="NL54" s="272"/>
      <c r="NM54" s="272"/>
      <c r="NN54" s="272"/>
      <c r="NO54" s="272"/>
      <c r="NP54" s="272"/>
      <c r="NQ54" s="272"/>
      <c r="NR54" s="272"/>
      <c r="NS54" s="272"/>
      <c r="NT54" s="272"/>
      <c r="NU54" s="272"/>
      <c r="NV54" s="272"/>
      <c r="NW54" s="272"/>
      <c r="NX54" s="272"/>
      <c r="NY54" s="272"/>
      <c r="NZ54" s="272"/>
      <c r="OA54" s="272"/>
      <c r="OB54" s="272"/>
      <c r="OC54" s="272"/>
      <c r="OD54" s="272"/>
      <c r="OE54" s="272"/>
      <c r="OF54" s="272"/>
      <c r="OG54" s="272"/>
      <c r="OH54" s="272"/>
      <c r="OI54" s="272"/>
      <c r="OJ54" s="272"/>
      <c r="OK54" s="272"/>
      <c r="OL54" s="272"/>
      <c r="OM54" s="272"/>
      <c r="ON54" s="272"/>
      <c r="OO54" s="272"/>
      <c r="OP54" s="272"/>
      <c r="OQ54" s="272"/>
      <c r="OR54" s="272"/>
      <c r="OS54" s="272"/>
      <c r="OT54" s="272"/>
      <c r="OU54" s="272"/>
      <c r="OV54" s="272"/>
      <c r="OW54" s="272"/>
      <c r="OX54" s="272"/>
      <c r="OY54" s="272"/>
      <c r="OZ54" s="272"/>
      <c r="PA54" s="272"/>
      <c r="PB54" s="272"/>
      <c r="PC54" s="272"/>
      <c r="PD54" s="272"/>
      <c r="PE54" s="272"/>
      <c r="PF54" s="272"/>
      <c r="PG54" s="272"/>
      <c r="PH54" s="272"/>
      <c r="PI54" s="272"/>
      <c r="PJ54" s="272"/>
      <c r="PK54" s="272"/>
      <c r="PL54" s="272"/>
      <c r="PM54" s="272"/>
      <c r="PN54" s="272"/>
      <c r="PO54" s="272"/>
      <c r="PP54" s="272"/>
      <c r="PQ54" s="272"/>
      <c r="PR54" s="272"/>
      <c r="PS54" s="272"/>
      <c r="PT54" s="272"/>
      <c r="PU54" s="272"/>
      <c r="PV54" s="272"/>
      <c r="PW54" s="272"/>
      <c r="PX54" s="272"/>
      <c r="PY54" s="272"/>
      <c r="PZ54" s="272"/>
      <c r="QA54" s="272"/>
      <c r="QB54" s="272"/>
      <c r="QC54" s="272"/>
      <c r="QD54" s="272"/>
      <c r="QE54" s="272"/>
      <c r="QF54" s="272"/>
      <c r="QG54" s="272"/>
      <c r="QH54" s="272"/>
      <c r="QI54" s="272"/>
      <c r="QJ54" s="272"/>
      <c r="QK54" s="272"/>
      <c r="QL54" s="272"/>
      <c r="QM54" s="272"/>
      <c r="QN54" s="272"/>
      <c r="QO54" s="272"/>
      <c r="QP54" s="272"/>
      <c r="QQ54" s="272"/>
      <c r="QR54" s="272"/>
      <c r="QS54" s="272"/>
      <c r="QT54" s="272"/>
      <c r="QU54" s="272"/>
      <c r="QV54" s="272"/>
      <c r="QW54" s="272"/>
      <c r="QX54" s="272"/>
      <c r="QY54" s="272"/>
      <c r="QZ54" s="272"/>
      <c r="RA54" s="272"/>
      <c r="RB54" s="272"/>
      <c r="RC54" s="272"/>
      <c r="RD54" s="272"/>
      <c r="RE54" s="272"/>
      <c r="RF54" s="272"/>
      <c r="RG54" s="272"/>
      <c r="RH54" s="272"/>
      <c r="RI54" s="272"/>
      <c r="RJ54" s="272"/>
      <c r="RK54" s="272"/>
      <c r="RL54" s="272"/>
      <c r="RM54" s="272"/>
      <c r="RN54" s="272"/>
      <c r="RO54" s="272"/>
      <c r="RP54" s="272"/>
      <c r="RQ54" s="272"/>
      <c r="RR54" s="272"/>
      <c r="RS54" s="272"/>
      <c r="RT54" s="272"/>
      <c r="RU54" s="272"/>
      <c r="RV54" s="272"/>
      <c r="RW54" s="272"/>
      <c r="RX54" s="272"/>
      <c r="RY54" s="272"/>
      <c r="RZ54" s="272"/>
      <c r="SA54" s="272"/>
      <c r="SB54" s="272"/>
      <c r="SC54" s="272"/>
      <c r="SD54" s="272"/>
      <c r="SE54" s="272"/>
      <c r="SF54" s="272"/>
      <c r="SG54" s="272"/>
      <c r="SH54" s="272"/>
      <c r="SI54" s="272"/>
      <c r="SJ54" s="272"/>
      <c r="SK54" s="272"/>
      <c r="SL54" s="272"/>
      <c r="SM54" s="272"/>
      <c r="SN54" s="272"/>
      <c r="SO54" s="272"/>
      <c r="SP54" s="272"/>
      <c r="SQ54" s="272"/>
      <c r="SR54" s="272"/>
      <c r="SS54" s="272"/>
      <c r="ST54" s="272"/>
      <c r="SU54" s="272"/>
      <c r="SV54" s="272"/>
      <c r="SW54" s="272"/>
      <c r="SX54" s="272"/>
      <c r="SY54" s="272"/>
      <c r="SZ54" s="272"/>
      <c r="TA54" s="272"/>
      <c r="TB54" s="272"/>
      <c r="TC54" s="272"/>
      <c r="TD54" s="272"/>
      <c r="TE54" s="272"/>
      <c r="TF54" s="272"/>
      <c r="TG54" s="272"/>
      <c r="TH54" s="272"/>
      <c r="TI54" s="272"/>
      <c r="TJ54" s="272"/>
      <c r="TK54" s="272"/>
      <c r="TL54" s="272"/>
      <c r="TM54" s="272"/>
      <c r="TN54" s="272"/>
      <c r="TO54" s="272"/>
      <c r="TP54" s="272"/>
      <c r="TQ54" s="272"/>
      <c r="TR54" s="272"/>
      <c r="TS54" s="272"/>
      <c r="TT54" s="272"/>
      <c r="TU54" s="272"/>
      <c r="TV54" s="272"/>
      <c r="TW54" s="272"/>
      <c r="TX54" s="272"/>
      <c r="TY54" s="272"/>
      <c r="TZ54" s="272"/>
      <c r="UA54" s="272"/>
      <c r="UB54" s="272"/>
      <c r="UC54" s="272"/>
      <c r="UD54" s="272"/>
      <c r="UE54" s="272"/>
      <c r="UF54" s="272"/>
      <c r="UG54" s="272"/>
      <c r="UH54" s="272"/>
      <c r="UI54" s="272"/>
      <c r="UJ54" s="272"/>
      <c r="UK54" s="272"/>
      <c r="UL54" s="272"/>
      <c r="UM54" s="272"/>
      <c r="UN54" s="272"/>
      <c r="UO54" s="272"/>
      <c r="UP54" s="272"/>
      <c r="UQ54" s="272"/>
      <c r="UR54" s="272"/>
      <c r="US54" s="272"/>
      <c r="UT54" s="272"/>
      <c r="UU54" s="272"/>
      <c r="UV54" s="272"/>
      <c r="UW54" s="272"/>
      <c r="UX54" s="272"/>
      <c r="UY54" s="272"/>
      <c r="UZ54" s="272"/>
      <c r="VA54" s="272"/>
      <c r="VB54" s="272"/>
      <c r="VC54" s="272"/>
      <c r="VD54" s="272"/>
      <c r="VE54" s="272"/>
      <c r="VF54" s="272"/>
      <c r="VG54" s="272"/>
      <c r="VH54" s="272"/>
      <c r="VI54" s="272"/>
      <c r="VJ54" s="272"/>
      <c r="VK54" s="272"/>
      <c r="VL54" s="272"/>
      <c r="VM54" s="272"/>
      <c r="VN54" s="272"/>
      <c r="VO54" s="272"/>
      <c r="VP54" s="272"/>
      <c r="VQ54" s="272"/>
      <c r="VR54" s="272"/>
      <c r="VS54" s="272"/>
      <c r="VT54" s="272"/>
      <c r="VU54" s="272"/>
      <c r="VV54" s="272"/>
      <c r="VW54" s="272"/>
      <c r="VX54" s="272"/>
      <c r="VY54" s="272"/>
      <c r="VZ54" s="272"/>
      <c r="WA54" s="272"/>
      <c r="WB54" s="272"/>
      <c r="WC54" s="272"/>
      <c r="WD54" s="272"/>
      <c r="WE54" s="272"/>
      <c r="WF54" s="272"/>
      <c r="WG54" s="272"/>
      <c r="WH54" s="272"/>
      <c r="WI54" s="272"/>
      <c r="WJ54" s="272"/>
      <c r="WK54" s="272"/>
      <c r="WL54" s="272"/>
      <c r="WM54" s="272"/>
      <c r="WN54" s="272"/>
      <c r="WO54" s="272"/>
      <c r="WP54" s="272"/>
      <c r="WQ54" s="272"/>
      <c r="WR54" s="272"/>
      <c r="WS54" s="272"/>
      <c r="WT54" s="272"/>
      <c r="WU54" s="272"/>
      <c r="WV54" s="272"/>
      <c r="WW54" s="272"/>
      <c r="WX54" s="272"/>
      <c r="WY54" s="272"/>
      <c r="WZ54" s="272"/>
      <c r="XA54" s="272"/>
      <c r="XB54" s="272"/>
      <c r="XC54" s="272"/>
      <c r="XD54" s="272"/>
      <c r="XE54" s="272"/>
      <c r="XF54" s="272"/>
      <c r="XG54" s="272"/>
      <c r="XH54" s="272"/>
      <c r="XI54" s="272"/>
      <c r="XJ54" s="272"/>
      <c r="XK54" s="272"/>
      <c r="XL54" s="272"/>
      <c r="XM54" s="272"/>
      <c r="XN54" s="272"/>
      <c r="XO54" s="272"/>
      <c r="XP54" s="272"/>
      <c r="XQ54" s="272"/>
      <c r="XR54" s="272"/>
      <c r="XS54" s="272"/>
      <c r="XT54" s="272"/>
      <c r="XU54" s="272"/>
      <c r="XV54" s="272"/>
      <c r="XW54" s="272"/>
      <c r="XX54" s="272"/>
      <c r="XY54" s="272"/>
      <c r="XZ54" s="272"/>
      <c r="YA54" s="272"/>
      <c r="YB54" s="272"/>
      <c r="YC54" s="272"/>
      <c r="YD54" s="272"/>
      <c r="YE54" s="272"/>
      <c r="YF54" s="272"/>
      <c r="YG54" s="272"/>
      <c r="YH54" s="272"/>
      <c r="YI54" s="272"/>
      <c r="YJ54" s="272"/>
      <c r="YK54" s="272"/>
      <c r="YL54" s="272"/>
      <c r="YM54" s="272"/>
      <c r="YN54" s="272"/>
      <c r="YO54" s="272"/>
      <c r="YP54" s="272"/>
      <c r="YQ54" s="272"/>
      <c r="YR54" s="272"/>
      <c r="YS54" s="272"/>
      <c r="YT54" s="272"/>
      <c r="YU54" s="272"/>
      <c r="YV54" s="272"/>
      <c r="YW54" s="272"/>
      <c r="YX54" s="272"/>
      <c r="YY54" s="272"/>
      <c r="YZ54" s="272"/>
      <c r="ZA54" s="272"/>
      <c r="ZB54" s="272"/>
      <c r="ZC54" s="272"/>
      <c r="ZD54" s="272"/>
      <c r="ZE54" s="272"/>
      <c r="ZF54" s="272"/>
      <c r="ZG54" s="272"/>
      <c r="ZH54" s="272"/>
      <c r="ZI54" s="272"/>
      <c r="ZJ54" s="272"/>
      <c r="ZK54" s="272"/>
      <c r="ZL54" s="272"/>
      <c r="ZM54" s="272"/>
      <c r="ZN54" s="272"/>
      <c r="ZO54" s="272"/>
      <c r="ZP54" s="272"/>
      <c r="ZQ54" s="272"/>
      <c r="ZR54" s="272"/>
      <c r="ZS54" s="272"/>
      <c r="ZT54" s="272"/>
    </row>
    <row r="55" spans="1:696" s="61" customFormat="1" ht="51">
      <c r="A55" s="69" t="s">
        <v>6</v>
      </c>
      <c r="B55" s="70" t="s">
        <v>28</v>
      </c>
      <c r="C55" s="30" t="s">
        <v>52</v>
      </c>
      <c r="D55" s="501"/>
      <c r="E55" s="531"/>
      <c r="F55" s="502"/>
      <c r="G55" s="503"/>
      <c r="H55" s="503"/>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2"/>
      <c r="EB55" s="272"/>
      <c r="EC55" s="272"/>
      <c r="ED55" s="272"/>
      <c r="EE55" s="272"/>
      <c r="EF55" s="272"/>
      <c r="EG55" s="272"/>
      <c r="EH55" s="272"/>
      <c r="EI55" s="272"/>
      <c r="EJ55" s="272"/>
      <c r="EK55" s="272"/>
      <c r="EL55" s="272"/>
      <c r="EM55" s="272"/>
      <c r="EN55" s="272"/>
      <c r="EO55" s="272"/>
      <c r="EP55" s="272"/>
      <c r="EQ55" s="272"/>
      <c r="ER55" s="272"/>
      <c r="ES55" s="272"/>
      <c r="ET55" s="272"/>
      <c r="EU55" s="272"/>
      <c r="EV55" s="272"/>
      <c r="EW55" s="272"/>
      <c r="EX55" s="272"/>
      <c r="EY55" s="272"/>
      <c r="EZ55" s="272"/>
      <c r="FA55" s="272"/>
      <c r="FB55" s="272"/>
      <c r="FC55" s="272"/>
      <c r="FD55" s="272"/>
      <c r="FE55" s="272"/>
      <c r="FF55" s="272"/>
      <c r="FG55" s="272"/>
      <c r="FH55" s="272"/>
      <c r="FI55" s="272"/>
      <c r="FJ55" s="272"/>
      <c r="FK55" s="272"/>
      <c r="FL55" s="272"/>
      <c r="FM55" s="272"/>
      <c r="FN55" s="272"/>
      <c r="FO55" s="272"/>
      <c r="FP55" s="272"/>
      <c r="FQ55" s="272"/>
      <c r="FR55" s="272"/>
      <c r="FS55" s="272"/>
      <c r="FT55" s="272"/>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c r="HE55" s="272"/>
      <c r="HF55" s="272"/>
      <c r="HG55" s="272"/>
      <c r="HH55" s="272"/>
      <c r="HI55" s="272"/>
      <c r="HJ55" s="272"/>
      <c r="HK55" s="272"/>
      <c r="HL55" s="272"/>
      <c r="HM55" s="272"/>
      <c r="HN55" s="272"/>
      <c r="HO55" s="272"/>
      <c r="HP55" s="272"/>
      <c r="HQ55" s="272"/>
      <c r="HR55" s="272"/>
      <c r="HS55" s="272"/>
      <c r="HT55" s="272"/>
      <c r="HU55" s="272"/>
      <c r="HV55" s="272"/>
      <c r="HW55" s="272"/>
      <c r="HX55" s="272"/>
      <c r="HY55" s="272"/>
      <c r="HZ55" s="272"/>
      <c r="IA55" s="272"/>
      <c r="IB55" s="272"/>
      <c r="IC55" s="272"/>
      <c r="ID55" s="272"/>
      <c r="IE55" s="272"/>
      <c r="IF55" s="272"/>
      <c r="IG55" s="272"/>
      <c r="IH55" s="272"/>
      <c r="II55" s="272"/>
      <c r="IJ55" s="272"/>
      <c r="IK55" s="272"/>
      <c r="IL55" s="272"/>
      <c r="IM55" s="272"/>
      <c r="IN55" s="272"/>
      <c r="IO55" s="272"/>
      <c r="IP55" s="272"/>
      <c r="IQ55" s="272"/>
      <c r="IR55" s="272"/>
      <c r="IS55" s="272"/>
      <c r="IT55" s="272"/>
      <c r="IU55" s="272"/>
      <c r="IV55" s="272"/>
      <c r="IW55" s="272"/>
      <c r="IX55" s="272"/>
      <c r="IY55" s="272"/>
      <c r="IZ55" s="272"/>
      <c r="JA55" s="272"/>
      <c r="JB55" s="272"/>
      <c r="JC55" s="272"/>
      <c r="JD55" s="272"/>
      <c r="JE55" s="272"/>
      <c r="JF55" s="272"/>
      <c r="JG55" s="272"/>
      <c r="JH55" s="272"/>
      <c r="JI55" s="272"/>
      <c r="JJ55" s="272"/>
      <c r="JK55" s="272"/>
      <c r="JL55" s="272"/>
      <c r="JM55" s="272"/>
      <c r="JN55" s="272"/>
      <c r="JO55" s="272"/>
      <c r="JP55" s="272"/>
      <c r="JQ55" s="272"/>
      <c r="JR55" s="272"/>
      <c r="JS55" s="272"/>
      <c r="JT55" s="272"/>
      <c r="JU55" s="272"/>
      <c r="JV55" s="272"/>
      <c r="JW55" s="272"/>
      <c r="JX55" s="272"/>
      <c r="JY55" s="272"/>
      <c r="JZ55" s="272"/>
      <c r="KA55" s="272"/>
      <c r="KB55" s="272"/>
      <c r="KC55" s="272"/>
      <c r="KD55" s="272"/>
      <c r="KE55" s="272"/>
      <c r="KF55" s="272"/>
      <c r="KG55" s="272"/>
      <c r="KH55" s="272"/>
      <c r="KI55" s="272"/>
      <c r="KJ55" s="272"/>
      <c r="KK55" s="272"/>
      <c r="KL55" s="272"/>
      <c r="KM55" s="272"/>
      <c r="KN55" s="272"/>
      <c r="KO55" s="272"/>
      <c r="KP55" s="272"/>
      <c r="KQ55" s="272"/>
      <c r="KR55" s="272"/>
      <c r="KS55" s="272"/>
      <c r="KT55" s="272"/>
      <c r="KU55" s="272"/>
      <c r="KV55" s="272"/>
      <c r="KW55" s="272"/>
      <c r="KX55" s="272"/>
      <c r="KY55" s="272"/>
      <c r="KZ55" s="272"/>
      <c r="LA55" s="272"/>
      <c r="LB55" s="272"/>
      <c r="LC55" s="272"/>
      <c r="LD55" s="272"/>
      <c r="LE55" s="272"/>
      <c r="LF55" s="272"/>
      <c r="LG55" s="272"/>
      <c r="LH55" s="272"/>
      <c r="LI55" s="272"/>
      <c r="LJ55" s="272"/>
      <c r="LK55" s="272"/>
      <c r="LL55" s="272"/>
      <c r="LM55" s="272"/>
      <c r="LN55" s="272"/>
      <c r="LO55" s="272"/>
      <c r="LP55" s="272"/>
      <c r="LQ55" s="272"/>
      <c r="LR55" s="272"/>
      <c r="LS55" s="272"/>
      <c r="LT55" s="272"/>
      <c r="LU55" s="272"/>
      <c r="LV55" s="272"/>
      <c r="LW55" s="272"/>
      <c r="LX55" s="272"/>
      <c r="LY55" s="272"/>
      <c r="LZ55" s="272"/>
      <c r="MA55" s="272"/>
      <c r="MB55" s="272"/>
      <c r="MC55" s="272"/>
      <c r="MD55" s="272"/>
      <c r="ME55" s="272"/>
      <c r="MF55" s="272"/>
      <c r="MG55" s="272"/>
      <c r="MH55" s="272"/>
      <c r="MI55" s="272"/>
      <c r="MJ55" s="272"/>
      <c r="MK55" s="272"/>
      <c r="ML55" s="272"/>
      <c r="MM55" s="272"/>
      <c r="MN55" s="272"/>
      <c r="MO55" s="272"/>
      <c r="MP55" s="272"/>
      <c r="MQ55" s="272"/>
      <c r="MR55" s="272"/>
      <c r="MS55" s="272"/>
      <c r="MT55" s="272"/>
      <c r="MU55" s="272"/>
      <c r="MV55" s="272"/>
      <c r="MW55" s="272"/>
      <c r="MX55" s="272"/>
      <c r="MY55" s="272"/>
      <c r="MZ55" s="272"/>
      <c r="NA55" s="272"/>
      <c r="NB55" s="272"/>
      <c r="NC55" s="272"/>
      <c r="ND55" s="272"/>
      <c r="NE55" s="272"/>
      <c r="NF55" s="272"/>
      <c r="NG55" s="272"/>
      <c r="NH55" s="272"/>
      <c r="NI55" s="272"/>
      <c r="NJ55" s="272"/>
      <c r="NK55" s="272"/>
      <c r="NL55" s="272"/>
      <c r="NM55" s="272"/>
      <c r="NN55" s="272"/>
      <c r="NO55" s="272"/>
      <c r="NP55" s="272"/>
      <c r="NQ55" s="272"/>
      <c r="NR55" s="272"/>
      <c r="NS55" s="272"/>
      <c r="NT55" s="272"/>
      <c r="NU55" s="272"/>
      <c r="NV55" s="272"/>
      <c r="NW55" s="272"/>
      <c r="NX55" s="272"/>
      <c r="NY55" s="272"/>
      <c r="NZ55" s="272"/>
      <c r="OA55" s="272"/>
      <c r="OB55" s="272"/>
      <c r="OC55" s="272"/>
      <c r="OD55" s="272"/>
      <c r="OE55" s="272"/>
      <c r="OF55" s="272"/>
      <c r="OG55" s="272"/>
      <c r="OH55" s="272"/>
      <c r="OI55" s="272"/>
      <c r="OJ55" s="272"/>
      <c r="OK55" s="272"/>
      <c r="OL55" s="272"/>
      <c r="OM55" s="272"/>
      <c r="ON55" s="272"/>
      <c r="OO55" s="272"/>
      <c r="OP55" s="272"/>
      <c r="OQ55" s="272"/>
      <c r="OR55" s="272"/>
      <c r="OS55" s="272"/>
      <c r="OT55" s="272"/>
      <c r="OU55" s="272"/>
      <c r="OV55" s="272"/>
      <c r="OW55" s="272"/>
      <c r="OX55" s="272"/>
      <c r="OY55" s="272"/>
      <c r="OZ55" s="272"/>
      <c r="PA55" s="272"/>
      <c r="PB55" s="272"/>
      <c r="PC55" s="272"/>
      <c r="PD55" s="272"/>
      <c r="PE55" s="272"/>
      <c r="PF55" s="272"/>
      <c r="PG55" s="272"/>
      <c r="PH55" s="272"/>
      <c r="PI55" s="272"/>
      <c r="PJ55" s="272"/>
      <c r="PK55" s="272"/>
      <c r="PL55" s="272"/>
      <c r="PM55" s="272"/>
      <c r="PN55" s="272"/>
      <c r="PO55" s="272"/>
      <c r="PP55" s="272"/>
      <c r="PQ55" s="272"/>
      <c r="PR55" s="272"/>
      <c r="PS55" s="272"/>
      <c r="PT55" s="272"/>
      <c r="PU55" s="272"/>
      <c r="PV55" s="272"/>
      <c r="PW55" s="272"/>
      <c r="PX55" s="272"/>
      <c r="PY55" s="272"/>
      <c r="PZ55" s="272"/>
      <c r="QA55" s="272"/>
      <c r="QB55" s="272"/>
      <c r="QC55" s="272"/>
      <c r="QD55" s="272"/>
      <c r="QE55" s="272"/>
      <c r="QF55" s="272"/>
      <c r="QG55" s="272"/>
      <c r="QH55" s="272"/>
      <c r="QI55" s="272"/>
      <c r="QJ55" s="272"/>
      <c r="QK55" s="272"/>
      <c r="QL55" s="272"/>
      <c r="QM55" s="272"/>
      <c r="QN55" s="272"/>
      <c r="QO55" s="272"/>
      <c r="QP55" s="272"/>
      <c r="QQ55" s="272"/>
      <c r="QR55" s="272"/>
      <c r="QS55" s="272"/>
      <c r="QT55" s="272"/>
      <c r="QU55" s="272"/>
      <c r="QV55" s="272"/>
      <c r="QW55" s="272"/>
      <c r="QX55" s="272"/>
      <c r="QY55" s="272"/>
      <c r="QZ55" s="272"/>
      <c r="RA55" s="272"/>
      <c r="RB55" s="272"/>
      <c r="RC55" s="272"/>
      <c r="RD55" s="272"/>
      <c r="RE55" s="272"/>
      <c r="RF55" s="272"/>
      <c r="RG55" s="272"/>
      <c r="RH55" s="272"/>
      <c r="RI55" s="272"/>
      <c r="RJ55" s="272"/>
      <c r="RK55" s="272"/>
      <c r="RL55" s="272"/>
      <c r="RM55" s="272"/>
      <c r="RN55" s="272"/>
      <c r="RO55" s="272"/>
      <c r="RP55" s="272"/>
      <c r="RQ55" s="272"/>
      <c r="RR55" s="272"/>
      <c r="RS55" s="272"/>
      <c r="RT55" s="272"/>
      <c r="RU55" s="272"/>
      <c r="RV55" s="272"/>
      <c r="RW55" s="272"/>
      <c r="RX55" s="272"/>
      <c r="RY55" s="272"/>
      <c r="RZ55" s="272"/>
      <c r="SA55" s="272"/>
      <c r="SB55" s="272"/>
      <c r="SC55" s="272"/>
      <c r="SD55" s="272"/>
      <c r="SE55" s="272"/>
      <c r="SF55" s="272"/>
      <c r="SG55" s="272"/>
      <c r="SH55" s="272"/>
      <c r="SI55" s="272"/>
      <c r="SJ55" s="272"/>
      <c r="SK55" s="272"/>
      <c r="SL55" s="272"/>
      <c r="SM55" s="272"/>
      <c r="SN55" s="272"/>
      <c r="SO55" s="272"/>
      <c r="SP55" s="272"/>
      <c r="SQ55" s="272"/>
      <c r="SR55" s="272"/>
      <c r="SS55" s="272"/>
      <c r="ST55" s="272"/>
      <c r="SU55" s="272"/>
      <c r="SV55" s="272"/>
      <c r="SW55" s="272"/>
      <c r="SX55" s="272"/>
      <c r="SY55" s="272"/>
      <c r="SZ55" s="272"/>
      <c r="TA55" s="272"/>
      <c r="TB55" s="272"/>
      <c r="TC55" s="272"/>
      <c r="TD55" s="272"/>
      <c r="TE55" s="272"/>
      <c r="TF55" s="272"/>
      <c r="TG55" s="272"/>
      <c r="TH55" s="272"/>
      <c r="TI55" s="272"/>
      <c r="TJ55" s="272"/>
      <c r="TK55" s="272"/>
      <c r="TL55" s="272"/>
      <c r="TM55" s="272"/>
      <c r="TN55" s="272"/>
      <c r="TO55" s="272"/>
      <c r="TP55" s="272"/>
      <c r="TQ55" s="272"/>
      <c r="TR55" s="272"/>
      <c r="TS55" s="272"/>
      <c r="TT55" s="272"/>
      <c r="TU55" s="272"/>
      <c r="TV55" s="272"/>
      <c r="TW55" s="272"/>
      <c r="TX55" s="272"/>
      <c r="TY55" s="272"/>
      <c r="TZ55" s="272"/>
      <c r="UA55" s="272"/>
      <c r="UB55" s="272"/>
      <c r="UC55" s="272"/>
      <c r="UD55" s="272"/>
      <c r="UE55" s="272"/>
      <c r="UF55" s="272"/>
      <c r="UG55" s="272"/>
      <c r="UH55" s="272"/>
      <c r="UI55" s="272"/>
      <c r="UJ55" s="272"/>
      <c r="UK55" s="272"/>
      <c r="UL55" s="272"/>
      <c r="UM55" s="272"/>
      <c r="UN55" s="272"/>
      <c r="UO55" s="272"/>
      <c r="UP55" s="272"/>
      <c r="UQ55" s="272"/>
      <c r="UR55" s="272"/>
      <c r="US55" s="272"/>
      <c r="UT55" s="272"/>
      <c r="UU55" s="272"/>
      <c r="UV55" s="272"/>
      <c r="UW55" s="272"/>
      <c r="UX55" s="272"/>
      <c r="UY55" s="272"/>
      <c r="UZ55" s="272"/>
      <c r="VA55" s="272"/>
      <c r="VB55" s="272"/>
      <c r="VC55" s="272"/>
      <c r="VD55" s="272"/>
      <c r="VE55" s="272"/>
      <c r="VF55" s="272"/>
      <c r="VG55" s="272"/>
      <c r="VH55" s="272"/>
      <c r="VI55" s="272"/>
      <c r="VJ55" s="272"/>
      <c r="VK55" s="272"/>
      <c r="VL55" s="272"/>
      <c r="VM55" s="272"/>
      <c r="VN55" s="272"/>
      <c r="VO55" s="272"/>
      <c r="VP55" s="272"/>
      <c r="VQ55" s="272"/>
      <c r="VR55" s="272"/>
      <c r="VS55" s="272"/>
      <c r="VT55" s="272"/>
      <c r="VU55" s="272"/>
      <c r="VV55" s="272"/>
      <c r="VW55" s="272"/>
      <c r="VX55" s="272"/>
      <c r="VY55" s="272"/>
      <c r="VZ55" s="272"/>
      <c r="WA55" s="272"/>
      <c r="WB55" s="272"/>
      <c r="WC55" s="272"/>
      <c r="WD55" s="272"/>
      <c r="WE55" s="272"/>
      <c r="WF55" s="272"/>
      <c r="WG55" s="272"/>
      <c r="WH55" s="272"/>
      <c r="WI55" s="272"/>
      <c r="WJ55" s="272"/>
      <c r="WK55" s="272"/>
      <c r="WL55" s="272"/>
      <c r="WM55" s="272"/>
      <c r="WN55" s="272"/>
      <c r="WO55" s="272"/>
      <c r="WP55" s="272"/>
      <c r="WQ55" s="272"/>
      <c r="WR55" s="272"/>
      <c r="WS55" s="272"/>
      <c r="WT55" s="272"/>
      <c r="WU55" s="272"/>
      <c r="WV55" s="272"/>
      <c r="WW55" s="272"/>
      <c r="WX55" s="272"/>
      <c r="WY55" s="272"/>
      <c r="WZ55" s="272"/>
      <c r="XA55" s="272"/>
      <c r="XB55" s="272"/>
      <c r="XC55" s="272"/>
      <c r="XD55" s="272"/>
      <c r="XE55" s="272"/>
      <c r="XF55" s="272"/>
      <c r="XG55" s="272"/>
      <c r="XH55" s="272"/>
      <c r="XI55" s="272"/>
      <c r="XJ55" s="272"/>
      <c r="XK55" s="272"/>
      <c r="XL55" s="272"/>
      <c r="XM55" s="272"/>
      <c r="XN55" s="272"/>
      <c r="XO55" s="272"/>
      <c r="XP55" s="272"/>
      <c r="XQ55" s="272"/>
      <c r="XR55" s="272"/>
      <c r="XS55" s="272"/>
      <c r="XT55" s="272"/>
      <c r="XU55" s="272"/>
      <c r="XV55" s="272"/>
      <c r="XW55" s="272"/>
      <c r="XX55" s="272"/>
      <c r="XY55" s="272"/>
      <c r="XZ55" s="272"/>
      <c r="YA55" s="272"/>
      <c r="YB55" s="272"/>
      <c r="YC55" s="272"/>
      <c r="YD55" s="272"/>
      <c r="YE55" s="272"/>
      <c r="YF55" s="272"/>
      <c r="YG55" s="272"/>
      <c r="YH55" s="272"/>
      <c r="YI55" s="272"/>
      <c r="YJ55" s="272"/>
      <c r="YK55" s="272"/>
      <c r="YL55" s="272"/>
      <c r="YM55" s="272"/>
      <c r="YN55" s="272"/>
      <c r="YO55" s="272"/>
      <c r="YP55" s="272"/>
      <c r="YQ55" s="272"/>
      <c r="YR55" s="272"/>
      <c r="YS55" s="272"/>
      <c r="YT55" s="272"/>
      <c r="YU55" s="272"/>
      <c r="YV55" s="272"/>
      <c r="YW55" s="272"/>
      <c r="YX55" s="272"/>
      <c r="YY55" s="272"/>
      <c r="YZ55" s="272"/>
      <c r="ZA55" s="272"/>
      <c r="ZB55" s="272"/>
      <c r="ZC55" s="272"/>
      <c r="ZD55" s="272"/>
      <c r="ZE55" s="272"/>
      <c r="ZF55" s="272"/>
      <c r="ZG55" s="272"/>
      <c r="ZH55" s="272"/>
      <c r="ZI55" s="272"/>
      <c r="ZJ55" s="272"/>
      <c r="ZK55" s="272"/>
      <c r="ZL55" s="272"/>
      <c r="ZM55" s="272"/>
      <c r="ZN55" s="272"/>
      <c r="ZO55" s="272"/>
      <c r="ZP55" s="272"/>
      <c r="ZQ55" s="272"/>
      <c r="ZR55" s="272"/>
      <c r="ZS55" s="272"/>
      <c r="ZT55" s="272"/>
    </row>
    <row r="56" spans="1:696" s="19" customFormat="1" ht="15">
      <c r="A56" s="47"/>
      <c r="B56" s="74"/>
      <c r="C56" s="55" t="s">
        <v>53</v>
      </c>
      <c r="D56" s="55"/>
      <c r="E56" s="57"/>
      <c r="F56" s="57"/>
      <c r="G56" s="263"/>
      <c r="H56" s="263"/>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2"/>
      <c r="ED56" s="272"/>
      <c r="EE56" s="272"/>
      <c r="EF56" s="272"/>
      <c r="EG56" s="272"/>
      <c r="EH56" s="272"/>
      <c r="EI56" s="272"/>
      <c r="EJ56" s="272"/>
      <c r="EK56" s="272"/>
      <c r="EL56" s="272"/>
      <c r="EM56" s="272"/>
      <c r="EN56" s="272"/>
      <c r="EO56" s="272"/>
      <c r="EP56" s="272"/>
      <c r="EQ56" s="272"/>
      <c r="ER56" s="272"/>
      <c r="ES56" s="272"/>
      <c r="ET56" s="272"/>
      <c r="EU56" s="272"/>
      <c r="EV56" s="272"/>
      <c r="EW56" s="272"/>
      <c r="EX56" s="272"/>
      <c r="EY56" s="272"/>
      <c r="EZ56" s="272"/>
      <c r="FA56" s="272"/>
      <c r="FB56" s="272"/>
      <c r="FC56" s="272"/>
      <c r="FD56" s="272"/>
      <c r="FE56" s="272"/>
      <c r="FF56" s="272"/>
      <c r="FG56" s="272"/>
      <c r="FH56" s="272"/>
      <c r="FI56" s="272"/>
      <c r="FJ56" s="272"/>
      <c r="FK56" s="272"/>
      <c r="FL56" s="272"/>
      <c r="FM56" s="272"/>
      <c r="FN56" s="272"/>
      <c r="FO56" s="272"/>
      <c r="FP56" s="272"/>
      <c r="FQ56" s="272"/>
      <c r="FR56" s="272"/>
      <c r="FS56" s="272"/>
      <c r="FT56" s="272"/>
      <c r="FU56" s="272"/>
      <c r="FV56" s="272"/>
      <c r="FW56" s="272"/>
      <c r="FX56" s="272"/>
      <c r="FY56" s="272"/>
      <c r="FZ56" s="272"/>
      <c r="GA56" s="272"/>
      <c r="GB56" s="272"/>
      <c r="GC56" s="272"/>
      <c r="GD56" s="272"/>
      <c r="GE56" s="272"/>
      <c r="GF56" s="272"/>
      <c r="GG56" s="272"/>
      <c r="GH56" s="272"/>
      <c r="GI56" s="272"/>
      <c r="GJ56" s="272"/>
      <c r="GK56" s="272"/>
      <c r="GL56" s="272"/>
      <c r="GM56" s="272"/>
      <c r="GN56" s="272"/>
      <c r="GO56" s="272"/>
      <c r="GP56" s="272"/>
      <c r="GQ56" s="272"/>
      <c r="GR56" s="272"/>
      <c r="GS56" s="272"/>
      <c r="GT56" s="272"/>
      <c r="GU56" s="272"/>
      <c r="GV56" s="272"/>
      <c r="GW56" s="272"/>
      <c r="GX56" s="272"/>
      <c r="GY56" s="272"/>
      <c r="GZ56" s="272"/>
      <c r="HA56" s="272"/>
      <c r="HB56" s="272"/>
      <c r="HC56" s="272"/>
      <c r="HD56" s="272"/>
      <c r="HE56" s="272"/>
      <c r="HF56" s="272"/>
      <c r="HG56" s="272"/>
      <c r="HH56" s="272"/>
      <c r="HI56" s="272"/>
      <c r="HJ56" s="272"/>
      <c r="HK56" s="272"/>
      <c r="HL56" s="272"/>
      <c r="HM56" s="272"/>
      <c r="HN56" s="272"/>
      <c r="HO56" s="272"/>
      <c r="HP56" s="272"/>
      <c r="HQ56" s="272"/>
      <c r="HR56" s="272"/>
      <c r="HS56" s="272"/>
      <c r="HT56" s="272"/>
      <c r="HU56" s="272"/>
      <c r="HV56" s="272"/>
      <c r="HW56" s="272"/>
      <c r="HX56" s="272"/>
      <c r="HY56" s="272"/>
      <c r="HZ56" s="272"/>
      <c r="IA56" s="272"/>
      <c r="IB56" s="272"/>
      <c r="IC56" s="272"/>
      <c r="ID56" s="272"/>
      <c r="IE56" s="272"/>
      <c r="IF56" s="272"/>
      <c r="IG56" s="272"/>
      <c r="IH56" s="272"/>
      <c r="II56" s="272"/>
      <c r="IJ56" s="272"/>
      <c r="IK56" s="272"/>
      <c r="IL56" s="272"/>
      <c r="IM56" s="272"/>
      <c r="IN56" s="272"/>
      <c r="IO56" s="272"/>
      <c r="IP56" s="272"/>
      <c r="IQ56" s="272"/>
      <c r="IR56" s="272"/>
      <c r="IS56" s="272"/>
      <c r="IT56" s="272"/>
      <c r="IU56" s="272"/>
      <c r="IV56" s="272"/>
      <c r="IW56" s="272"/>
      <c r="IX56" s="272"/>
      <c r="IY56" s="272"/>
      <c r="IZ56" s="272"/>
      <c r="JA56" s="272"/>
      <c r="JB56" s="272"/>
      <c r="JC56" s="272"/>
      <c r="JD56" s="272"/>
      <c r="JE56" s="272"/>
      <c r="JF56" s="272"/>
      <c r="JG56" s="272"/>
      <c r="JH56" s="272"/>
      <c r="JI56" s="272"/>
      <c r="JJ56" s="272"/>
      <c r="JK56" s="272"/>
      <c r="JL56" s="272"/>
      <c r="JM56" s="272"/>
      <c r="JN56" s="272"/>
      <c r="JO56" s="272"/>
      <c r="JP56" s="272"/>
      <c r="JQ56" s="272"/>
      <c r="JR56" s="272"/>
      <c r="JS56" s="272"/>
      <c r="JT56" s="272"/>
      <c r="JU56" s="272"/>
      <c r="JV56" s="272"/>
      <c r="JW56" s="272"/>
      <c r="JX56" s="272"/>
      <c r="JY56" s="272"/>
      <c r="JZ56" s="272"/>
      <c r="KA56" s="272"/>
      <c r="KB56" s="272"/>
      <c r="KC56" s="272"/>
      <c r="KD56" s="272"/>
      <c r="KE56" s="272"/>
      <c r="KF56" s="272"/>
      <c r="KG56" s="272"/>
      <c r="KH56" s="272"/>
      <c r="KI56" s="272"/>
      <c r="KJ56" s="272"/>
      <c r="KK56" s="272"/>
      <c r="KL56" s="272"/>
      <c r="KM56" s="272"/>
      <c r="KN56" s="272"/>
      <c r="KO56" s="272"/>
      <c r="KP56" s="272"/>
      <c r="KQ56" s="272"/>
      <c r="KR56" s="272"/>
      <c r="KS56" s="272"/>
      <c r="KT56" s="272"/>
      <c r="KU56" s="272"/>
      <c r="KV56" s="272"/>
      <c r="KW56" s="272"/>
      <c r="KX56" s="272"/>
      <c r="KY56" s="272"/>
      <c r="KZ56" s="272"/>
      <c r="LA56" s="272"/>
      <c r="LB56" s="272"/>
      <c r="LC56" s="272"/>
      <c r="LD56" s="272"/>
      <c r="LE56" s="272"/>
      <c r="LF56" s="272"/>
      <c r="LG56" s="272"/>
      <c r="LH56" s="272"/>
      <c r="LI56" s="272"/>
      <c r="LJ56" s="272"/>
      <c r="LK56" s="272"/>
      <c r="LL56" s="272"/>
      <c r="LM56" s="272"/>
      <c r="LN56" s="272"/>
      <c r="LO56" s="272"/>
      <c r="LP56" s="272"/>
      <c r="LQ56" s="272"/>
      <c r="LR56" s="272"/>
      <c r="LS56" s="272"/>
      <c r="LT56" s="272"/>
      <c r="LU56" s="272"/>
      <c r="LV56" s="272"/>
      <c r="LW56" s="272"/>
      <c r="LX56" s="272"/>
      <c r="LY56" s="272"/>
      <c r="LZ56" s="272"/>
      <c r="MA56" s="272"/>
      <c r="MB56" s="272"/>
      <c r="MC56" s="272"/>
      <c r="MD56" s="272"/>
      <c r="ME56" s="272"/>
      <c r="MF56" s="272"/>
      <c r="MG56" s="272"/>
      <c r="MH56" s="272"/>
      <c r="MI56" s="272"/>
      <c r="MJ56" s="272"/>
      <c r="MK56" s="272"/>
      <c r="ML56" s="272"/>
      <c r="MM56" s="272"/>
      <c r="MN56" s="272"/>
      <c r="MO56" s="272"/>
      <c r="MP56" s="272"/>
      <c r="MQ56" s="272"/>
      <c r="MR56" s="272"/>
      <c r="MS56" s="272"/>
      <c r="MT56" s="272"/>
      <c r="MU56" s="272"/>
      <c r="MV56" s="272"/>
      <c r="MW56" s="272"/>
      <c r="MX56" s="272"/>
      <c r="MY56" s="272"/>
      <c r="MZ56" s="272"/>
      <c r="NA56" s="272"/>
      <c r="NB56" s="272"/>
      <c r="NC56" s="272"/>
      <c r="ND56" s="272"/>
      <c r="NE56" s="272"/>
      <c r="NF56" s="272"/>
      <c r="NG56" s="272"/>
      <c r="NH56" s="272"/>
      <c r="NI56" s="272"/>
      <c r="NJ56" s="272"/>
      <c r="NK56" s="272"/>
      <c r="NL56" s="272"/>
      <c r="NM56" s="272"/>
      <c r="NN56" s="272"/>
      <c r="NO56" s="272"/>
      <c r="NP56" s="272"/>
      <c r="NQ56" s="272"/>
      <c r="NR56" s="272"/>
      <c r="NS56" s="272"/>
      <c r="NT56" s="272"/>
      <c r="NU56" s="272"/>
      <c r="NV56" s="272"/>
      <c r="NW56" s="272"/>
      <c r="NX56" s="272"/>
      <c r="NY56" s="272"/>
      <c r="NZ56" s="272"/>
      <c r="OA56" s="272"/>
      <c r="OB56" s="272"/>
      <c r="OC56" s="272"/>
      <c r="OD56" s="272"/>
      <c r="OE56" s="272"/>
      <c r="OF56" s="272"/>
      <c r="OG56" s="272"/>
      <c r="OH56" s="272"/>
      <c r="OI56" s="272"/>
      <c r="OJ56" s="272"/>
      <c r="OK56" s="272"/>
      <c r="OL56" s="272"/>
      <c r="OM56" s="272"/>
      <c r="ON56" s="272"/>
      <c r="OO56" s="272"/>
      <c r="OP56" s="272"/>
      <c r="OQ56" s="272"/>
      <c r="OR56" s="272"/>
      <c r="OS56" s="272"/>
      <c r="OT56" s="272"/>
      <c r="OU56" s="272"/>
      <c r="OV56" s="272"/>
      <c r="OW56" s="272"/>
      <c r="OX56" s="272"/>
      <c r="OY56" s="272"/>
      <c r="OZ56" s="272"/>
      <c r="PA56" s="272"/>
      <c r="PB56" s="272"/>
      <c r="PC56" s="272"/>
      <c r="PD56" s="272"/>
      <c r="PE56" s="272"/>
      <c r="PF56" s="272"/>
      <c r="PG56" s="272"/>
      <c r="PH56" s="272"/>
      <c r="PI56" s="272"/>
      <c r="PJ56" s="272"/>
      <c r="PK56" s="272"/>
      <c r="PL56" s="272"/>
      <c r="PM56" s="272"/>
      <c r="PN56" s="272"/>
      <c r="PO56" s="272"/>
      <c r="PP56" s="272"/>
      <c r="PQ56" s="272"/>
      <c r="PR56" s="272"/>
      <c r="PS56" s="272"/>
      <c r="PT56" s="272"/>
      <c r="PU56" s="272"/>
      <c r="PV56" s="272"/>
      <c r="PW56" s="272"/>
      <c r="PX56" s="272"/>
      <c r="PY56" s="272"/>
      <c r="PZ56" s="272"/>
      <c r="QA56" s="272"/>
      <c r="QB56" s="272"/>
      <c r="QC56" s="272"/>
      <c r="QD56" s="272"/>
      <c r="QE56" s="272"/>
      <c r="QF56" s="272"/>
      <c r="QG56" s="272"/>
      <c r="QH56" s="272"/>
      <c r="QI56" s="272"/>
      <c r="QJ56" s="272"/>
      <c r="QK56" s="272"/>
      <c r="QL56" s="272"/>
      <c r="QM56" s="272"/>
      <c r="QN56" s="272"/>
      <c r="QO56" s="272"/>
      <c r="QP56" s="272"/>
      <c r="QQ56" s="272"/>
      <c r="QR56" s="272"/>
      <c r="QS56" s="272"/>
      <c r="QT56" s="272"/>
      <c r="QU56" s="272"/>
      <c r="QV56" s="272"/>
      <c r="QW56" s="272"/>
      <c r="QX56" s="272"/>
      <c r="QY56" s="272"/>
      <c r="QZ56" s="272"/>
      <c r="RA56" s="272"/>
      <c r="RB56" s="272"/>
      <c r="RC56" s="272"/>
      <c r="RD56" s="272"/>
      <c r="RE56" s="272"/>
      <c r="RF56" s="272"/>
      <c r="RG56" s="272"/>
      <c r="RH56" s="272"/>
      <c r="RI56" s="272"/>
      <c r="RJ56" s="272"/>
      <c r="RK56" s="272"/>
      <c r="RL56" s="272"/>
      <c r="RM56" s="272"/>
      <c r="RN56" s="272"/>
      <c r="RO56" s="272"/>
      <c r="RP56" s="272"/>
      <c r="RQ56" s="272"/>
      <c r="RR56" s="272"/>
      <c r="RS56" s="272"/>
      <c r="RT56" s="272"/>
      <c r="RU56" s="272"/>
      <c r="RV56" s="272"/>
      <c r="RW56" s="272"/>
      <c r="RX56" s="272"/>
      <c r="RY56" s="272"/>
      <c r="RZ56" s="272"/>
      <c r="SA56" s="272"/>
      <c r="SB56" s="272"/>
      <c r="SC56" s="272"/>
      <c r="SD56" s="272"/>
      <c r="SE56" s="272"/>
      <c r="SF56" s="272"/>
      <c r="SG56" s="272"/>
      <c r="SH56" s="272"/>
      <c r="SI56" s="272"/>
      <c r="SJ56" s="272"/>
      <c r="SK56" s="272"/>
      <c r="SL56" s="272"/>
      <c r="SM56" s="272"/>
      <c r="SN56" s="272"/>
      <c r="SO56" s="272"/>
      <c r="SP56" s="272"/>
      <c r="SQ56" s="272"/>
      <c r="SR56" s="272"/>
      <c r="SS56" s="272"/>
      <c r="ST56" s="272"/>
      <c r="SU56" s="272"/>
      <c r="SV56" s="272"/>
      <c r="SW56" s="272"/>
      <c r="SX56" s="272"/>
      <c r="SY56" s="272"/>
      <c r="SZ56" s="272"/>
      <c r="TA56" s="272"/>
      <c r="TB56" s="272"/>
      <c r="TC56" s="272"/>
      <c r="TD56" s="272"/>
      <c r="TE56" s="272"/>
      <c r="TF56" s="272"/>
      <c r="TG56" s="272"/>
      <c r="TH56" s="272"/>
      <c r="TI56" s="272"/>
      <c r="TJ56" s="272"/>
      <c r="TK56" s="272"/>
      <c r="TL56" s="272"/>
      <c r="TM56" s="272"/>
      <c r="TN56" s="272"/>
      <c r="TO56" s="272"/>
      <c r="TP56" s="272"/>
      <c r="TQ56" s="272"/>
      <c r="TR56" s="272"/>
      <c r="TS56" s="272"/>
      <c r="TT56" s="272"/>
      <c r="TU56" s="272"/>
      <c r="TV56" s="272"/>
      <c r="TW56" s="272"/>
      <c r="TX56" s="272"/>
      <c r="TY56" s="272"/>
      <c r="TZ56" s="272"/>
      <c r="UA56" s="272"/>
      <c r="UB56" s="272"/>
      <c r="UC56" s="272"/>
      <c r="UD56" s="272"/>
      <c r="UE56" s="272"/>
      <c r="UF56" s="272"/>
      <c r="UG56" s="272"/>
      <c r="UH56" s="272"/>
      <c r="UI56" s="272"/>
      <c r="UJ56" s="272"/>
      <c r="UK56" s="272"/>
      <c r="UL56" s="272"/>
      <c r="UM56" s="272"/>
      <c r="UN56" s="272"/>
      <c r="UO56" s="272"/>
      <c r="UP56" s="272"/>
      <c r="UQ56" s="272"/>
      <c r="UR56" s="272"/>
      <c r="US56" s="272"/>
      <c r="UT56" s="272"/>
      <c r="UU56" s="272"/>
      <c r="UV56" s="272"/>
      <c r="UW56" s="272"/>
      <c r="UX56" s="272"/>
      <c r="UY56" s="272"/>
      <c r="UZ56" s="272"/>
      <c r="VA56" s="272"/>
      <c r="VB56" s="272"/>
      <c r="VC56" s="272"/>
      <c r="VD56" s="272"/>
      <c r="VE56" s="272"/>
      <c r="VF56" s="272"/>
      <c r="VG56" s="272"/>
      <c r="VH56" s="272"/>
      <c r="VI56" s="272"/>
      <c r="VJ56" s="272"/>
      <c r="VK56" s="272"/>
      <c r="VL56" s="272"/>
      <c r="VM56" s="272"/>
      <c r="VN56" s="272"/>
      <c r="VO56" s="272"/>
      <c r="VP56" s="272"/>
      <c r="VQ56" s="272"/>
      <c r="VR56" s="272"/>
      <c r="VS56" s="272"/>
      <c r="VT56" s="272"/>
      <c r="VU56" s="272"/>
      <c r="VV56" s="272"/>
      <c r="VW56" s="272"/>
      <c r="VX56" s="272"/>
      <c r="VY56" s="272"/>
      <c r="VZ56" s="272"/>
      <c r="WA56" s="272"/>
      <c r="WB56" s="272"/>
      <c r="WC56" s="272"/>
      <c r="WD56" s="272"/>
      <c r="WE56" s="272"/>
      <c r="WF56" s="272"/>
      <c r="WG56" s="272"/>
      <c r="WH56" s="272"/>
      <c r="WI56" s="272"/>
      <c r="WJ56" s="272"/>
      <c r="WK56" s="272"/>
      <c r="WL56" s="272"/>
      <c r="WM56" s="272"/>
      <c r="WN56" s="272"/>
      <c r="WO56" s="272"/>
      <c r="WP56" s="272"/>
      <c r="WQ56" s="272"/>
      <c r="WR56" s="272"/>
      <c r="WS56" s="272"/>
      <c r="WT56" s="272"/>
      <c r="WU56" s="272"/>
      <c r="WV56" s="272"/>
      <c r="WW56" s="272"/>
      <c r="WX56" s="272"/>
      <c r="WY56" s="272"/>
      <c r="WZ56" s="272"/>
      <c r="XA56" s="272"/>
      <c r="XB56" s="272"/>
      <c r="XC56" s="272"/>
      <c r="XD56" s="272"/>
      <c r="XE56" s="272"/>
      <c r="XF56" s="272"/>
      <c r="XG56" s="272"/>
      <c r="XH56" s="272"/>
      <c r="XI56" s="272"/>
      <c r="XJ56" s="272"/>
      <c r="XK56" s="272"/>
      <c r="XL56" s="272"/>
      <c r="XM56" s="272"/>
      <c r="XN56" s="272"/>
      <c r="XO56" s="272"/>
      <c r="XP56" s="272"/>
      <c r="XQ56" s="272"/>
      <c r="XR56" s="272"/>
      <c r="XS56" s="272"/>
      <c r="XT56" s="272"/>
      <c r="XU56" s="272"/>
      <c r="XV56" s="272"/>
      <c r="XW56" s="272"/>
      <c r="XX56" s="272"/>
      <c r="XY56" s="272"/>
      <c r="XZ56" s="272"/>
      <c r="YA56" s="272"/>
      <c r="YB56" s="272"/>
      <c r="YC56" s="272"/>
      <c r="YD56" s="272"/>
      <c r="YE56" s="272"/>
      <c r="YF56" s="272"/>
      <c r="YG56" s="272"/>
      <c r="YH56" s="272"/>
      <c r="YI56" s="272"/>
      <c r="YJ56" s="272"/>
      <c r="YK56" s="272"/>
      <c r="YL56" s="272"/>
      <c r="YM56" s="272"/>
      <c r="YN56" s="272"/>
      <c r="YO56" s="272"/>
      <c r="YP56" s="272"/>
      <c r="YQ56" s="272"/>
      <c r="YR56" s="272"/>
      <c r="YS56" s="272"/>
      <c r="YT56" s="272"/>
      <c r="YU56" s="272"/>
      <c r="YV56" s="272"/>
      <c r="YW56" s="272"/>
      <c r="YX56" s="272"/>
      <c r="YY56" s="272"/>
      <c r="YZ56" s="272"/>
      <c r="ZA56" s="272"/>
      <c r="ZB56" s="272"/>
      <c r="ZC56" s="272"/>
      <c r="ZD56" s="272"/>
      <c r="ZE56" s="272"/>
      <c r="ZF56" s="272"/>
      <c r="ZG56" s="272"/>
      <c r="ZH56" s="272"/>
      <c r="ZI56" s="272"/>
      <c r="ZJ56" s="272"/>
      <c r="ZK56" s="272"/>
      <c r="ZL56" s="272"/>
      <c r="ZM56" s="272"/>
      <c r="ZN56" s="272"/>
      <c r="ZO56" s="272"/>
      <c r="ZP56" s="272"/>
      <c r="ZQ56" s="272"/>
      <c r="ZR56" s="272"/>
      <c r="ZS56" s="272"/>
      <c r="ZT56" s="272"/>
    </row>
    <row r="57" spans="1:696" s="62" customFormat="1" ht="13.5" thickBot="1">
      <c r="A57" s="48"/>
      <c r="B57" s="75"/>
      <c r="C57" s="58" t="s">
        <v>54</v>
      </c>
      <c r="D57" s="58"/>
      <c r="E57" s="60"/>
      <c r="F57" s="60"/>
      <c r="G57" s="264"/>
      <c r="H57" s="264"/>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72"/>
      <c r="DV57" s="272"/>
      <c r="DW57" s="272"/>
      <c r="DX57" s="272"/>
      <c r="DY57" s="272"/>
      <c r="DZ57" s="272"/>
      <c r="EA57" s="272"/>
      <c r="EB57" s="272"/>
      <c r="EC57" s="272"/>
      <c r="ED57" s="272"/>
      <c r="EE57" s="272"/>
      <c r="EF57" s="272"/>
      <c r="EG57" s="272"/>
      <c r="EH57" s="272"/>
      <c r="EI57" s="272"/>
      <c r="EJ57" s="272"/>
      <c r="EK57" s="272"/>
      <c r="EL57" s="272"/>
      <c r="EM57" s="272"/>
      <c r="EN57" s="272"/>
      <c r="EO57" s="272"/>
      <c r="EP57" s="272"/>
      <c r="EQ57" s="272"/>
      <c r="ER57" s="272"/>
      <c r="ES57" s="272"/>
      <c r="ET57" s="272"/>
      <c r="EU57" s="272"/>
      <c r="EV57" s="272"/>
      <c r="EW57" s="272"/>
      <c r="EX57" s="272"/>
      <c r="EY57" s="272"/>
      <c r="EZ57" s="272"/>
      <c r="FA57" s="272"/>
      <c r="FB57" s="272"/>
      <c r="FC57" s="272"/>
      <c r="FD57" s="272"/>
      <c r="FE57" s="272"/>
      <c r="FF57" s="272"/>
      <c r="FG57" s="272"/>
      <c r="FH57" s="272"/>
      <c r="FI57" s="272"/>
      <c r="FJ57" s="272"/>
      <c r="FK57" s="272"/>
      <c r="FL57" s="272"/>
      <c r="FM57" s="272"/>
      <c r="FN57" s="272"/>
      <c r="FO57" s="272"/>
      <c r="FP57" s="272"/>
      <c r="FQ57" s="272"/>
      <c r="FR57" s="272"/>
      <c r="FS57" s="272"/>
      <c r="FT57" s="272"/>
      <c r="FU57" s="272"/>
      <c r="FV57" s="272"/>
      <c r="FW57" s="272"/>
      <c r="FX57" s="272"/>
      <c r="FY57" s="272"/>
      <c r="FZ57" s="272"/>
      <c r="GA57" s="272"/>
      <c r="GB57" s="272"/>
      <c r="GC57" s="272"/>
      <c r="GD57" s="272"/>
      <c r="GE57" s="272"/>
      <c r="GF57" s="272"/>
      <c r="GG57" s="272"/>
      <c r="GH57" s="272"/>
      <c r="GI57" s="272"/>
      <c r="GJ57" s="272"/>
      <c r="GK57" s="272"/>
      <c r="GL57" s="272"/>
      <c r="GM57" s="272"/>
      <c r="GN57" s="272"/>
      <c r="GO57" s="272"/>
      <c r="GP57" s="272"/>
      <c r="GQ57" s="272"/>
      <c r="GR57" s="272"/>
      <c r="GS57" s="272"/>
      <c r="GT57" s="272"/>
      <c r="GU57" s="272"/>
      <c r="GV57" s="272"/>
      <c r="GW57" s="272"/>
      <c r="GX57" s="272"/>
      <c r="GY57" s="272"/>
      <c r="GZ57" s="272"/>
      <c r="HA57" s="272"/>
      <c r="HB57" s="272"/>
      <c r="HC57" s="272"/>
      <c r="HD57" s="272"/>
      <c r="HE57" s="272"/>
      <c r="HF57" s="272"/>
      <c r="HG57" s="272"/>
      <c r="HH57" s="272"/>
      <c r="HI57" s="272"/>
      <c r="HJ57" s="272"/>
      <c r="HK57" s="272"/>
      <c r="HL57" s="272"/>
      <c r="HM57" s="272"/>
      <c r="HN57" s="272"/>
      <c r="HO57" s="272"/>
      <c r="HP57" s="272"/>
      <c r="HQ57" s="272"/>
      <c r="HR57" s="272"/>
      <c r="HS57" s="272"/>
      <c r="HT57" s="272"/>
      <c r="HU57" s="272"/>
      <c r="HV57" s="272"/>
      <c r="HW57" s="272"/>
      <c r="HX57" s="272"/>
      <c r="HY57" s="272"/>
      <c r="HZ57" s="272"/>
      <c r="IA57" s="272"/>
      <c r="IB57" s="272"/>
      <c r="IC57" s="272"/>
      <c r="ID57" s="272"/>
      <c r="IE57" s="272"/>
      <c r="IF57" s="272"/>
      <c r="IG57" s="272"/>
      <c r="IH57" s="272"/>
      <c r="II57" s="272"/>
      <c r="IJ57" s="272"/>
      <c r="IK57" s="272"/>
      <c r="IL57" s="272"/>
      <c r="IM57" s="272"/>
      <c r="IN57" s="272"/>
      <c r="IO57" s="272"/>
      <c r="IP57" s="272"/>
      <c r="IQ57" s="272"/>
      <c r="IR57" s="272"/>
      <c r="IS57" s="272"/>
      <c r="IT57" s="272"/>
      <c r="IU57" s="272"/>
      <c r="IV57" s="272"/>
      <c r="IW57" s="272"/>
      <c r="IX57" s="272"/>
      <c r="IY57" s="272"/>
      <c r="IZ57" s="272"/>
      <c r="JA57" s="272"/>
      <c r="JB57" s="272"/>
      <c r="JC57" s="272"/>
      <c r="JD57" s="272"/>
      <c r="JE57" s="272"/>
      <c r="JF57" s="272"/>
      <c r="JG57" s="272"/>
      <c r="JH57" s="272"/>
      <c r="JI57" s="272"/>
      <c r="JJ57" s="272"/>
      <c r="JK57" s="272"/>
      <c r="JL57" s="272"/>
      <c r="JM57" s="272"/>
      <c r="JN57" s="272"/>
      <c r="JO57" s="272"/>
      <c r="JP57" s="272"/>
      <c r="JQ57" s="272"/>
      <c r="JR57" s="272"/>
      <c r="JS57" s="272"/>
      <c r="JT57" s="272"/>
      <c r="JU57" s="272"/>
      <c r="JV57" s="272"/>
      <c r="JW57" s="272"/>
      <c r="JX57" s="272"/>
      <c r="JY57" s="272"/>
      <c r="JZ57" s="272"/>
      <c r="KA57" s="272"/>
      <c r="KB57" s="272"/>
      <c r="KC57" s="272"/>
      <c r="KD57" s="272"/>
      <c r="KE57" s="272"/>
      <c r="KF57" s="272"/>
      <c r="KG57" s="272"/>
      <c r="KH57" s="272"/>
      <c r="KI57" s="272"/>
      <c r="KJ57" s="272"/>
      <c r="KK57" s="272"/>
      <c r="KL57" s="272"/>
      <c r="KM57" s="272"/>
      <c r="KN57" s="272"/>
      <c r="KO57" s="272"/>
      <c r="KP57" s="272"/>
      <c r="KQ57" s="272"/>
      <c r="KR57" s="272"/>
      <c r="KS57" s="272"/>
      <c r="KT57" s="272"/>
      <c r="KU57" s="272"/>
      <c r="KV57" s="272"/>
      <c r="KW57" s="272"/>
      <c r="KX57" s="272"/>
      <c r="KY57" s="272"/>
      <c r="KZ57" s="272"/>
      <c r="LA57" s="272"/>
      <c r="LB57" s="272"/>
      <c r="LC57" s="272"/>
      <c r="LD57" s="272"/>
      <c r="LE57" s="272"/>
      <c r="LF57" s="272"/>
      <c r="LG57" s="272"/>
      <c r="LH57" s="272"/>
      <c r="LI57" s="272"/>
      <c r="LJ57" s="272"/>
      <c r="LK57" s="272"/>
      <c r="LL57" s="272"/>
      <c r="LM57" s="272"/>
      <c r="LN57" s="272"/>
      <c r="LO57" s="272"/>
      <c r="LP57" s="272"/>
      <c r="LQ57" s="272"/>
      <c r="LR57" s="272"/>
      <c r="LS57" s="272"/>
      <c r="LT57" s="272"/>
      <c r="LU57" s="272"/>
      <c r="LV57" s="272"/>
      <c r="LW57" s="272"/>
      <c r="LX57" s="272"/>
      <c r="LY57" s="272"/>
      <c r="LZ57" s="272"/>
      <c r="MA57" s="272"/>
      <c r="MB57" s="272"/>
      <c r="MC57" s="272"/>
      <c r="MD57" s="272"/>
      <c r="ME57" s="272"/>
      <c r="MF57" s="272"/>
      <c r="MG57" s="272"/>
      <c r="MH57" s="272"/>
      <c r="MI57" s="272"/>
      <c r="MJ57" s="272"/>
      <c r="MK57" s="272"/>
      <c r="ML57" s="272"/>
      <c r="MM57" s="272"/>
      <c r="MN57" s="272"/>
      <c r="MO57" s="272"/>
      <c r="MP57" s="272"/>
      <c r="MQ57" s="272"/>
      <c r="MR57" s="272"/>
      <c r="MS57" s="272"/>
      <c r="MT57" s="272"/>
      <c r="MU57" s="272"/>
      <c r="MV57" s="272"/>
      <c r="MW57" s="272"/>
      <c r="MX57" s="272"/>
      <c r="MY57" s="272"/>
      <c r="MZ57" s="272"/>
      <c r="NA57" s="272"/>
      <c r="NB57" s="272"/>
      <c r="NC57" s="272"/>
      <c r="ND57" s="272"/>
      <c r="NE57" s="272"/>
      <c r="NF57" s="272"/>
      <c r="NG57" s="272"/>
      <c r="NH57" s="272"/>
      <c r="NI57" s="272"/>
      <c r="NJ57" s="272"/>
      <c r="NK57" s="272"/>
      <c r="NL57" s="272"/>
      <c r="NM57" s="272"/>
      <c r="NN57" s="272"/>
      <c r="NO57" s="272"/>
      <c r="NP57" s="272"/>
      <c r="NQ57" s="272"/>
      <c r="NR57" s="272"/>
      <c r="NS57" s="272"/>
      <c r="NT57" s="272"/>
      <c r="NU57" s="272"/>
      <c r="NV57" s="272"/>
      <c r="NW57" s="272"/>
      <c r="NX57" s="272"/>
      <c r="NY57" s="272"/>
      <c r="NZ57" s="272"/>
      <c r="OA57" s="272"/>
      <c r="OB57" s="272"/>
      <c r="OC57" s="272"/>
      <c r="OD57" s="272"/>
      <c r="OE57" s="272"/>
      <c r="OF57" s="272"/>
      <c r="OG57" s="272"/>
      <c r="OH57" s="272"/>
      <c r="OI57" s="272"/>
      <c r="OJ57" s="272"/>
      <c r="OK57" s="272"/>
      <c r="OL57" s="272"/>
      <c r="OM57" s="272"/>
      <c r="ON57" s="272"/>
      <c r="OO57" s="272"/>
      <c r="OP57" s="272"/>
      <c r="OQ57" s="272"/>
      <c r="OR57" s="272"/>
      <c r="OS57" s="272"/>
      <c r="OT57" s="272"/>
      <c r="OU57" s="272"/>
      <c r="OV57" s="272"/>
      <c r="OW57" s="272"/>
      <c r="OX57" s="272"/>
      <c r="OY57" s="272"/>
      <c r="OZ57" s="272"/>
      <c r="PA57" s="272"/>
      <c r="PB57" s="272"/>
      <c r="PC57" s="272"/>
      <c r="PD57" s="272"/>
      <c r="PE57" s="272"/>
      <c r="PF57" s="272"/>
      <c r="PG57" s="272"/>
      <c r="PH57" s="272"/>
      <c r="PI57" s="272"/>
      <c r="PJ57" s="272"/>
      <c r="PK57" s="272"/>
      <c r="PL57" s="272"/>
      <c r="PM57" s="272"/>
      <c r="PN57" s="272"/>
      <c r="PO57" s="272"/>
      <c r="PP57" s="272"/>
      <c r="PQ57" s="272"/>
      <c r="PR57" s="272"/>
      <c r="PS57" s="272"/>
      <c r="PT57" s="272"/>
      <c r="PU57" s="272"/>
      <c r="PV57" s="272"/>
      <c r="PW57" s="272"/>
      <c r="PX57" s="272"/>
      <c r="PY57" s="272"/>
      <c r="PZ57" s="272"/>
      <c r="QA57" s="272"/>
      <c r="QB57" s="272"/>
      <c r="QC57" s="272"/>
      <c r="QD57" s="272"/>
      <c r="QE57" s="272"/>
      <c r="QF57" s="272"/>
      <c r="QG57" s="272"/>
      <c r="QH57" s="272"/>
      <c r="QI57" s="272"/>
      <c r="QJ57" s="272"/>
      <c r="QK57" s="272"/>
      <c r="QL57" s="272"/>
      <c r="QM57" s="272"/>
      <c r="QN57" s="272"/>
      <c r="QO57" s="272"/>
      <c r="QP57" s="272"/>
      <c r="QQ57" s="272"/>
      <c r="QR57" s="272"/>
      <c r="QS57" s="272"/>
      <c r="QT57" s="272"/>
      <c r="QU57" s="272"/>
      <c r="QV57" s="272"/>
      <c r="QW57" s="272"/>
      <c r="QX57" s="272"/>
      <c r="QY57" s="272"/>
      <c r="QZ57" s="272"/>
      <c r="RA57" s="272"/>
      <c r="RB57" s="272"/>
      <c r="RC57" s="272"/>
      <c r="RD57" s="272"/>
      <c r="RE57" s="272"/>
      <c r="RF57" s="272"/>
      <c r="RG57" s="272"/>
      <c r="RH57" s="272"/>
      <c r="RI57" s="272"/>
      <c r="RJ57" s="272"/>
      <c r="RK57" s="272"/>
      <c r="RL57" s="272"/>
      <c r="RM57" s="272"/>
      <c r="RN57" s="272"/>
      <c r="RO57" s="272"/>
      <c r="RP57" s="272"/>
      <c r="RQ57" s="272"/>
      <c r="RR57" s="272"/>
      <c r="RS57" s="272"/>
      <c r="RT57" s="272"/>
      <c r="RU57" s="272"/>
      <c r="RV57" s="272"/>
      <c r="RW57" s="272"/>
      <c r="RX57" s="272"/>
      <c r="RY57" s="272"/>
      <c r="RZ57" s="272"/>
      <c r="SA57" s="272"/>
      <c r="SB57" s="272"/>
      <c r="SC57" s="272"/>
      <c r="SD57" s="272"/>
      <c r="SE57" s="272"/>
      <c r="SF57" s="272"/>
      <c r="SG57" s="272"/>
      <c r="SH57" s="272"/>
      <c r="SI57" s="272"/>
      <c r="SJ57" s="272"/>
      <c r="SK57" s="272"/>
      <c r="SL57" s="272"/>
      <c r="SM57" s="272"/>
      <c r="SN57" s="272"/>
      <c r="SO57" s="272"/>
      <c r="SP57" s="272"/>
      <c r="SQ57" s="272"/>
      <c r="SR57" s="272"/>
      <c r="SS57" s="272"/>
      <c r="ST57" s="272"/>
      <c r="SU57" s="272"/>
      <c r="SV57" s="272"/>
      <c r="SW57" s="272"/>
      <c r="SX57" s="272"/>
      <c r="SY57" s="272"/>
      <c r="SZ57" s="272"/>
      <c r="TA57" s="272"/>
      <c r="TB57" s="272"/>
      <c r="TC57" s="272"/>
      <c r="TD57" s="272"/>
      <c r="TE57" s="272"/>
      <c r="TF57" s="272"/>
      <c r="TG57" s="272"/>
      <c r="TH57" s="272"/>
      <c r="TI57" s="272"/>
      <c r="TJ57" s="272"/>
      <c r="TK57" s="272"/>
      <c r="TL57" s="272"/>
      <c r="TM57" s="272"/>
      <c r="TN57" s="272"/>
      <c r="TO57" s="272"/>
      <c r="TP57" s="272"/>
      <c r="TQ57" s="272"/>
      <c r="TR57" s="272"/>
      <c r="TS57" s="272"/>
      <c r="TT57" s="272"/>
      <c r="TU57" s="272"/>
      <c r="TV57" s="272"/>
      <c r="TW57" s="272"/>
      <c r="TX57" s="272"/>
      <c r="TY57" s="272"/>
      <c r="TZ57" s="272"/>
      <c r="UA57" s="272"/>
      <c r="UB57" s="272"/>
      <c r="UC57" s="272"/>
      <c r="UD57" s="272"/>
      <c r="UE57" s="272"/>
      <c r="UF57" s="272"/>
      <c r="UG57" s="272"/>
      <c r="UH57" s="272"/>
      <c r="UI57" s="272"/>
      <c r="UJ57" s="272"/>
      <c r="UK57" s="272"/>
      <c r="UL57" s="272"/>
      <c r="UM57" s="272"/>
      <c r="UN57" s="272"/>
      <c r="UO57" s="272"/>
      <c r="UP57" s="272"/>
      <c r="UQ57" s="272"/>
      <c r="UR57" s="272"/>
      <c r="US57" s="272"/>
      <c r="UT57" s="272"/>
      <c r="UU57" s="272"/>
      <c r="UV57" s="272"/>
      <c r="UW57" s="272"/>
      <c r="UX57" s="272"/>
      <c r="UY57" s="272"/>
      <c r="UZ57" s="272"/>
      <c r="VA57" s="272"/>
      <c r="VB57" s="272"/>
      <c r="VC57" s="272"/>
      <c r="VD57" s="272"/>
      <c r="VE57" s="272"/>
      <c r="VF57" s="272"/>
      <c r="VG57" s="272"/>
      <c r="VH57" s="272"/>
      <c r="VI57" s="272"/>
      <c r="VJ57" s="272"/>
      <c r="VK57" s="272"/>
      <c r="VL57" s="272"/>
      <c r="VM57" s="272"/>
      <c r="VN57" s="272"/>
      <c r="VO57" s="272"/>
      <c r="VP57" s="272"/>
      <c r="VQ57" s="272"/>
      <c r="VR57" s="272"/>
      <c r="VS57" s="272"/>
      <c r="VT57" s="272"/>
      <c r="VU57" s="272"/>
      <c r="VV57" s="272"/>
      <c r="VW57" s="272"/>
      <c r="VX57" s="272"/>
      <c r="VY57" s="272"/>
      <c r="VZ57" s="272"/>
      <c r="WA57" s="272"/>
      <c r="WB57" s="272"/>
      <c r="WC57" s="272"/>
      <c r="WD57" s="272"/>
      <c r="WE57" s="272"/>
      <c r="WF57" s="272"/>
      <c r="WG57" s="272"/>
      <c r="WH57" s="272"/>
      <c r="WI57" s="272"/>
      <c r="WJ57" s="272"/>
      <c r="WK57" s="272"/>
      <c r="WL57" s="272"/>
      <c r="WM57" s="272"/>
      <c r="WN57" s="272"/>
      <c r="WO57" s="272"/>
      <c r="WP57" s="272"/>
      <c r="WQ57" s="272"/>
      <c r="WR57" s="272"/>
      <c r="WS57" s="272"/>
      <c r="WT57" s="272"/>
      <c r="WU57" s="272"/>
      <c r="WV57" s="272"/>
      <c r="WW57" s="272"/>
      <c r="WX57" s="272"/>
      <c r="WY57" s="272"/>
      <c r="WZ57" s="272"/>
      <c r="XA57" s="272"/>
      <c r="XB57" s="272"/>
      <c r="XC57" s="272"/>
      <c r="XD57" s="272"/>
      <c r="XE57" s="272"/>
      <c r="XF57" s="272"/>
      <c r="XG57" s="272"/>
      <c r="XH57" s="272"/>
      <c r="XI57" s="272"/>
      <c r="XJ57" s="272"/>
      <c r="XK57" s="272"/>
      <c r="XL57" s="272"/>
      <c r="XM57" s="272"/>
      <c r="XN57" s="272"/>
      <c r="XO57" s="272"/>
      <c r="XP57" s="272"/>
      <c r="XQ57" s="272"/>
      <c r="XR57" s="272"/>
      <c r="XS57" s="272"/>
      <c r="XT57" s="272"/>
      <c r="XU57" s="272"/>
      <c r="XV57" s="272"/>
      <c r="XW57" s="272"/>
      <c r="XX57" s="272"/>
      <c r="XY57" s="272"/>
      <c r="XZ57" s="272"/>
      <c r="YA57" s="272"/>
      <c r="YB57" s="272"/>
      <c r="YC57" s="272"/>
      <c r="YD57" s="272"/>
      <c r="YE57" s="272"/>
      <c r="YF57" s="272"/>
      <c r="YG57" s="272"/>
      <c r="YH57" s="272"/>
      <c r="YI57" s="272"/>
      <c r="YJ57" s="272"/>
      <c r="YK57" s="272"/>
      <c r="YL57" s="272"/>
      <c r="YM57" s="272"/>
      <c r="YN57" s="272"/>
      <c r="YO57" s="272"/>
      <c r="YP57" s="272"/>
      <c r="YQ57" s="272"/>
      <c r="YR57" s="272"/>
      <c r="YS57" s="272"/>
      <c r="YT57" s="272"/>
      <c r="YU57" s="272"/>
      <c r="YV57" s="272"/>
      <c r="YW57" s="272"/>
      <c r="YX57" s="272"/>
      <c r="YY57" s="272"/>
      <c r="YZ57" s="272"/>
      <c r="ZA57" s="272"/>
      <c r="ZB57" s="272"/>
      <c r="ZC57" s="272"/>
      <c r="ZD57" s="272"/>
      <c r="ZE57" s="272"/>
      <c r="ZF57" s="272"/>
      <c r="ZG57" s="272"/>
      <c r="ZH57" s="272"/>
      <c r="ZI57" s="272"/>
      <c r="ZJ57" s="272"/>
      <c r="ZK57" s="272"/>
      <c r="ZL57" s="272"/>
      <c r="ZM57" s="272"/>
      <c r="ZN57" s="272"/>
      <c r="ZO57" s="272"/>
      <c r="ZP57" s="272"/>
      <c r="ZQ57" s="272"/>
      <c r="ZR57" s="272"/>
      <c r="ZS57" s="272"/>
      <c r="ZT57" s="272"/>
    </row>
    <row r="58" spans="1:696" s="61" customFormat="1" ht="25.5">
      <c r="A58" s="69" t="s">
        <v>43</v>
      </c>
      <c r="B58" s="70" t="s">
        <v>44</v>
      </c>
      <c r="C58" s="30" t="s">
        <v>52</v>
      </c>
      <c r="D58" s="535"/>
      <c r="E58" s="536"/>
      <c r="F58" s="537"/>
      <c r="G58" s="538"/>
      <c r="H58" s="538"/>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c r="FF58" s="272"/>
      <c r="FG58" s="272"/>
      <c r="FH58" s="272"/>
      <c r="FI58" s="272"/>
      <c r="FJ58" s="272"/>
      <c r="FK58" s="272"/>
      <c r="FL58" s="272"/>
      <c r="FM58" s="272"/>
      <c r="FN58" s="272"/>
      <c r="FO58" s="272"/>
      <c r="FP58" s="272"/>
      <c r="FQ58" s="272"/>
      <c r="FR58" s="272"/>
      <c r="FS58" s="272"/>
      <c r="FT58" s="272"/>
      <c r="FU58" s="272"/>
      <c r="FV58" s="272"/>
      <c r="FW58" s="272"/>
      <c r="FX58" s="272"/>
      <c r="FY58" s="272"/>
      <c r="FZ58" s="272"/>
      <c r="GA58" s="272"/>
      <c r="GB58" s="272"/>
      <c r="GC58" s="272"/>
      <c r="GD58" s="272"/>
      <c r="GE58" s="272"/>
      <c r="GF58" s="272"/>
      <c r="GG58" s="272"/>
      <c r="GH58" s="272"/>
      <c r="GI58" s="272"/>
      <c r="GJ58" s="272"/>
      <c r="GK58" s="272"/>
      <c r="GL58" s="272"/>
      <c r="GM58" s="272"/>
      <c r="GN58" s="272"/>
      <c r="GO58" s="272"/>
      <c r="GP58" s="272"/>
      <c r="GQ58" s="272"/>
      <c r="GR58" s="272"/>
      <c r="GS58" s="272"/>
      <c r="GT58" s="272"/>
      <c r="GU58" s="272"/>
      <c r="GV58" s="272"/>
      <c r="GW58" s="272"/>
      <c r="GX58" s="272"/>
      <c r="GY58" s="272"/>
      <c r="GZ58" s="272"/>
      <c r="HA58" s="272"/>
      <c r="HB58" s="272"/>
      <c r="HC58" s="272"/>
      <c r="HD58" s="272"/>
      <c r="HE58" s="272"/>
      <c r="HF58" s="272"/>
      <c r="HG58" s="272"/>
      <c r="HH58" s="272"/>
      <c r="HI58" s="272"/>
      <c r="HJ58" s="272"/>
      <c r="HK58" s="272"/>
      <c r="HL58" s="272"/>
      <c r="HM58" s="272"/>
      <c r="HN58" s="272"/>
      <c r="HO58" s="272"/>
      <c r="HP58" s="272"/>
      <c r="HQ58" s="272"/>
      <c r="HR58" s="272"/>
      <c r="HS58" s="272"/>
      <c r="HT58" s="272"/>
      <c r="HU58" s="272"/>
      <c r="HV58" s="272"/>
      <c r="HW58" s="272"/>
      <c r="HX58" s="272"/>
      <c r="HY58" s="272"/>
      <c r="HZ58" s="272"/>
      <c r="IA58" s="272"/>
      <c r="IB58" s="272"/>
      <c r="IC58" s="272"/>
      <c r="ID58" s="272"/>
      <c r="IE58" s="272"/>
      <c r="IF58" s="272"/>
      <c r="IG58" s="272"/>
      <c r="IH58" s="272"/>
      <c r="II58" s="272"/>
      <c r="IJ58" s="272"/>
      <c r="IK58" s="272"/>
      <c r="IL58" s="272"/>
      <c r="IM58" s="272"/>
      <c r="IN58" s="272"/>
      <c r="IO58" s="272"/>
      <c r="IP58" s="272"/>
      <c r="IQ58" s="272"/>
      <c r="IR58" s="272"/>
      <c r="IS58" s="272"/>
      <c r="IT58" s="272"/>
      <c r="IU58" s="272"/>
      <c r="IV58" s="272"/>
      <c r="IW58" s="272"/>
      <c r="IX58" s="272"/>
      <c r="IY58" s="272"/>
      <c r="IZ58" s="272"/>
      <c r="JA58" s="272"/>
      <c r="JB58" s="272"/>
      <c r="JC58" s="272"/>
      <c r="JD58" s="272"/>
      <c r="JE58" s="272"/>
      <c r="JF58" s="272"/>
      <c r="JG58" s="272"/>
      <c r="JH58" s="272"/>
      <c r="JI58" s="272"/>
      <c r="JJ58" s="272"/>
      <c r="JK58" s="272"/>
      <c r="JL58" s="272"/>
      <c r="JM58" s="272"/>
      <c r="JN58" s="272"/>
      <c r="JO58" s="272"/>
      <c r="JP58" s="272"/>
      <c r="JQ58" s="272"/>
      <c r="JR58" s="272"/>
      <c r="JS58" s="272"/>
      <c r="JT58" s="272"/>
      <c r="JU58" s="272"/>
      <c r="JV58" s="272"/>
      <c r="JW58" s="272"/>
      <c r="JX58" s="272"/>
      <c r="JY58" s="272"/>
      <c r="JZ58" s="272"/>
      <c r="KA58" s="272"/>
      <c r="KB58" s="272"/>
      <c r="KC58" s="272"/>
      <c r="KD58" s="272"/>
      <c r="KE58" s="272"/>
      <c r="KF58" s="272"/>
      <c r="KG58" s="272"/>
      <c r="KH58" s="272"/>
      <c r="KI58" s="272"/>
      <c r="KJ58" s="272"/>
      <c r="KK58" s="272"/>
      <c r="KL58" s="272"/>
      <c r="KM58" s="272"/>
      <c r="KN58" s="272"/>
      <c r="KO58" s="272"/>
      <c r="KP58" s="272"/>
      <c r="KQ58" s="272"/>
      <c r="KR58" s="272"/>
      <c r="KS58" s="272"/>
      <c r="KT58" s="272"/>
      <c r="KU58" s="272"/>
      <c r="KV58" s="272"/>
      <c r="KW58" s="272"/>
      <c r="KX58" s="272"/>
      <c r="KY58" s="272"/>
      <c r="KZ58" s="272"/>
      <c r="LA58" s="272"/>
      <c r="LB58" s="272"/>
      <c r="LC58" s="272"/>
      <c r="LD58" s="272"/>
      <c r="LE58" s="272"/>
      <c r="LF58" s="272"/>
      <c r="LG58" s="272"/>
      <c r="LH58" s="272"/>
      <c r="LI58" s="272"/>
      <c r="LJ58" s="272"/>
      <c r="LK58" s="272"/>
      <c r="LL58" s="272"/>
      <c r="LM58" s="272"/>
      <c r="LN58" s="272"/>
      <c r="LO58" s="272"/>
      <c r="LP58" s="272"/>
      <c r="LQ58" s="272"/>
      <c r="LR58" s="272"/>
      <c r="LS58" s="272"/>
      <c r="LT58" s="272"/>
      <c r="LU58" s="272"/>
      <c r="LV58" s="272"/>
      <c r="LW58" s="272"/>
      <c r="LX58" s="272"/>
      <c r="LY58" s="272"/>
      <c r="LZ58" s="272"/>
      <c r="MA58" s="272"/>
      <c r="MB58" s="272"/>
      <c r="MC58" s="272"/>
      <c r="MD58" s="272"/>
      <c r="ME58" s="272"/>
      <c r="MF58" s="272"/>
      <c r="MG58" s="272"/>
      <c r="MH58" s="272"/>
      <c r="MI58" s="272"/>
      <c r="MJ58" s="272"/>
      <c r="MK58" s="272"/>
      <c r="ML58" s="272"/>
      <c r="MM58" s="272"/>
      <c r="MN58" s="272"/>
      <c r="MO58" s="272"/>
      <c r="MP58" s="272"/>
      <c r="MQ58" s="272"/>
      <c r="MR58" s="272"/>
      <c r="MS58" s="272"/>
      <c r="MT58" s="272"/>
      <c r="MU58" s="272"/>
      <c r="MV58" s="272"/>
      <c r="MW58" s="272"/>
      <c r="MX58" s="272"/>
      <c r="MY58" s="272"/>
      <c r="MZ58" s="272"/>
      <c r="NA58" s="272"/>
      <c r="NB58" s="272"/>
      <c r="NC58" s="272"/>
      <c r="ND58" s="272"/>
      <c r="NE58" s="272"/>
      <c r="NF58" s="272"/>
      <c r="NG58" s="272"/>
      <c r="NH58" s="272"/>
      <c r="NI58" s="272"/>
      <c r="NJ58" s="272"/>
      <c r="NK58" s="272"/>
      <c r="NL58" s="272"/>
      <c r="NM58" s="272"/>
      <c r="NN58" s="272"/>
      <c r="NO58" s="272"/>
      <c r="NP58" s="272"/>
      <c r="NQ58" s="272"/>
      <c r="NR58" s="272"/>
      <c r="NS58" s="272"/>
      <c r="NT58" s="272"/>
      <c r="NU58" s="272"/>
      <c r="NV58" s="272"/>
      <c r="NW58" s="272"/>
      <c r="NX58" s="272"/>
      <c r="NY58" s="272"/>
      <c r="NZ58" s="272"/>
      <c r="OA58" s="272"/>
      <c r="OB58" s="272"/>
      <c r="OC58" s="272"/>
      <c r="OD58" s="272"/>
      <c r="OE58" s="272"/>
      <c r="OF58" s="272"/>
      <c r="OG58" s="272"/>
      <c r="OH58" s="272"/>
      <c r="OI58" s="272"/>
      <c r="OJ58" s="272"/>
      <c r="OK58" s="272"/>
      <c r="OL58" s="272"/>
      <c r="OM58" s="272"/>
      <c r="ON58" s="272"/>
      <c r="OO58" s="272"/>
      <c r="OP58" s="272"/>
      <c r="OQ58" s="272"/>
      <c r="OR58" s="272"/>
      <c r="OS58" s="272"/>
      <c r="OT58" s="272"/>
      <c r="OU58" s="272"/>
      <c r="OV58" s="272"/>
      <c r="OW58" s="272"/>
      <c r="OX58" s="272"/>
      <c r="OY58" s="272"/>
      <c r="OZ58" s="272"/>
      <c r="PA58" s="272"/>
      <c r="PB58" s="272"/>
      <c r="PC58" s="272"/>
      <c r="PD58" s="272"/>
      <c r="PE58" s="272"/>
      <c r="PF58" s="272"/>
      <c r="PG58" s="272"/>
      <c r="PH58" s="272"/>
      <c r="PI58" s="272"/>
      <c r="PJ58" s="272"/>
      <c r="PK58" s="272"/>
      <c r="PL58" s="272"/>
      <c r="PM58" s="272"/>
      <c r="PN58" s="272"/>
      <c r="PO58" s="272"/>
      <c r="PP58" s="272"/>
      <c r="PQ58" s="272"/>
      <c r="PR58" s="272"/>
      <c r="PS58" s="272"/>
      <c r="PT58" s="272"/>
      <c r="PU58" s="272"/>
      <c r="PV58" s="272"/>
      <c r="PW58" s="272"/>
      <c r="PX58" s="272"/>
      <c r="PY58" s="272"/>
      <c r="PZ58" s="272"/>
      <c r="QA58" s="272"/>
      <c r="QB58" s="272"/>
      <c r="QC58" s="272"/>
      <c r="QD58" s="272"/>
      <c r="QE58" s="272"/>
      <c r="QF58" s="272"/>
      <c r="QG58" s="272"/>
      <c r="QH58" s="272"/>
      <c r="QI58" s="272"/>
      <c r="QJ58" s="272"/>
      <c r="QK58" s="272"/>
      <c r="QL58" s="272"/>
      <c r="QM58" s="272"/>
      <c r="QN58" s="272"/>
      <c r="QO58" s="272"/>
      <c r="QP58" s="272"/>
      <c r="QQ58" s="272"/>
      <c r="QR58" s="272"/>
      <c r="QS58" s="272"/>
      <c r="QT58" s="272"/>
      <c r="QU58" s="272"/>
      <c r="QV58" s="272"/>
      <c r="QW58" s="272"/>
      <c r="QX58" s="272"/>
      <c r="QY58" s="272"/>
      <c r="QZ58" s="272"/>
      <c r="RA58" s="272"/>
      <c r="RB58" s="272"/>
      <c r="RC58" s="272"/>
      <c r="RD58" s="272"/>
      <c r="RE58" s="272"/>
      <c r="RF58" s="272"/>
      <c r="RG58" s="272"/>
      <c r="RH58" s="272"/>
      <c r="RI58" s="272"/>
      <c r="RJ58" s="272"/>
      <c r="RK58" s="272"/>
      <c r="RL58" s="272"/>
      <c r="RM58" s="272"/>
      <c r="RN58" s="272"/>
      <c r="RO58" s="272"/>
      <c r="RP58" s="272"/>
      <c r="RQ58" s="272"/>
      <c r="RR58" s="272"/>
      <c r="RS58" s="272"/>
      <c r="RT58" s="272"/>
      <c r="RU58" s="272"/>
      <c r="RV58" s="272"/>
      <c r="RW58" s="272"/>
      <c r="RX58" s="272"/>
      <c r="RY58" s="272"/>
      <c r="RZ58" s="272"/>
      <c r="SA58" s="272"/>
      <c r="SB58" s="272"/>
      <c r="SC58" s="272"/>
      <c r="SD58" s="272"/>
      <c r="SE58" s="272"/>
      <c r="SF58" s="272"/>
      <c r="SG58" s="272"/>
      <c r="SH58" s="272"/>
      <c r="SI58" s="272"/>
      <c r="SJ58" s="272"/>
      <c r="SK58" s="272"/>
      <c r="SL58" s="272"/>
      <c r="SM58" s="272"/>
      <c r="SN58" s="272"/>
      <c r="SO58" s="272"/>
      <c r="SP58" s="272"/>
      <c r="SQ58" s="272"/>
      <c r="SR58" s="272"/>
      <c r="SS58" s="272"/>
      <c r="ST58" s="272"/>
      <c r="SU58" s="272"/>
      <c r="SV58" s="272"/>
      <c r="SW58" s="272"/>
      <c r="SX58" s="272"/>
      <c r="SY58" s="272"/>
      <c r="SZ58" s="272"/>
      <c r="TA58" s="272"/>
      <c r="TB58" s="272"/>
      <c r="TC58" s="272"/>
      <c r="TD58" s="272"/>
      <c r="TE58" s="272"/>
      <c r="TF58" s="272"/>
      <c r="TG58" s="272"/>
      <c r="TH58" s="272"/>
      <c r="TI58" s="272"/>
      <c r="TJ58" s="272"/>
      <c r="TK58" s="272"/>
      <c r="TL58" s="272"/>
      <c r="TM58" s="272"/>
      <c r="TN58" s="272"/>
      <c r="TO58" s="272"/>
      <c r="TP58" s="272"/>
      <c r="TQ58" s="272"/>
      <c r="TR58" s="272"/>
      <c r="TS58" s="272"/>
      <c r="TT58" s="272"/>
      <c r="TU58" s="272"/>
      <c r="TV58" s="272"/>
      <c r="TW58" s="272"/>
      <c r="TX58" s="272"/>
      <c r="TY58" s="272"/>
      <c r="TZ58" s="272"/>
      <c r="UA58" s="272"/>
      <c r="UB58" s="272"/>
      <c r="UC58" s="272"/>
      <c r="UD58" s="272"/>
      <c r="UE58" s="272"/>
      <c r="UF58" s="272"/>
      <c r="UG58" s="272"/>
      <c r="UH58" s="272"/>
      <c r="UI58" s="272"/>
      <c r="UJ58" s="272"/>
      <c r="UK58" s="272"/>
      <c r="UL58" s="272"/>
      <c r="UM58" s="272"/>
      <c r="UN58" s="272"/>
      <c r="UO58" s="272"/>
      <c r="UP58" s="272"/>
      <c r="UQ58" s="272"/>
      <c r="UR58" s="272"/>
      <c r="US58" s="272"/>
      <c r="UT58" s="272"/>
      <c r="UU58" s="272"/>
      <c r="UV58" s="272"/>
      <c r="UW58" s="272"/>
      <c r="UX58" s="272"/>
      <c r="UY58" s="272"/>
      <c r="UZ58" s="272"/>
      <c r="VA58" s="272"/>
      <c r="VB58" s="272"/>
      <c r="VC58" s="272"/>
      <c r="VD58" s="272"/>
      <c r="VE58" s="272"/>
      <c r="VF58" s="272"/>
      <c r="VG58" s="272"/>
      <c r="VH58" s="272"/>
      <c r="VI58" s="272"/>
      <c r="VJ58" s="272"/>
      <c r="VK58" s="272"/>
      <c r="VL58" s="272"/>
      <c r="VM58" s="272"/>
      <c r="VN58" s="272"/>
      <c r="VO58" s="272"/>
      <c r="VP58" s="272"/>
      <c r="VQ58" s="272"/>
      <c r="VR58" s="272"/>
      <c r="VS58" s="272"/>
      <c r="VT58" s="272"/>
      <c r="VU58" s="272"/>
      <c r="VV58" s="272"/>
      <c r="VW58" s="272"/>
      <c r="VX58" s="272"/>
      <c r="VY58" s="272"/>
      <c r="VZ58" s="272"/>
      <c r="WA58" s="272"/>
      <c r="WB58" s="272"/>
      <c r="WC58" s="272"/>
      <c r="WD58" s="272"/>
      <c r="WE58" s="272"/>
      <c r="WF58" s="272"/>
      <c r="WG58" s="272"/>
      <c r="WH58" s="272"/>
      <c r="WI58" s="272"/>
      <c r="WJ58" s="272"/>
      <c r="WK58" s="272"/>
      <c r="WL58" s="272"/>
      <c r="WM58" s="272"/>
      <c r="WN58" s="272"/>
      <c r="WO58" s="272"/>
      <c r="WP58" s="272"/>
      <c r="WQ58" s="272"/>
      <c r="WR58" s="272"/>
      <c r="WS58" s="272"/>
      <c r="WT58" s="272"/>
      <c r="WU58" s="272"/>
      <c r="WV58" s="272"/>
      <c r="WW58" s="272"/>
      <c r="WX58" s="272"/>
      <c r="WY58" s="272"/>
      <c r="WZ58" s="272"/>
      <c r="XA58" s="272"/>
      <c r="XB58" s="272"/>
      <c r="XC58" s="272"/>
      <c r="XD58" s="272"/>
      <c r="XE58" s="272"/>
      <c r="XF58" s="272"/>
      <c r="XG58" s="272"/>
      <c r="XH58" s="272"/>
      <c r="XI58" s="272"/>
      <c r="XJ58" s="272"/>
      <c r="XK58" s="272"/>
      <c r="XL58" s="272"/>
      <c r="XM58" s="272"/>
      <c r="XN58" s="272"/>
      <c r="XO58" s="272"/>
      <c r="XP58" s="272"/>
      <c r="XQ58" s="272"/>
      <c r="XR58" s="272"/>
      <c r="XS58" s="272"/>
      <c r="XT58" s="272"/>
      <c r="XU58" s="272"/>
      <c r="XV58" s="272"/>
      <c r="XW58" s="272"/>
      <c r="XX58" s="272"/>
      <c r="XY58" s="272"/>
      <c r="XZ58" s="272"/>
      <c r="YA58" s="272"/>
      <c r="YB58" s="272"/>
      <c r="YC58" s="272"/>
      <c r="YD58" s="272"/>
      <c r="YE58" s="272"/>
      <c r="YF58" s="272"/>
      <c r="YG58" s="272"/>
      <c r="YH58" s="272"/>
      <c r="YI58" s="272"/>
      <c r="YJ58" s="272"/>
      <c r="YK58" s="272"/>
      <c r="YL58" s="272"/>
      <c r="YM58" s="272"/>
      <c r="YN58" s="272"/>
      <c r="YO58" s="272"/>
      <c r="YP58" s="272"/>
      <c r="YQ58" s="272"/>
      <c r="YR58" s="272"/>
      <c r="YS58" s="272"/>
      <c r="YT58" s="272"/>
      <c r="YU58" s="272"/>
      <c r="YV58" s="272"/>
      <c r="YW58" s="272"/>
      <c r="YX58" s="272"/>
      <c r="YY58" s="272"/>
      <c r="YZ58" s="272"/>
      <c r="ZA58" s="272"/>
      <c r="ZB58" s="272"/>
      <c r="ZC58" s="272"/>
      <c r="ZD58" s="272"/>
      <c r="ZE58" s="272"/>
      <c r="ZF58" s="272"/>
      <c r="ZG58" s="272"/>
      <c r="ZH58" s="272"/>
      <c r="ZI58" s="272"/>
      <c r="ZJ58" s="272"/>
      <c r="ZK58" s="272"/>
      <c r="ZL58" s="272"/>
      <c r="ZM58" s="272"/>
      <c r="ZN58" s="272"/>
      <c r="ZO58" s="272"/>
      <c r="ZP58" s="272"/>
      <c r="ZQ58" s="272"/>
      <c r="ZR58" s="272"/>
      <c r="ZS58" s="272"/>
      <c r="ZT58" s="272"/>
    </row>
    <row r="59" spans="1:696" s="19" customFormat="1" ht="15">
      <c r="A59" s="47"/>
      <c r="B59" s="74"/>
      <c r="C59" s="20" t="s">
        <v>53</v>
      </c>
      <c r="D59" s="539"/>
      <c r="E59" s="540"/>
      <c r="F59" s="541"/>
      <c r="G59" s="542"/>
      <c r="H59" s="54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c r="DJ59" s="272"/>
      <c r="DK59" s="272"/>
      <c r="DL59" s="272"/>
      <c r="DM59" s="272"/>
      <c r="DN59" s="272"/>
      <c r="DO59" s="272"/>
      <c r="DP59" s="272"/>
      <c r="DQ59" s="272"/>
      <c r="DR59" s="272"/>
      <c r="DS59" s="272"/>
      <c r="DT59" s="272"/>
      <c r="DU59" s="272"/>
      <c r="DV59" s="272"/>
      <c r="DW59" s="272"/>
      <c r="DX59" s="272"/>
      <c r="DY59" s="272"/>
      <c r="DZ59" s="272"/>
      <c r="EA59" s="272"/>
      <c r="EB59" s="272"/>
      <c r="EC59" s="272"/>
      <c r="ED59" s="272"/>
      <c r="EE59" s="272"/>
      <c r="EF59" s="272"/>
      <c r="EG59" s="272"/>
      <c r="EH59" s="272"/>
      <c r="EI59" s="272"/>
      <c r="EJ59" s="272"/>
      <c r="EK59" s="272"/>
      <c r="EL59" s="272"/>
      <c r="EM59" s="272"/>
      <c r="EN59" s="272"/>
      <c r="EO59" s="272"/>
      <c r="EP59" s="272"/>
      <c r="EQ59" s="272"/>
      <c r="ER59" s="272"/>
      <c r="ES59" s="272"/>
      <c r="ET59" s="272"/>
      <c r="EU59" s="272"/>
      <c r="EV59" s="272"/>
      <c r="EW59" s="272"/>
      <c r="EX59" s="272"/>
      <c r="EY59" s="272"/>
      <c r="EZ59" s="272"/>
      <c r="FA59" s="272"/>
      <c r="FB59" s="272"/>
      <c r="FC59" s="272"/>
      <c r="FD59" s="272"/>
      <c r="FE59" s="272"/>
      <c r="FF59" s="272"/>
      <c r="FG59" s="272"/>
      <c r="FH59" s="272"/>
      <c r="FI59" s="272"/>
      <c r="FJ59" s="272"/>
      <c r="FK59" s="272"/>
      <c r="FL59" s="272"/>
      <c r="FM59" s="272"/>
      <c r="FN59" s="272"/>
      <c r="FO59" s="272"/>
      <c r="FP59" s="272"/>
      <c r="FQ59" s="272"/>
      <c r="FR59" s="272"/>
      <c r="FS59" s="272"/>
      <c r="FT59" s="272"/>
      <c r="FU59" s="272"/>
      <c r="FV59" s="272"/>
      <c r="FW59" s="272"/>
      <c r="FX59" s="272"/>
      <c r="FY59" s="272"/>
      <c r="FZ59" s="272"/>
      <c r="GA59" s="272"/>
      <c r="GB59" s="272"/>
      <c r="GC59" s="272"/>
      <c r="GD59" s="272"/>
      <c r="GE59" s="272"/>
      <c r="GF59" s="272"/>
      <c r="GG59" s="272"/>
      <c r="GH59" s="272"/>
      <c r="GI59" s="272"/>
      <c r="GJ59" s="272"/>
      <c r="GK59" s="272"/>
      <c r="GL59" s="272"/>
      <c r="GM59" s="272"/>
      <c r="GN59" s="272"/>
      <c r="GO59" s="272"/>
      <c r="GP59" s="272"/>
      <c r="GQ59" s="272"/>
      <c r="GR59" s="272"/>
      <c r="GS59" s="272"/>
      <c r="GT59" s="272"/>
      <c r="GU59" s="272"/>
      <c r="GV59" s="272"/>
      <c r="GW59" s="272"/>
      <c r="GX59" s="272"/>
      <c r="GY59" s="272"/>
      <c r="GZ59" s="272"/>
      <c r="HA59" s="272"/>
      <c r="HB59" s="272"/>
      <c r="HC59" s="272"/>
      <c r="HD59" s="272"/>
      <c r="HE59" s="272"/>
      <c r="HF59" s="272"/>
      <c r="HG59" s="272"/>
      <c r="HH59" s="272"/>
      <c r="HI59" s="272"/>
      <c r="HJ59" s="272"/>
      <c r="HK59" s="272"/>
      <c r="HL59" s="272"/>
      <c r="HM59" s="272"/>
      <c r="HN59" s="272"/>
      <c r="HO59" s="272"/>
      <c r="HP59" s="272"/>
      <c r="HQ59" s="272"/>
      <c r="HR59" s="272"/>
      <c r="HS59" s="272"/>
      <c r="HT59" s="272"/>
      <c r="HU59" s="272"/>
      <c r="HV59" s="272"/>
      <c r="HW59" s="272"/>
      <c r="HX59" s="272"/>
      <c r="HY59" s="272"/>
      <c r="HZ59" s="272"/>
      <c r="IA59" s="272"/>
      <c r="IB59" s="272"/>
      <c r="IC59" s="272"/>
      <c r="ID59" s="272"/>
      <c r="IE59" s="272"/>
      <c r="IF59" s="272"/>
      <c r="IG59" s="272"/>
      <c r="IH59" s="272"/>
      <c r="II59" s="272"/>
      <c r="IJ59" s="272"/>
      <c r="IK59" s="272"/>
      <c r="IL59" s="272"/>
      <c r="IM59" s="272"/>
      <c r="IN59" s="272"/>
      <c r="IO59" s="272"/>
      <c r="IP59" s="272"/>
      <c r="IQ59" s="272"/>
      <c r="IR59" s="272"/>
      <c r="IS59" s="272"/>
      <c r="IT59" s="272"/>
      <c r="IU59" s="272"/>
      <c r="IV59" s="272"/>
      <c r="IW59" s="272"/>
      <c r="IX59" s="272"/>
      <c r="IY59" s="272"/>
      <c r="IZ59" s="272"/>
      <c r="JA59" s="272"/>
      <c r="JB59" s="272"/>
      <c r="JC59" s="272"/>
      <c r="JD59" s="272"/>
      <c r="JE59" s="272"/>
      <c r="JF59" s="272"/>
      <c r="JG59" s="272"/>
      <c r="JH59" s="272"/>
      <c r="JI59" s="272"/>
      <c r="JJ59" s="272"/>
      <c r="JK59" s="272"/>
      <c r="JL59" s="272"/>
      <c r="JM59" s="272"/>
      <c r="JN59" s="272"/>
      <c r="JO59" s="272"/>
      <c r="JP59" s="272"/>
      <c r="JQ59" s="272"/>
      <c r="JR59" s="272"/>
      <c r="JS59" s="272"/>
      <c r="JT59" s="272"/>
      <c r="JU59" s="272"/>
      <c r="JV59" s="272"/>
      <c r="JW59" s="272"/>
      <c r="JX59" s="272"/>
      <c r="JY59" s="272"/>
      <c r="JZ59" s="272"/>
      <c r="KA59" s="272"/>
      <c r="KB59" s="272"/>
      <c r="KC59" s="272"/>
      <c r="KD59" s="272"/>
      <c r="KE59" s="272"/>
      <c r="KF59" s="272"/>
      <c r="KG59" s="272"/>
      <c r="KH59" s="272"/>
      <c r="KI59" s="272"/>
      <c r="KJ59" s="272"/>
      <c r="KK59" s="272"/>
      <c r="KL59" s="272"/>
      <c r="KM59" s="272"/>
      <c r="KN59" s="272"/>
      <c r="KO59" s="272"/>
      <c r="KP59" s="272"/>
      <c r="KQ59" s="272"/>
      <c r="KR59" s="272"/>
      <c r="KS59" s="272"/>
      <c r="KT59" s="272"/>
      <c r="KU59" s="272"/>
      <c r="KV59" s="272"/>
      <c r="KW59" s="272"/>
      <c r="KX59" s="272"/>
      <c r="KY59" s="272"/>
      <c r="KZ59" s="272"/>
      <c r="LA59" s="272"/>
      <c r="LB59" s="272"/>
      <c r="LC59" s="272"/>
      <c r="LD59" s="272"/>
      <c r="LE59" s="272"/>
      <c r="LF59" s="272"/>
      <c r="LG59" s="272"/>
      <c r="LH59" s="272"/>
      <c r="LI59" s="272"/>
      <c r="LJ59" s="272"/>
      <c r="LK59" s="272"/>
      <c r="LL59" s="272"/>
      <c r="LM59" s="272"/>
      <c r="LN59" s="272"/>
      <c r="LO59" s="272"/>
      <c r="LP59" s="272"/>
      <c r="LQ59" s="272"/>
      <c r="LR59" s="272"/>
      <c r="LS59" s="272"/>
      <c r="LT59" s="272"/>
      <c r="LU59" s="272"/>
      <c r="LV59" s="272"/>
      <c r="LW59" s="272"/>
      <c r="LX59" s="272"/>
      <c r="LY59" s="272"/>
      <c r="LZ59" s="272"/>
      <c r="MA59" s="272"/>
      <c r="MB59" s="272"/>
      <c r="MC59" s="272"/>
      <c r="MD59" s="272"/>
      <c r="ME59" s="272"/>
      <c r="MF59" s="272"/>
      <c r="MG59" s="272"/>
      <c r="MH59" s="272"/>
      <c r="MI59" s="272"/>
      <c r="MJ59" s="272"/>
      <c r="MK59" s="272"/>
      <c r="ML59" s="272"/>
      <c r="MM59" s="272"/>
      <c r="MN59" s="272"/>
      <c r="MO59" s="272"/>
      <c r="MP59" s="272"/>
      <c r="MQ59" s="272"/>
      <c r="MR59" s="272"/>
      <c r="MS59" s="272"/>
      <c r="MT59" s="272"/>
      <c r="MU59" s="272"/>
      <c r="MV59" s="272"/>
      <c r="MW59" s="272"/>
      <c r="MX59" s="272"/>
      <c r="MY59" s="272"/>
      <c r="MZ59" s="272"/>
      <c r="NA59" s="272"/>
      <c r="NB59" s="272"/>
      <c r="NC59" s="272"/>
      <c r="ND59" s="272"/>
      <c r="NE59" s="272"/>
      <c r="NF59" s="272"/>
      <c r="NG59" s="272"/>
      <c r="NH59" s="272"/>
      <c r="NI59" s="272"/>
      <c r="NJ59" s="272"/>
      <c r="NK59" s="272"/>
      <c r="NL59" s="272"/>
      <c r="NM59" s="272"/>
      <c r="NN59" s="272"/>
      <c r="NO59" s="272"/>
      <c r="NP59" s="272"/>
      <c r="NQ59" s="272"/>
      <c r="NR59" s="272"/>
      <c r="NS59" s="272"/>
      <c r="NT59" s="272"/>
      <c r="NU59" s="272"/>
      <c r="NV59" s="272"/>
      <c r="NW59" s="272"/>
      <c r="NX59" s="272"/>
      <c r="NY59" s="272"/>
      <c r="NZ59" s="272"/>
      <c r="OA59" s="272"/>
      <c r="OB59" s="272"/>
      <c r="OC59" s="272"/>
      <c r="OD59" s="272"/>
      <c r="OE59" s="272"/>
      <c r="OF59" s="272"/>
      <c r="OG59" s="272"/>
      <c r="OH59" s="272"/>
      <c r="OI59" s="272"/>
      <c r="OJ59" s="272"/>
      <c r="OK59" s="272"/>
      <c r="OL59" s="272"/>
      <c r="OM59" s="272"/>
      <c r="ON59" s="272"/>
      <c r="OO59" s="272"/>
      <c r="OP59" s="272"/>
      <c r="OQ59" s="272"/>
      <c r="OR59" s="272"/>
      <c r="OS59" s="272"/>
      <c r="OT59" s="272"/>
      <c r="OU59" s="272"/>
      <c r="OV59" s="272"/>
      <c r="OW59" s="272"/>
      <c r="OX59" s="272"/>
      <c r="OY59" s="272"/>
      <c r="OZ59" s="272"/>
      <c r="PA59" s="272"/>
      <c r="PB59" s="272"/>
      <c r="PC59" s="272"/>
      <c r="PD59" s="272"/>
      <c r="PE59" s="272"/>
      <c r="PF59" s="272"/>
      <c r="PG59" s="272"/>
      <c r="PH59" s="272"/>
      <c r="PI59" s="272"/>
      <c r="PJ59" s="272"/>
      <c r="PK59" s="272"/>
      <c r="PL59" s="272"/>
      <c r="PM59" s="272"/>
      <c r="PN59" s="272"/>
      <c r="PO59" s="272"/>
      <c r="PP59" s="272"/>
      <c r="PQ59" s="272"/>
      <c r="PR59" s="272"/>
      <c r="PS59" s="272"/>
      <c r="PT59" s="272"/>
      <c r="PU59" s="272"/>
      <c r="PV59" s="272"/>
      <c r="PW59" s="272"/>
      <c r="PX59" s="272"/>
      <c r="PY59" s="272"/>
      <c r="PZ59" s="272"/>
      <c r="QA59" s="272"/>
      <c r="QB59" s="272"/>
      <c r="QC59" s="272"/>
      <c r="QD59" s="272"/>
      <c r="QE59" s="272"/>
      <c r="QF59" s="272"/>
      <c r="QG59" s="272"/>
      <c r="QH59" s="272"/>
      <c r="QI59" s="272"/>
      <c r="QJ59" s="272"/>
      <c r="QK59" s="272"/>
      <c r="QL59" s="272"/>
      <c r="QM59" s="272"/>
      <c r="QN59" s="272"/>
      <c r="QO59" s="272"/>
      <c r="QP59" s="272"/>
      <c r="QQ59" s="272"/>
      <c r="QR59" s="272"/>
      <c r="QS59" s="272"/>
      <c r="QT59" s="272"/>
      <c r="QU59" s="272"/>
      <c r="QV59" s="272"/>
      <c r="QW59" s="272"/>
      <c r="QX59" s="272"/>
      <c r="QY59" s="272"/>
      <c r="QZ59" s="272"/>
      <c r="RA59" s="272"/>
      <c r="RB59" s="272"/>
      <c r="RC59" s="272"/>
      <c r="RD59" s="272"/>
      <c r="RE59" s="272"/>
      <c r="RF59" s="272"/>
      <c r="RG59" s="272"/>
      <c r="RH59" s="272"/>
      <c r="RI59" s="272"/>
      <c r="RJ59" s="272"/>
      <c r="RK59" s="272"/>
      <c r="RL59" s="272"/>
      <c r="RM59" s="272"/>
      <c r="RN59" s="272"/>
      <c r="RO59" s="272"/>
      <c r="RP59" s="272"/>
      <c r="RQ59" s="272"/>
      <c r="RR59" s="272"/>
      <c r="RS59" s="272"/>
      <c r="RT59" s="272"/>
      <c r="RU59" s="272"/>
      <c r="RV59" s="272"/>
      <c r="RW59" s="272"/>
      <c r="RX59" s="272"/>
      <c r="RY59" s="272"/>
      <c r="RZ59" s="272"/>
      <c r="SA59" s="272"/>
      <c r="SB59" s="272"/>
      <c r="SC59" s="272"/>
      <c r="SD59" s="272"/>
      <c r="SE59" s="272"/>
      <c r="SF59" s="272"/>
      <c r="SG59" s="272"/>
      <c r="SH59" s="272"/>
      <c r="SI59" s="272"/>
      <c r="SJ59" s="272"/>
      <c r="SK59" s="272"/>
      <c r="SL59" s="272"/>
      <c r="SM59" s="272"/>
      <c r="SN59" s="272"/>
      <c r="SO59" s="272"/>
      <c r="SP59" s="272"/>
      <c r="SQ59" s="272"/>
      <c r="SR59" s="272"/>
      <c r="SS59" s="272"/>
      <c r="ST59" s="272"/>
      <c r="SU59" s="272"/>
      <c r="SV59" s="272"/>
      <c r="SW59" s="272"/>
      <c r="SX59" s="272"/>
      <c r="SY59" s="272"/>
      <c r="SZ59" s="272"/>
      <c r="TA59" s="272"/>
      <c r="TB59" s="272"/>
      <c r="TC59" s="272"/>
      <c r="TD59" s="272"/>
      <c r="TE59" s="272"/>
      <c r="TF59" s="272"/>
      <c r="TG59" s="272"/>
      <c r="TH59" s="272"/>
      <c r="TI59" s="272"/>
      <c r="TJ59" s="272"/>
      <c r="TK59" s="272"/>
      <c r="TL59" s="272"/>
      <c r="TM59" s="272"/>
      <c r="TN59" s="272"/>
      <c r="TO59" s="272"/>
      <c r="TP59" s="272"/>
      <c r="TQ59" s="272"/>
      <c r="TR59" s="272"/>
      <c r="TS59" s="272"/>
      <c r="TT59" s="272"/>
      <c r="TU59" s="272"/>
      <c r="TV59" s="272"/>
      <c r="TW59" s="272"/>
      <c r="TX59" s="272"/>
      <c r="TY59" s="272"/>
      <c r="TZ59" s="272"/>
      <c r="UA59" s="272"/>
      <c r="UB59" s="272"/>
      <c r="UC59" s="272"/>
      <c r="UD59" s="272"/>
      <c r="UE59" s="272"/>
      <c r="UF59" s="272"/>
      <c r="UG59" s="272"/>
      <c r="UH59" s="272"/>
      <c r="UI59" s="272"/>
      <c r="UJ59" s="272"/>
      <c r="UK59" s="272"/>
      <c r="UL59" s="272"/>
      <c r="UM59" s="272"/>
      <c r="UN59" s="272"/>
      <c r="UO59" s="272"/>
      <c r="UP59" s="272"/>
      <c r="UQ59" s="272"/>
      <c r="UR59" s="272"/>
      <c r="US59" s="272"/>
      <c r="UT59" s="272"/>
      <c r="UU59" s="272"/>
      <c r="UV59" s="272"/>
      <c r="UW59" s="272"/>
      <c r="UX59" s="272"/>
      <c r="UY59" s="272"/>
      <c r="UZ59" s="272"/>
      <c r="VA59" s="272"/>
      <c r="VB59" s="272"/>
      <c r="VC59" s="272"/>
      <c r="VD59" s="272"/>
      <c r="VE59" s="272"/>
      <c r="VF59" s="272"/>
      <c r="VG59" s="272"/>
      <c r="VH59" s="272"/>
      <c r="VI59" s="272"/>
      <c r="VJ59" s="272"/>
      <c r="VK59" s="272"/>
      <c r="VL59" s="272"/>
      <c r="VM59" s="272"/>
      <c r="VN59" s="272"/>
      <c r="VO59" s="272"/>
      <c r="VP59" s="272"/>
      <c r="VQ59" s="272"/>
      <c r="VR59" s="272"/>
      <c r="VS59" s="272"/>
      <c r="VT59" s="272"/>
      <c r="VU59" s="272"/>
      <c r="VV59" s="272"/>
      <c r="VW59" s="272"/>
      <c r="VX59" s="272"/>
      <c r="VY59" s="272"/>
      <c r="VZ59" s="272"/>
      <c r="WA59" s="272"/>
      <c r="WB59" s="272"/>
      <c r="WC59" s="272"/>
      <c r="WD59" s="272"/>
      <c r="WE59" s="272"/>
      <c r="WF59" s="272"/>
      <c r="WG59" s="272"/>
      <c r="WH59" s="272"/>
      <c r="WI59" s="272"/>
      <c r="WJ59" s="272"/>
      <c r="WK59" s="272"/>
      <c r="WL59" s="272"/>
      <c r="WM59" s="272"/>
      <c r="WN59" s="272"/>
      <c r="WO59" s="272"/>
      <c r="WP59" s="272"/>
      <c r="WQ59" s="272"/>
      <c r="WR59" s="272"/>
      <c r="WS59" s="272"/>
      <c r="WT59" s="272"/>
      <c r="WU59" s="272"/>
      <c r="WV59" s="272"/>
      <c r="WW59" s="272"/>
      <c r="WX59" s="272"/>
      <c r="WY59" s="272"/>
      <c r="WZ59" s="272"/>
      <c r="XA59" s="272"/>
      <c r="XB59" s="272"/>
      <c r="XC59" s="272"/>
      <c r="XD59" s="272"/>
      <c r="XE59" s="272"/>
      <c r="XF59" s="272"/>
      <c r="XG59" s="272"/>
      <c r="XH59" s="272"/>
      <c r="XI59" s="272"/>
      <c r="XJ59" s="272"/>
      <c r="XK59" s="272"/>
      <c r="XL59" s="272"/>
      <c r="XM59" s="272"/>
      <c r="XN59" s="272"/>
      <c r="XO59" s="272"/>
      <c r="XP59" s="272"/>
      <c r="XQ59" s="272"/>
      <c r="XR59" s="272"/>
      <c r="XS59" s="272"/>
      <c r="XT59" s="272"/>
      <c r="XU59" s="272"/>
      <c r="XV59" s="272"/>
      <c r="XW59" s="272"/>
      <c r="XX59" s="272"/>
      <c r="XY59" s="272"/>
      <c r="XZ59" s="272"/>
      <c r="YA59" s="272"/>
      <c r="YB59" s="272"/>
      <c r="YC59" s="272"/>
      <c r="YD59" s="272"/>
      <c r="YE59" s="272"/>
      <c r="YF59" s="272"/>
      <c r="YG59" s="272"/>
      <c r="YH59" s="272"/>
      <c r="YI59" s="272"/>
      <c r="YJ59" s="272"/>
      <c r="YK59" s="272"/>
      <c r="YL59" s="272"/>
      <c r="YM59" s="272"/>
      <c r="YN59" s="272"/>
      <c r="YO59" s="272"/>
      <c r="YP59" s="272"/>
      <c r="YQ59" s="272"/>
      <c r="YR59" s="272"/>
      <c r="YS59" s="272"/>
      <c r="YT59" s="272"/>
      <c r="YU59" s="272"/>
      <c r="YV59" s="272"/>
      <c r="YW59" s="272"/>
      <c r="YX59" s="272"/>
      <c r="YY59" s="272"/>
      <c r="YZ59" s="272"/>
      <c r="ZA59" s="272"/>
      <c r="ZB59" s="272"/>
      <c r="ZC59" s="272"/>
      <c r="ZD59" s="272"/>
      <c r="ZE59" s="272"/>
      <c r="ZF59" s="272"/>
      <c r="ZG59" s="272"/>
      <c r="ZH59" s="272"/>
      <c r="ZI59" s="272"/>
      <c r="ZJ59" s="272"/>
      <c r="ZK59" s="272"/>
      <c r="ZL59" s="272"/>
      <c r="ZM59" s="272"/>
      <c r="ZN59" s="272"/>
      <c r="ZO59" s="272"/>
      <c r="ZP59" s="272"/>
      <c r="ZQ59" s="272"/>
      <c r="ZR59" s="272"/>
      <c r="ZS59" s="272"/>
      <c r="ZT59" s="272"/>
    </row>
    <row r="60" spans="1:696" s="62" customFormat="1" ht="13.5" thickBot="1">
      <c r="A60" s="48"/>
      <c r="B60" s="75"/>
      <c r="C60" s="58" t="s">
        <v>54</v>
      </c>
      <c r="D60" s="58"/>
      <c r="E60" s="60"/>
      <c r="F60" s="60"/>
      <c r="G60" s="264"/>
      <c r="H60" s="264"/>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c r="CP60" s="272"/>
      <c r="CQ60" s="272"/>
      <c r="CR60" s="272"/>
      <c r="CS60" s="272"/>
      <c r="CT60" s="272"/>
      <c r="CU60" s="272"/>
      <c r="CV60" s="272"/>
      <c r="CW60" s="272"/>
      <c r="CX60" s="272"/>
      <c r="CY60" s="272"/>
      <c r="CZ60" s="272"/>
      <c r="DA60" s="272"/>
      <c r="DB60" s="272"/>
      <c r="DC60" s="272"/>
      <c r="DD60" s="272"/>
      <c r="DE60" s="272"/>
      <c r="DF60" s="272"/>
      <c r="DG60" s="272"/>
      <c r="DH60" s="272"/>
      <c r="DI60" s="272"/>
      <c r="DJ60" s="272"/>
      <c r="DK60" s="272"/>
      <c r="DL60" s="272"/>
      <c r="DM60" s="272"/>
      <c r="DN60" s="272"/>
      <c r="DO60" s="272"/>
      <c r="DP60" s="272"/>
      <c r="DQ60" s="272"/>
      <c r="DR60" s="272"/>
      <c r="DS60" s="272"/>
      <c r="DT60" s="272"/>
      <c r="DU60" s="272"/>
      <c r="DV60" s="272"/>
      <c r="DW60" s="272"/>
      <c r="DX60" s="272"/>
      <c r="DY60" s="272"/>
      <c r="DZ60" s="272"/>
      <c r="EA60" s="272"/>
      <c r="EB60" s="272"/>
      <c r="EC60" s="272"/>
      <c r="ED60" s="272"/>
      <c r="EE60" s="272"/>
      <c r="EF60" s="272"/>
      <c r="EG60" s="272"/>
      <c r="EH60" s="272"/>
      <c r="EI60" s="272"/>
      <c r="EJ60" s="272"/>
      <c r="EK60" s="272"/>
      <c r="EL60" s="272"/>
      <c r="EM60" s="272"/>
      <c r="EN60" s="272"/>
      <c r="EO60" s="272"/>
      <c r="EP60" s="272"/>
      <c r="EQ60" s="272"/>
      <c r="ER60" s="272"/>
      <c r="ES60" s="272"/>
      <c r="ET60" s="272"/>
      <c r="EU60" s="272"/>
      <c r="EV60" s="272"/>
      <c r="EW60" s="272"/>
      <c r="EX60" s="272"/>
      <c r="EY60" s="272"/>
      <c r="EZ60" s="272"/>
      <c r="FA60" s="272"/>
      <c r="FB60" s="272"/>
      <c r="FC60" s="272"/>
      <c r="FD60" s="272"/>
      <c r="FE60" s="272"/>
      <c r="FF60" s="272"/>
      <c r="FG60" s="272"/>
      <c r="FH60" s="272"/>
      <c r="FI60" s="272"/>
      <c r="FJ60" s="272"/>
      <c r="FK60" s="272"/>
      <c r="FL60" s="272"/>
      <c r="FM60" s="272"/>
      <c r="FN60" s="272"/>
      <c r="FO60" s="272"/>
      <c r="FP60" s="272"/>
      <c r="FQ60" s="272"/>
      <c r="FR60" s="272"/>
      <c r="FS60" s="272"/>
      <c r="FT60" s="272"/>
      <c r="FU60" s="272"/>
      <c r="FV60" s="272"/>
      <c r="FW60" s="272"/>
      <c r="FX60" s="272"/>
      <c r="FY60" s="272"/>
      <c r="FZ60" s="272"/>
      <c r="GA60" s="272"/>
      <c r="GB60" s="272"/>
      <c r="GC60" s="272"/>
      <c r="GD60" s="272"/>
      <c r="GE60" s="272"/>
      <c r="GF60" s="272"/>
      <c r="GG60" s="272"/>
      <c r="GH60" s="272"/>
      <c r="GI60" s="272"/>
      <c r="GJ60" s="272"/>
      <c r="GK60" s="272"/>
      <c r="GL60" s="272"/>
      <c r="GM60" s="272"/>
      <c r="GN60" s="272"/>
      <c r="GO60" s="272"/>
      <c r="GP60" s="272"/>
      <c r="GQ60" s="272"/>
      <c r="GR60" s="272"/>
      <c r="GS60" s="272"/>
      <c r="GT60" s="272"/>
      <c r="GU60" s="272"/>
      <c r="GV60" s="272"/>
      <c r="GW60" s="272"/>
      <c r="GX60" s="272"/>
      <c r="GY60" s="272"/>
      <c r="GZ60" s="272"/>
      <c r="HA60" s="272"/>
      <c r="HB60" s="272"/>
      <c r="HC60" s="272"/>
      <c r="HD60" s="272"/>
      <c r="HE60" s="272"/>
      <c r="HF60" s="272"/>
      <c r="HG60" s="272"/>
      <c r="HH60" s="272"/>
      <c r="HI60" s="272"/>
      <c r="HJ60" s="272"/>
      <c r="HK60" s="272"/>
      <c r="HL60" s="272"/>
      <c r="HM60" s="272"/>
      <c r="HN60" s="272"/>
      <c r="HO60" s="272"/>
      <c r="HP60" s="272"/>
      <c r="HQ60" s="272"/>
      <c r="HR60" s="272"/>
      <c r="HS60" s="272"/>
      <c r="HT60" s="272"/>
      <c r="HU60" s="272"/>
      <c r="HV60" s="272"/>
      <c r="HW60" s="272"/>
      <c r="HX60" s="272"/>
      <c r="HY60" s="272"/>
      <c r="HZ60" s="272"/>
      <c r="IA60" s="272"/>
      <c r="IB60" s="272"/>
      <c r="IC60" s="272"/>
      <c r="ID60" s="272"/>
      <c r="IE60" s="272"/>
      <c r="IF60" s="272"/>
      <c r="IG60" s="272"/>
      <c r="IH60" s="272"/>
      <c r="II60" s="272"/>
      <c r="IJ60" s="272"/>
      <c r="IK60" s="272"/>
      <c r="IL60" s="272"/>
      <c r="IM60" s="272"/>
      <c r="IN60" s="272"/>
      <c r="IO60" s="272"/>
      <c r="IP60" s="272"/>
      <c r="IQ60" s="272"/>
      <c r="IR60" s="272"/>
      <c r="IS60" s="272"/>
      <c r="IT60" s="272"/>
      <c r="IU60" s="272"/>
      <c r="IV60" s="272"/>
      <c r="IW60" s="272"/>
      <c r="IX60" s="272"/>
      <c r="IY60" s="272"/>
      <c r="IZ60" s="272"/>
      <c r="JA60" s="272"/>
      <c r="JB60" s="272"/>
      <c r="JC60" s="272"/>
      <c r="JD60" s="272"/>
      <c r="JE60" s="272"/>
      <c r="JF60" s="272"/>
      <c r="JG60" s="272"/>
      <c r="JH60" s="272"/>
      <c r="JI60" s="272"/>
      <c r="JJ60" s="272"/>
      <c r="JK60" s="272"/>
      <c r="JL60" s="272"/>
      <c r="JM60" s="272"/>
      <c r="JN60" s="272"/>
      <c r="JO60" s="272"/>
      <c r="JP60" s="272"/>
      <c r="JQ60" s="272"/>
      <c r="JR60" s="272"/>
      <c r="JS60" s="272"/>
      <c r="JT60" s="272"/>
      <c r="JU60" s="272"/>
      <c r="JV60" s="272"/>
      <c r="JW60" s="272"/>
      <c r="JX60" s="272"/>
      <c r="JY60" s="272"/>
      <c r="JZ60" s="272"/>
      <c r="KA60" s="272"/>
      <c r="KB60" s="272"/>
      <c r="KC60" s="272"/>
      <c r="KD60" s="272"/>
      <c r="KE60" s="272"/>
      <c r="KF60" s="272"/>
      <c r="KG60" s="272"/>
      <c r="KH60" s="272"/>
      <c r="KI60" s="272"/>
      <c r="KJ60" s="272"/>
      <c r="KK60" s="272"/>
      <c r="KL60" s="272"/>
      <c r="KM60" s="272"/>
      <c r="KN60" s="272"/>
      <c r="KO60" s="272"/>
      <c r="KP60" s="272"/>
      <c r="KQ60" s="272"/>
      <c r="KR60" s="272"/>
      <c r="KS60" s="272"/>
      <c r="KT60" s="272"/>
      <c r="KU60" s="272"/>
      <c r="KV60" s="272"/>
      <c r="KW60" s="272"/>
      <c r="KX60" s="272"/>
      <c r="KY60" s="272"/>
      <c r="KZ60" s="272"/>
      <c r="LA60" s="272"/>
      <c r="LB60" s="272"/>
      <c r="LC60" s="272"/>
      <c r="LD60" s="272"/>
      <c r="LE60" s="272"/>
      <c r="LF60" s="272"/>
      <c r="LG60" s="272"/>
      <c r="LH60" s="272"/>
      <c r="LI60" s="272"/>
      <c r="LJ60" s="272"/>
      <c r="LK60" s="272"/>
      <c r="LL60" s="272"/>
      <c r="LM60" s="272"/>
      <c r="LN60" s="272"/>
      <c r="LO60" s="272"/>
      <c r="LP60" s="272"/>
      <c r="LQ60" s="272"/>
      <c r="LR60" s="272"/>
      <c r="LS60" s="272"/>
      <c r="LT60" s="272"/>
      <c r="LU60" s="272"/>
      <c r="LV60" s="272"/>
      <c r="LW60" s="272"/>
      <c r="LX60" s="272"/>
      <c r="LY60" s="272"/>
      <c r="LZ60" s="272"/>
      <c r="MA60" s="272"/>
      <c r="MB60" s="272"/>
      <c r="MC60" s="272"/>
      <c r="MD60" s="272"/>
      <c r="ME60" s="272"/>
      <c r="MF60" s="272"/>
      <c r="MG60" s="272"/>
      <c r="MH60" s="272"/>
      <c r="MI60" s="272"/>
      <c r="MJ60" s="272"/>
      <c r="MK60" s="272"/>
      <c r="ML60" s="272"/>
      <c r="MM60" s="272"/>
      <c r="MN60" s="272"/>
      <c r="MO60" s="272"/>
      <c r="MP60" s="272"/>
      <c r="MQ60" s="272"/>
      <c r="MR60" s="272"/>
      <c r="MS60" s="272"/>
      <c r="MT60" s="272"/>
      <c r="MU60" s="272"/>
      <c r="MV60" s="272"/>
      <c r="MW60" s="272"/>
      <c r="MX60" s="272"/>
      <c r="MY60" s="272"/>
      <c r="MZ60" s="272"/>
      <c r="NA60" s="272"/>
      <c r="NB60" s="272"/>
      <c r="NC60" s="272"/>
      <c r="ND60" s="272"/>
      <c r="NE60" s="272"/>
      <c r="NF60" s="272"/>
      <c r="NG60" s="272"/>
      <c r="NH60" s="272"/>
      <c r="NI60" s="272"/>
      <c r="NJ60" s="272"/>
      <c r="NK60" s="272"/>
      <c r="NL60" s="272"/>
      <c r="NM60" s="272"/>
      <c r="NN60" s="272"/>
      <c r="NO60" s="272"/>
      <c r="NP60" s="272"/>
      <c r="NQ60" s="272"/>
      <c r="NR60" s="272"/>
      <c r="NS60" s="272"/>
      <c r="NT60" s="272"/>
      <c r="NU60" s="272"/>
      <c r="NV60" s="272"/>
      <c r="NW60" s="272"/>
      <c r="NX60" s="272"/>
      <c r="NY60" s="272"/>
      <c r="NZ60" s="272"/>
      <c r="OA60" s="272"/>
      <c r="OB60" s="272"/>
      <c r="OC60" s="272"/>
      <c r="OD60" s="272"/>
      <c r="OE60" s="272"/>
      <c r="OF60" s="272"/>
      <c r="OG60" s="272"/>
      <c r="OH60" s="272"/>
      <c r="OI60" s="272"/>
      <c r="OJ60" s="272"/>
      <c r="OK60" s="272"/>
      <c r="OL60" s="272"/>
      <c r="OM60" s="272"/>
      <c r="ON60" s="272"/>
      <c r="OO60" s="272"/>
      <c r="OP60" s="272"/>
      <c r="OQ60" s="272"/>
      <c r="OR60" s="272"/>
      <c r="OS60" s="272"/>
      <c r="OT60" s="272"/>
      <c r="OU60" s="272"/>
      <c r="OV60" s="272"/>
      <c r="OW60" s="272"/>
      <c r="OX60" s="272"/>
      <c r="OY60" s="272"/>
      <c r="OZ60" s="272"/>
      <c r="PA60" s="272"/>
      <c r="PB60" s="272"/>
      <c r="PC60" s="272"/>
      <c r="PD60" s="272"/>
      <c r="PE60" s="272"/>
      <c r="PF60" s="272"/>
      <c r="PG60" s="272"/>
      <c r="PH60" s="272"/>
      <c r="PI60" s="272"/>
      <c r="PJ60" s="272"/>
      <c r="PK60" s="272"/>
      <c r="PL60" s="272"/>
      <c r="PM60" s="272"/>
      <c r="PN60" s="272"/>
      <c r="PO60" s="272"/>
      <c r="PP60" s="272"/>
      <c r="PQ60" s="272"/>
      <c r="PR60" s="272"/>
      <c r="PS60" s="272"/>
      <c r="PT60" s="272"/>
      <c r="PU60" s="272"/>
      <c r="PV60" s="272"/>
      <c r="PW60" s="272"/>
      <c r="PX60" s="272"/>
      <c r="PY60" s="272"/>
      <c r="PZ60" s="272"/>
      <c r="QA60" s="272"/>
      <c r="QB60" s="272"/>
      <c r="QC60" s="272"/>
      <c r="QD60" s="272"/>
      <c r="QE60" s="272"/>
      <c r="QF60" s="272"/>
      <c r="QG60" s="272"/>
      <c r="QH60" s="272"/>
      <c r="QI60" s="272"/>
      <c r="QJ60" s="272"/>
      <c r="QK60" s="272"/>
      <c r="QL60" s="272"/>
      <c r="QM60" s="272"/>
      <c r="QN60" s="272"/>
      <c r="QO60" s="272"/>
      <c r="QP60" s="272"/>
      <c r="QQ60" s="272"/>
      <c r="QR60" s="272"/>
      <c r="QS60" s="272"/>
      <c r="QT60" s="272"/>
      <c r="QU60" s="272"/>
      <c r="QV60" s="272"/>
      <c r="QW60" s="272"/>
      <c r="QX60" s="272"/>
      <c r="QY60" s="272"/>
      <c r="QZ60" s="272"/>
      <c r="RA60" s="272"/>
      <c r="RB60" s="272"/>
      <c r="RC60" s="272"/>
      <c r="RD60" s="272"/>
      <c r="RE60" s="272"/>
      <c r="RF60" s="272"/>
      <c r="RG60" s="272"/>
      <c r="RH60" s="272"/>
      <c r="RI60" s="272"/>
      <c r="RJ60" s="272"/>
      <c r="RK60" s="272"/>
      <c r="RL60" s="272"/>
      <c r="RM60" s="272"/>
      <c r="RN60" s="272"/>
      <c r="RO60" s="272"/>
      <c r="RP60" s="272"/>
      <c r="RQ60" s="272"/>
      <c r="RR60" s="272"/>
      <c r="RS60" s="272"/>
      <c r="RT60" s="272"/>
      <c r="RU60" s="272"/>
      <c r="RV60" s="272"/>
      <c r="RW60" s="272"/>
      <c r="RX60" s="272"/>
      <c r="RY60" s="272"/>
      <c r="RZ60" s="272"/>
      <c r="SA60" s="272"/>
      <c r="SB60" s="272"/>
      <c r="SC60" s="272"/>
      <c r="SD60" s="272"/>
      <c r="SE60" s="272"/>
      <c r="SF60" s="272"/>
      <c r="SG60" s="272"/>
      <c r="SH60" s="272"/>
      <c r="SI60" s="272"/>
      <c r="SJ60" s="272"/>
      <c r="SK60" s="272"/>
      <c r="SL60" s="272"/>
      <c r="SM60" s="272"/>
      <c r="SN60" s="272"/>
      <c r="SO60" s="272"/>
      <c r="SP60" s="272"/>
      <c r="SQ60" s="272"/>
      <c r="SR60" s="272"/>
      <c r="SS60" s="272"/>
      <c r="ST60" s="272"/>
      <c r="SU60" s="272"/>
      <c r="SV60" s="272"/>
      <c r="SW60" s="272"/>
      <c r="SX60" s="272"/>
      <c r="SY60" s="272"/>
      <c r="SZ60" s="272"/>
      <c r="TA60" s="272"/>
      <c r="TB60" s="272"/>
      <c r="TC60" s="272"/>
      <c r="TD60" s="272"/>
      <c r="TE60" s="272"/>
      <c r="TF60" s="272"/>
      <c r="TG60" s="272"/>
      <c r="TH60" s="272"/>
      <c r="TI60" s="272"/>
      <c r="TJ60" s="272"/>
      <c r="TK60" s="272"/>
      <c r="TL60" s="272"/>
      <c r="TM60" s="272"/>
      <c r="TN60" s="272"/>
      <c r="TO60" s="272"/>
      <c r="TP60" s="272"/>
      <c r="TQ60" s="272"/>
      <c r="TR60" s="272"/>
      <c r="TS60" s="272"/>
      <c r="TT60" s="272"/>
      <c r="TU60" s="272"/>
      <c r="TV60" s="272"/>
      <c r="TW60" s="272"/>
      <c r="TX60" s="272"/>
      <c r="TY60" s="272"/>
      <c r="TZ60" s="272"/>
      <c r="UA60" s="272"/>
      <c r="UB60" s="272"/>
      <c r="UC60" s="272"/>
      <c r="UD60" s="272"/>
      <c r="UE60" s="272"/>
      <c r="UF60" s="272"/>
      <c r="UG60" s="272"/>
      <c r="UH60" s="272"/>
      <c r="UI60" s="272"/>
      <c r="UJ60" s="272"/>
      <c r="UK60" s="272"/>
      <c r="UL60" s="272"/>
      <c r="UM60" s="272"/>
      <c r="UN60" s="272"/>
      <c r="UO60" s="272"/>
      <c r="UP60" s="272"/>
      <c r="UQ60" s="272"/>
      <c r="UR60" s="272"/>
      <c r="US60" s="272"/>
      <c r="UT60" s="272"/>
      <c r="UU60" s="272"/>
      <c r="UV60" s="272"/>
      <c r="UW60" s="272"/>
      <c r="UX60" s="272"/>
      <c r="UY60" s="272"/>
      <c r="UZ60" s="272"/>
      <c r="VA60" s="272"/>
      <c r="VB60" s="272"/>
      <c r="VC60" s="272"/>
      <c r="VD60" s="272"/>
      <c r="VE60" s="272"/>
      <c r="VF60" s="272"/>
      <c r="VG60" s="272"/>
      <c r="VH60" s="272"/>
      <c r="VI60" s="272"/>
      <c r="VJ60" s="272"/>
      <c r="VK60" s="272"/>
      <c r="VL60" s="272"/>
      <c r="VM60" s="272"/>
      <c r="VN60" s="272"/>
      <c r="VO60" s="272"/>
      <c r="VP60" s="272"/>
      <c r="VQ60" s="272"/>
      <c r="VR60" s="272"/>
      <c r="VS60" s="272"/>
      <c r="VT60" s="272"/>
      <c r="VU60" s="272"/>
      <c r="VV60" s="272"/>
      <c r="VW60" s="272"/>
      <c r="VX60" s="272"/>
      <c r="VY60" s="272"/>
      <c r="VZ60" s="272"/>
      <c r="WA60" s="272"/>
      <c r="WB60" s="272"/>
      <c r="WC60" s="272"/>
      <c r="WD60" s="272"/>
      <c r="WE60" s="272"/>
      <c r="WF60" s="272"/>
      <c r="WG60" s="272"/>
      <c r="WH60" s="272"/>
      <c r="WI60" s="272"/>
      <c r="WJ60" s="272"/>
      <c r="WK60" s="272"/>
      <c r="WL60" s="272"/>
      <c r="WM60" s="272"/>
      <c r="WN60" s="272"/>
      <c r="WO60" s="272"/>
      <c r="WP60" s="272"/>
      <c r="WQ60" s="272"/>
      <c r="WR60" s="272"/>
      <c r="WS60" s="272"/>
      <c r="WT60" s="272"/>
      <c r="WU60" s="272"/>
      <c r="WV60" s="272"/>
      <c r="WW60" s="272"/>
      <c r="WX60" s="272"/>
      <c r="WY60" s="272"/>
      <c r="WZ60" s="272"/>
      <c r="XA60" s="272"/>
      <c r="XB60" s="272"/>
      <c r="XC60" s="272"/>
      <c r="XD60" s="272"/>
      <c r="XE60" s="272"/>
      <c r="XF60" s="272"/>
      <c r="XG60" s="272"/>
      <c r="XH60" s="272"/>
      <c r="XI60" s="272"/>
      <c r="XJ60" s="272"/>
      <c r="XK60" s="272"/>
      <c r="XL60" s="272"/>
      <c r="XM60" s="272"/>
      <c r="XN60" s="272"/>
      <c r="XO60" s="272"/>
      <c r="XP60" s="272"/>
      <c r="XQ60" s="272"/>
      <c r="XR60" s="272"/>
      <c r="XS60" s="272"/>
      <c r="XT60" s="272"/>
      <c r="XU60" s="272"/>
      <c r="XV60" s="272"/>
      <c r="XW60" s="272"/>
      <c r="XX60" s="272"/>
      <c r="XY60" s="272"/>
      <c r="XZ60" s="272"/>
      <c r="YA60" s="272"/>
      <c r="YB60" s="272"/>
      <c r="YC60" s="272"/>
      <c r="YD60" s="272"/>
      <c r="YE60" s="272"/>
      <c r="YF60" s="272"/>
      <c r="YG60" s="272"/>
      <c r="YH60" s="272"/>
      <c r="YI60" s="272"/>
      <c r="YJ60" s="272"/>
      <c r="YK60" s="272"/>
      <c r="YL60" s="272"/>
      <c r="YM60" s="272"/>
      <c r="YN60" s="272"/>
      <c r="YO60" s="272"/>
      <c r="YP60" s="272"/>
      <c r="YQ60" s="272"/>
      <c r="YR60" s="272"/>
      <c r="YS60" s="272"/>
      <c r="YT60" s="272"/>
      <c r="YU60" s="272"/>
      <c r="YV60" s="272"/>
      <c r="YW60" s="272"/>
      <c r="YX60" s="272"/>
      <c r="YY60" s="272"/>
      <c r="YZ60" s="272"/>
      <c r="ZA60" s="272"/>
      <c r="ZB60" s="272"/>
      <c r="ZC60" s="272"/>
      <c r="ZD60" s="272"/>
      <c r="ZE60" s="272"/>
      <c r="ZF60" s="272"/>
      <c r="ZG60" s="272"/>
      <c r="ZH60" s="272"/>
      <c r="ZI60" s="272"/>
      <c r="ZJ60" s="272"/>
      <c r="ZK60" s="272"/>
      <c r="ZL60" s="272"/>
      <c r="ZM60" s="272"/>
      <c r="ZN60" s="272"/>
      <c r="ZO60" s="272"/>
      <c r="ZP60" s="272"/>
      <c r="ZQ60" s="272"/>
      <c r="ZR60" s="272"/>
      <c r="ZS60" s="272"/>
      <c r="ZT60" s="272"/>
    </row>
    <row r="61" spans="1:696" s="61" customFormat="1" ht="88.5" customHeight="1">
      <c r="A61" s="46" t="s">
        <v>7</v>
      </c>
      <c r="B61" s="70" t="s">
        <v>64</v>
      </c>
      <c r="C61" s="30" t="s">
        <v>52</v>
      </c>
      <c r="D61" s="535"/>
      <c r="E61" s="536"/>
      <c r="F61" s="537"/>
      <c r="G61" s="538"/>
      <c r="H61" s="538"/>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2"/>
      <c r="DS61" s="272"/>
      <c r="DT61" s="272"/>
      <c r="DU61" s="272"/>
      <c r="DV61" s="272"/>
      <c r="DW61" s="272"/>
      <c r="DX61" s="272"/>
      <c r="DY61" s="272"/>
      <c r="DZ61" s="272"/>
      <c r="EA61" s="272"/>
      <c r="EB61" s="272"/>
      <c r="EC61" s="272"/>
      <c r="ED61" s="272"/>
      <c r="EE61" s="272"/>
      <c r="EF61" s="272"/>
      <c r="EG61" s="272"/>
      <c r="EH61" s="272"/>
      <c r="EI61" s="272"/>
      <c r="EJ61" s="272"/>
      <c r="EK61" s="272"/>
      <c r="EL61" s="272"/>
      <c r="EM61" s="272"/>
      <c r="EN61" s="272"/>
      <c r="EO61" s="272"/>
      <c r="EP61" s="272"/>
      <c r="EQ61" s="272"/>
      <c r="ER61" s="272"/>
      <c r="ES61" s="272"/>
      <c r="ET61" s="272"/>
      <c r="EU61" s="272"/>
      <c r="EV61" s="272"/>
      <c r="EW61" s="272"/>
      <c r="EX61" s="272"/>
      <c r="EY61" s="272"/>
      <c r="EZ61" s="272"/>
      <c r="FA61" s="272"/>
      <c r="FB61" s="272"/>
      <c r="FC61" s="272"/>
      <c r="FD61" s="272"/>
      <c r="FE61" s="272"/>
      <c r="FF61" s="272"/>
      <c r="FG61" s="272"/>
      <c r="FH61" s="272"/>
      <c r="FI61" s="272"/>
      <c r="FJ61" s="272"/>
      <c r="FK61" s="272"/>
      <c r="FL61" s="272"/>
      <c r="FM61" s="272"/>
      <c r="FN61" s="272"/>
      <c r="FO61" s="272"/>
      <c r="FP61" s="272"/>
      <c r="FQ61" s="272"/>
      <c r="FR61" s="272"/>
      <c r="FS61" s="272"/>
      <c r="FT61" s="272"/>
      <c r="FU61" s="272"/>
      <c r="FV61" s="272"/>
      <c r="FW61" s="272"/>
      <c r="FX61" s="272"/>
      <c r="FY61" s="272"/>
      <c r="FZ61" s="272"/>
      <c r="GA61" s="272"/>
      <c r="GB61" s="272"/>
      <c r="GC61" s="272"/>
      <c r="GD61" s="272"/>
      <c r="GE61" s="272"/>
      <c r="GF61" s="272"/>
      <c r="GG61" s="272"/>
      <c r="GH61" s="272"/>
      <c r="GI61" s="272"/>
      <c r="GJ61" s="272"/>
      <c r="GK61" s="272"/>
      <c r="GL61" s="272"/>
      <c r="GM61" s="272"/>
      <c r="GN61" s="272"/>
      <c r="GO61" s="272"/>
      <c r="GP61" s="272"/>
      <c r="GQ61" s="272"/>
      <c r="GR61" s="272"/>
      <c r="GS61" s="272"/>
      <c r="GT61" s="272"/>
      <c r="GU61" s="272"/>
      <c r="GV61" s="272"/>
      <c r="GW61" s="272"/>
      <c r="GX61" s="272"/>
      <c r="GY61" s="272"/>
      <c r="GZ61" s="272"/>
      <c r="HA61" s="272"/>
      <c r="HB61" s="272"/>
      <c r="HC61" s="272"/>
      <c r="HD61" s="272"/>
      <c r="HE61" s="272"/>
      <c r="HF61" s="272"/>
      <c r="HG61" s="272"/>
      <c r="HH61" s="272"/>
      <c r="HI61" s="272"/>
      <c r="HJ61" s="272"/>
      <c r="HK61" s="272"/>
      <c r="HL61" s="272"/>
      <c r="HM61" s="272"/>
      <c r="HN61" s="272"/>
      <c r="HO61" s="272"/>
      <c r="HP61" s="272"/>
      <c r="HQ61" s="272"/>
      <c r="HR61" s="272"/>
      <c r="HS61" s="272"/>
      <c r="HT61" s="272"/>
      <c r="HU61" s="272"/>
      <c r="HV61" s="272"/>
      <c r="HW61" s="272"/>
      <c r="HX61" s="272"/>
      <c r="HY61" s="272"/>
      <c r="HZ61" s="272"/>
      <c r="IA61" s="272"/>
      <c r="IB61" s="272"/>
      <c r="IC61" s="272"/>
      <c r="ID61" s="272"/>
      <c r="IE61" s="272"/>
      <c r="IF61" s="272"/>
      <c r="IG61" s="272"/>
      <c r="IH61" s="272"/>
      <c r="II61" s="272"/>
      <c r="IJ61" s="272"/>
      <c r="IK61" s="272"/>
      <c r="IL61" s="272"/>
      <c r="IM61" s="272"/>
      <c r="IN61" s="272"/>
      <c r="IO61" s="272"/>
      <c r="IP61" s="272"/>
      <c r="IQ61" s="272"/>
      <c r="IR61" s="272"/>
      <c r="IS61" s="272"/>
      <c r="IT61" s="272"/>
      <c r="IU61" s="272"/>
      <c r="IV61" s="272"/>
      <c r="IW61" s="272"/>
      <c r="IX61" s="272"/>
      <c r="IY61" s="272"/>
      <c r="IZ61" s="272"/>
      <c r="JA61" s="272"/>
      <c r="JB61" s="272"/>
      <c r="JC61" s="272"/>
      <c r="JD61" s="272"/>
      <c r="JE61" s="272"/>
      <c r="JF61" s="272"/>
      <c r="JG61" s="272"/>
      <c r="JH61" s="272"/>
      <c r="JI61" s="272"/>
      <c r="JJ61" s="272"/>
      <c r="JK61" s="272"/>
      <c r="JL61" s="272"/>
      <c r="JM61" s="272"/>
      <c r="JN61" s="272"/>
      <c r="JO61" s="272"/>
      <c r="JP61" s="272"/>
      <c r="JQ61" s="272"/>
      <c r="JR61" s="272"/>
      <c r="JS61" s="272"/>
      <c r="JT61" s="272"/>
      <c r="JU61" s="272"/>
      <c r="JV61" s="272"/>
      <c r="JW61" s="272"/>
      <c r="JX61" s="272"/>
      <c r="JY61" s="272"/>
      <c r="JZ61" s="272"/>
      <c r="KA61" s="272"/>
      <c r="KB61" s="272"/>
      <c r="KC61" s="272"/>
      <c r="KD61" s="272"/>
      <c r="KE61" s="272"/>
      <c r="KF61" s="272"/>
      <c r="KG61" s="272"/>
      <c r="KH61" s="272"/>
      <c r="KI61" s="272"/>
      <c r="KJ61" s="272"/>
      <c r="KK61" s="272"/>
      <c r="KL61" s="272"/>
      <c r="KM61" s="272"/>
      <c r="KN61" s="272"/>
      <c r="KO61" s="272"/>
      <c r="KP61" s="272"/>
      <c r="KQ61" s="272"/>
      <c r="KR61" s="272"/>
      <c r="KS61" s="272"/>
      <c r="KT61" s="272"/>
      <c r="KU61" s="272"/>
      <c r="KV61" s="272"/>
      <c r="KW61" s="272"/>
      <c r="KX61" s="272"/>
      <c r="KY61" s="272"/>
      <c r="KZ61" s="272"/>
      <c r="LA61" s="272"/>
      <c r="LB61" s="272"/>
      <c r="LC61" s="272"/>
      <c r="LD61" s="272"/>
      <c r="LE61" s="272"/>
      <c r="LF61" s="272"/>
      <c r="LG61" s="272"/>
      <c r="LH61" s="272"/>
      <c r="LI61" s="272"/>
      <c r="LJ61" s="272"/>
      <c r="LK61" s="272"/>
      <c r="LL61" s="272"/>
      <c r="LM61" s="272"/>
      <c r="LN61" s="272"/>
      <c r="LO61" s="272"/>
      <c r="LP61" s="272"/>
      <c r="LQ61" s="272"/>
      <c r="LR61" s="272"/>
      <c r="LS61" s="272"/>
      <c r="LT61" s="272"/>
      <c r="LU61" s="272"/>
      <c r="LV61" s="272"/>
      <c r="LW61" s="272"/>
      <c r="LX61" s="272"/>
      <c r="LY61" s="272"/>
      <c r="LZ61" s="272"/>
      <c r="MA61" s="272"/>
      <c r="MB61" s="272"/>
      <c r="MC61" s="272"/>
      <c r="MD61" s="272"/>
      <c r="ME61" s="272"/>
      <c r="MF61" s="272"/>
      <c r="MG61" s="272"/>
      <c r="MH61" s="272"/>
      <c r="MI61" s="272"/>
      <c r="MJ61" s="272"/>
      <c r="MK61" s="272"/>
      <c r="ML61" s="272"/>
      <c r="MM61" s="272"/>
      <c r="MN61" s="272"/>
      <c r="MO61" s="272"/>
      <c r="MP61" s="272"/>
      <c r="MQ61" s="272"/>
      <c r="MR61" s="272"/>
      <c r="MS61" s="272"/>
      <c r="MT61" s="272"/>
      <c r="MU61" s="272"/>
      <c r="MV61" s="272"/>
      <c r="MW61" s="272"/>
      <c r="MX61" s="272"/>
      <c r="MY61" s="272"/>
      <c r="MZ61" s="272"/>
      <c r="NA61" s="272"/>
      <c r="NB61" s="272"/>
      <c r="NC61" s="272"/>
      <c r="ND61" s="272"/>
      <c r="NE61" s="272"/>
      <c r="NF61" s="272"/>
      <c r="NG61" s="272"/>
      <c r="NH61" s="272"/>
      <c r="NI61" s="272"/>
      <c r="NJ61" s="272"/>
      <c r="NK61" s="272"/>
      <c r="NL61" s="272"/>
      <c r="NM61" s="272"/>
      <c r="NN61" s="272"/>
      <c r="NO61" s="272"/>
      <c r="NP61" s="272"/>
      <c r="NQ61" s="272"/>
      <c r="NR61" s="272"/>
      <c r="NS61" s="272"/>
      <c r="NT61" s="272"/>
      <c r="NU61" s="272"/>
      <c r="NV61" s="272"/>
      <c r="NW61" s="272"/>
      <c r="NX61" s="272"/>
      <c r="NY61" s="272"/>
      <c r="NZ61" s="272"/>
      <c r="OA61" s="272"/>
      <c r="OB61" s="272"/>
      <c r="OC61" s="272"/>
      <c r="OD61" s="272"/>
      <c r="OE61" s="272"/>
      <c r="OF61" s="272"/>
      <c r="OG61" s="272"/>
      <c r="OH61" s="272"/>
      <c r="OI61" s="272"/>
      <c r="OJ61" s="272"/>
      <c r="OK61" s="272"/>
      <c r="OL61" s="272"/>
      <c r="OM61" s="272"/>
      <c r="ON61" s="272"/>
      <c r="OO61" s="272"/>
      <c r="OP61" s="272"/>
      <c r="OQ61" s="272"/>
      <c r="OR61" s="272"/>
      <c r="OS61" s="272"/>
      <c r="OT61" s="272"/>
      <c r="OU61" s="272"/>
      <c r="OV61" s="272"/>
      <c r="OW61" s="272"/>
      <c r="OX61" s="272"/>
      <c r="OY61" s="272"/>
      <c r="OZ61" s="272"/>
      <c r="PA61" s="272"/>
      <c r="PB61" s="272"/>
      <c r="PC61" s="272"/>
      <c r="PD61" s="272"/>
      <c r="PE61" s="272"/>
      <c r="PF61" s="272"/>
      <c r="PG61" s="272"/>
      <c r="PH61" s="272"/>
      <c r="PI61" s="272"/>
      <c r="PJ61" s="272"/>
      <c r="PK61" s="272"/>
      <c r="PL61" s="272"/>
      <c r="PM61" s="272"/>
      <c r="PN61" s="272"/>
      <c r="PO61" s="272"/>
      <c r="PP61" s="272"/>
      <c r="PQ61" s="272"/>
      <c r="PR61" s="272"/>
      <c r="PS61" s="272"/>
      <c r="PT61" s="272"/>
      <c r="PU61" s="272"/>
      <c r="PV61" s="272"/>
      <c r="PW61" s="272"/>
      <c r="PX61" s="272"/>
      <c r="PY61" s="272"/>
      <c r="PZ61" s="272"/>
      <c r="QA61" s="272"/>
      <c r="QB61" s="272"/>
      <c r="QC61" s="272"/>
      <c r="QD61" s="272"/>
      <c r="QE61" s="272"/>
      <c r="QF61" s="272"/>
      <c r="QG61" s="272"/>
      <c r="QH61" s="272"/>
      <c r="QI61" s="272"/>
      <c r="QJ61" s="272"/>
      <c r="QK61" s="272"/>
      <c r="QL61" s="272"/>
      <c r="QM61" s="272"/>
      <c r="QN61" s="272"/>
      <c r="QO61" s="272"/>
      <c r="QP61" s="272"/>
      <c r="QQ61" s="272"/>
      <c r="QR61" s="272"/>
      <c r="QS61" s="272"/>
      <c r="QT61" s="272"/>
      <c r="QU61" s="272"/>
      <c r="QV61" s="272"/>
      <c r="QW61" s="272"/>
      <c r="QX61" s="272"/>
      <c r="QY61" s="272"/>
      <c r="QZ61" s="272"/>
      <c r="RA61" s="272"/>
      <c r="RB61" s="272"/>
      <c r="RC61" s="272"/>
      <c r="RD61" s="272"/>
      <c r="RE61" s="272"/>
      <c r="RF61" s="272"/>
      <c r="RG61" s="272"/>
      <c r="RH61" s="272"/>
      <c r="RI61" s="272"/>
      <c r="RJ61" s="272"/>
      <c r="RK61" s="272"/>
      <c r="RL61" s="272"/>
      <c r="RM61" s="272"/>
      <c r="RN61" s="272"/>
      <c r="RO61" s="272"/>
      <c r="RP61" s="272"/>
      <c r="RQ61" s="272"/>
      <c r="RR61" s="272"/>
      <c r="RS61" s="272"/>
      <c r="RT61" s="272"/>
      <c r="RU61" s="272"/>
      <c r="RV61" s="272"/>
      <c r="RW61" s="272"/>
      <c r="RX61" s="272"/>
      <c r="RY61" s="272"/>
      <c r="RZ61" s="272"/>
      <c r="SA61" s="272"/>
      <c r="SB61" s="272"/>
      <c r="SC61" s="272"/>
      <c r="SD61" s="272"/>
      <c r="SE61" s="272"/>
      <c r="SF61" s="272"/>
      <c r="SG61" s="272"/>
      <c r="SH61" s="272"/>
      <c r="SI61" s="272"/>
      <c r="SJ61" s="272"/>
      <c r="SK61" s="272"/>
      <c r="SL61" s="272"/>
      <c r="SM61" s="272"/>
      <c r="SN61" s="272"/>
      <c r="SO61" s="272"/>
      <c r="SP61" s="272"/>
      <c r="SQ61" s="272"/>
      <c r="SR61" s="272"/>
      <c r="SS61" s="272"/>
      <c r="ST61" s="272"/>
      <c r="SU61" s="272"/>
      <c r="SV61" s="272"/>
      <c r="SW61" s="272"/>
      <c r="SX61" s="272"/>
      <c r="SY61" s="272"/>
      <c r="SZ61" s="272"/>
      <c r="TA61" s="272"/>
      <c r="TB61" s="272"/>
      <c r="TC61" s="272"/>
      <c r="TD61" s="272"/>
      <c r="TE61" s="272"/>
      <c r="TF61" s="272"/>
      <c r="TG61" s="272"/>
      <c r="TH61" s="272"/>
      <c r="TI61" s="272"/>
      <c r="TJ61" s="272"/>
      <c r="TK61" s="272"/>
      <c r="TL61" s="272"/>
      <c r="TM61" s="272"/>
      <c r="TN61" s="272"/>
      <c r="TO61" s="272"/>
      <c r="TP61" s="272"/>
      <c r="TQ61" s="272"/>
      <c r="TR61" s="272"/>
      <c r="TS61" s="272"/>
      <c r="TT61" s="272"/>
      <c r="TU61" s="272"/>
      <c r="TV61" s="272"/>
      <c r="TW61" s="272"/>
      <c r="TX61" s="272"/>
      <c r="TY61" s="272"/>
      <c r="TZ61" s="272"/>
      <c r="UA61" s="272"/>
      <c r="UB61" s="272"/>
      <c r="UC61" s="272"/>
      <c r="UD61" s="272"/>
      <c r="UE61" s="272"/>
      <c r="UF61" s="272"/>
      <c r="UG61" s="272"/>
      <c r="UH61" s="272"/>
      <c r="UI61" s="272"/>
      <c r="UJ61" s="272"/>
      <c r="UK61" s="272"/>
      <c r="UL61" s="272"/>
      <c r="UM61" s="272"/>
      <c r="UN61" s="272"/>
      <c r="UO61" s="272"/>
      <c r="UP61" s="272"/>
      <c r="UQ61" s="272"/>
      <c r="UR61" s="272"/>
      <c r="US61" s="272"/>
      <c r="UT61" s="272"/>
      <c r="UU61" s="272"/>
      <c r="UV61" s="272"/>
      <c r="UW61" s="272"/>
      <c r="UX61" s="272"/>
      <c r="UY61" s="272"/>
      <c r="UZ61" s="272"/>
      <c r="VA61" s="272"/>
      <c r="VB61" s="272"/>
      <c r="VC61" s="272"/>
      <c r="VD61" s="272"/>
      <c r="VE61" s="272"/>
      <c r="VF61" s="272"/>
      <c r="VG61" s="272"/>
      <c r="VH61" s="272"/>
      <c r="VI61" s="272"/>
      <c r="VJ61" s="272"/>
      <c r="VK61" s="272"/>
      <c r="VL61" s="272"/>
      <c r="VM61" s="272"/>
      <c r="VN61" s="272"/>
      <c r="VO61" s="272"/>
      <c r="VP61" s="272"/>
      <c r="VQ61" s="272"/>
      <c r="VR61" s="272"/>
      <c r="VS61" s="272"/>
      <c r="VT61" s="272"/>
      <c r="VU61" s="272"/>
      <c r="VV61" s="272"/>
      <c r="VW61" s="272"/>
      <c r="VX61" s="272"/>
      <c r="VY61" s="272"/>
      <c r="VZ61" s="272"/>
      <c r="WA61" s="272"/>
      <c r="WB61" s="272"/>
      <c r="WC61" s="272"/>
      <c r="WD61" s="272"/>
      <c r="WE61" s="272"/>
      <c r="WF61" s="272"/>
      <c r="WG61" s="272"/>
      <c r="WH61" s="272"/>
      <c r="WI61" s="272"/>
      <c r="WJ61" s="272"/>
      <c r="WK61" s="272"/>
      <c r="WL61" s="272"/>
      <c r="WM61" s="272"/>
      <c r="WN61" s="272"/>
      <c r="WO61" s="272"/>
      <c r="WP61" s="272"/>
      <c r="WQ61" s="272"/>
      <c r="WR61" s="272"/>
      <c r="WS61" s="272"/>
      <c r="WT61" s="272"/>
      <c r="WU61" s="272"/>
      <c r="WV61" s="272"/>
      <c r="WW61" s="272"/>
      <c r="WX61" s="272"/>
      <c r="WY61" s="272"/>
      <c r="WZ61" s="272"/>
      <c r="XA61" s="272"/>
      <c r="XB61" s="272"/>
      <c r="XC61" s="272"/>
      <c r="XD61" s="272"/>
      <c r="XE61" s="272"/>
      <c r="XF61" s="272"/>
      <c r="XG61" s="272"/>
      <c r="XH61" s="272"/>
      <c r="XI61" s="272"/>
      <c r="XJ61" s="272"/>
      <c r="XK61" s="272"/>
      <c r="XL61" s="272"/>
      <c r="XM61" s="272"/>
      <c r="XN61" s="272"/>
      <c r="XO61" s="272"/>
      <c r="XP61" s="272"/>
      <c r="XQ61" s="272"/>
      <c r="XR61" s="272"/>
      <c r="XS61" s="272"/>
      <c r="XT61" s="272"/>
      <c r="XU61" s="272"/>
      <c r="XV61" s="272"/>
      <c r="XW61" s="272"/>
      <c r="XX61" s="272"/>
      <c r="XY61" s="272"/>
      <c r="XZ61" s="272"/>
      <c r="YA61" s="272"/>
      <c r="YB61" s="272"/>
      <c r="YC61" s="272"/>
      <c r="YD61" s="272"/>
      <c r="YE61" s="272"/>
      <c r="YF61" s="272"/>
      <c r="YG61" s="272"/>
      <c r="YH61" s="272"/>
      <c r="YI61" s="272"/>
      <c r="YJ61" s="272"/>
      <c r="YK61" s="272"/>
      <c r="YL61" s="272"/>
      <c r="YM61" s="272"/>
      <c r="YN61" s="272"/>
      <c r="YO61" s="272"/>
      <c r="YP61" s="272"/>
      <c r="YQ61" s="272"/>
      <c r="YR61" s="272"/>
      <c r="YS61" s="272"/>
      <c r="YT61" s="272"/>
      <c r="YU61" s="272"/>
      <c r="YV61" s="272"/>
      <c r="YW61" s="272"/>
      <c r="YX61" s="272"/>
      <c r="YY61" s="272"/>
      <c r="YZ61" s="272"/>
      <c r="ZA61" s="272"/>
      <c r="ZB61" s="272"/>
      <c r="ZC61" s="272"/>
      <c r="ZD61" s="272"/>
      <c r="ZE61" s="272"/>
      <c r="ZF61" s="272"/>
      <c r="ZG61" s="272"/>
      <c r="ZH61" s="272"/>
      <c r="ZI61" s="272"/>
      <c r="ZJ61" s="272"/>
      <c r="ZK61" s="272"/>
      <c r="ZL61" s="272"/>
      <c r="ZM61" s="272"/>
      <c r="ZN61" s="272"/>
      <c r="ZO61" s="272"/>
      <c r="ZP61" s="272"/>
      <c r="ZQ61" s="272"/>
      <c r="ZR61" s="272"/>
      <c r="ZS61" s="272"/>
      <c r="ZT61" s="272"/>
    </row>
    <row r="62" spans="1:696" s="19" customFormat="1" ht="15">
      <c r="A62" s="47"/>
      <c r="B62" s="74"/>
      <c r="C62" s="20" t="s">
        <v>53</v>
      </c>
      <c r="D62" s="539"/>
      <c r="E62" s="540"/>
      <c r="F62" s="541"/>
      <c r="G62" s="542"/>
      <c r="H62" s="54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2"/>
      <c r="EB62" s="272"/>
      <c r="EC62" s="272"/>
      <c r="ED62" s="272"/>
      <c r="EE62" s="272"/>
      <c r="EF62" s="272"/>
      <c r="EG62" s="272"/>
      <c r="EH62" s="272"/>
      <c r="EI62" s="272"/>
      <c r="EJ62" s="272"/>
      <c r="EK62" s="272"/>
      <c r="EL62" s="272"/>
      <c r="EM62" s="272"/>
      <c r="EN62" s="272"/>
      <c r="EO62" s="272"/>
      <c r="EP62" s="272"/>
      <c r="EQ62" s="272"/>
      <c r="ER62" s="272"/>
      <c r="ES62" s="272"/>
      <c r="ET62" s="272"/>
      <c r="EU62" s="272"/>
      <c r="EV62" s="272"/>
      <c r="EW62" s="272"/>
      <c r="EX62" s="272"/>
      <c r="EY62" s="272"/>
      <c r="EZ62" s="272"/>
      <c r="FA62" s="272"/>
      <c r="FB62" s="272"/>
      <c r="FC62" s="272"/>
      <c r="FD62" s="272"/>
      <c r="FE62" s="272"/>
      <c r="FF62" s="272"/>
      <c r="FG62" s="272"/>
      <c r="FH62" s="272"/>
      <c r="FI62" s="272"/>
      <c r="FJ62" s="272"/>
      <c r="FK62" s="272"/>
      <c r="FL62" s="272"/>
      <c r="FM62" s="272"/>
      <c r="FN62" s="272"/>
      <c r="FO62" s="272"/>
      <c r="FP62" s="272"/>
      <c r="FQ62" s="272"/>
      <c r="FR62" s="272"/>
      <c r="FS62" s="272"/>
      <c r="FT62" s="272"/>
      <c r="FU62" s="272"/>
      <c r="FV62" s="272"/>
      <c r="FW62" s="272"/>
      <c r="FX62" s="272"/>
      <c r="FY62" s="272"/>
      <c r="FZ62" s="272"/>
      <c r="GA62" s="272"/>
      <c r="GB62" s="272"/>
      <c r="GC62" s="272"/>
      <c r="GD62" s="272"/>
      <c r="GE62" s="272"/>
      <c r="GF62" s="272"/>
      <c r="GG62" s="272"/>
      <c r="GH62" s="272"/>
      <c r="GI62" s="272"/>
      <c r="GJ62" s="272"/>
      <c r="GK62" s="272"/>
      <c r="GL62" s="272"/>
      <c r="GM62" s="272"/>
      <c r="GN62" s="272"/>
      <c r="GO62" s="272"/>
      <c r="GP62" s="272"/>
      <c r="GQ62" s="272"/>
      <c r="GR62" s="272"/>
      <c r="GS62" s="272"/>
      <c r="GT62" s="272"/>
      <c r="GU62" s="272"/>
      <c r="GV62" s="272"/>
      <c r="GW62" s="272"/>
      <c r="GX62" s="272"/>
      <c r="GY62" s="272"/>
      <c r="GZ62" s="272"/>
      <c r="HA62" s="272"/>
      <c r="HB62" s="272"/>
      <c r="HC62" s="272"/>
      <c r="HD62" s="272"/>
      <c r="HE62" s="272"/>
      <c r="HF62" s="272"/>
      <c r="HG62" s="272"/>
      <c r="HH62" s="272"/>
      <c r="HI62" s="272"/>
      <c r="HJ62" s="272"/>
      <c r="HK62" s="272"/>
      <c r="HL62" s="272"/>
      <c r="HM62" s="272"/>
      <c r="HN62" s="272"/>
      <c r="HO62" s="272"/>
      <c r="HP62" s="272"/>
      <c r="HQ62" s="272"/>
      <c r="HR62" s="272"/>
      <c r="HS62" s="272"/>
      <c r="HT62" s="272"/>
      <c r="HU62" s="272"/>
      <c r="HV62" s="272"/>
      <c r="HW62" s="272"/>
      <c r="HX62" s="272"/>
      <c r="HY62" s="272"/>
      <c r="HZ62" s="272"/>
      <c r="IA62" s="272"/>
      <c r="IB62" s="272"/>
      <c r="IC62" s="272"/>
      <c r="ID62" s="272"/>
      <c r="IE62" s="272"/>
      <c r="IF62" s="272"/>
      <c r="IG62" s="272"/>
      <c r="IH62" s="272"/>
      <c r="II62" s="272"/>
      <c r="IJ62" s="272"/>
      <c r="IK62" s="272"/>
      <c r="IL62" s="272"/>
      <c r="IM62" s="272"/>
      <c r="IN62" s="272"/>
      <c r="IO62" s="272"/>
      <c r="IP62" s="272"/>
      <c r="IQ62" s="272"/>
      <c r="IR62" s="272"/>
      <c r="IS62" s="272"/>
      <c r="IT62" s="272"/>
      <c r="IU62" s="272"/>
      <c r="IV62" s="272"/>
      <c r="IW62" s="272"/>
      <c r="IX62" s="272"/>
      <c r="IY62" s="272"/>
      <c r="IZ62" s="272"/>
      <c r="JA62" s="272"/>
      <c r="JB62" s="272"/>
      <c r="JC62" s="272"/>
      <c r="JD62" s="272"/>
      <c r="JE62" s="272"/>
      <c r="JF62" s="272"/>
      <c r="JG62" s="272"/>
      <c r="JH62" s="272"/>
      <c r="JI62" s="272"/>
      <c r="JJ62" s="272"/>
      <c r="JK62" s="272"/>
      <c r="JL62" s="272"/>
      <c r="JM62" s="272"/>
      <c r="JN62" s="272"/>
      <c r="JO62" s="272"/>
      <c r="JP62" s="272"/>
      <c r="JQ62" s="272"/>
      <c r="JR62" s="272"/>
      <c r="JS62" s="272"/>
      <c r="JT62" s="272"/>
      <c r="JU62" s="272"/>
      <c r="JV62" s="272"/>
      <c r="JW62" s="272"/>
      <c r="JX62" s="272"/>
      <c r="JY62" s="272"/>
      <c r="JZ62" s="272"/>
      <c r="KA62" s="272"/>
      <c r="KB62" s="272"/>
      <c r="KC62" s="272"/>
      <c r="KD62" s="272"/>
      <c r="KE62" s="272"/>
      <c r="KF62" s="272"/>
      <c r="KG62" s="272"/>
      <c r="KH62" s="272"/>
      <c r="KI62" s="272"/>
      <c r="KJ62" s="272"/>
      <c r="KK62" s="272"/>
      <c r="KL62" s="272"/>
      <c r="KM62" s="272"/>
      <c r="KN62" s="272"/>
      <c r="KO62" s="272"/>
      <c r="KP62" s="272"/>
      <c r="KQ62" s="272"/>
      <c r="KR62" s="272"/>
      <c r="KS62" s="272"/>
      <c r="KT62" s="272"/>
      <c r="KU62" s="272"/>
      <c r="KV62" s="272"/>
      <c r="KW62" s="272"/>
      <c r="KX62" s="272"/>
      <c r="KY62" s="272"/>
      <c r="KZ62" s="272"/>
      <c r="LA62" s="272"/>
      <c r="LB62" s="272"/>
      <c r="LC62" s="272"/>
      <c r="LD62" s="272"/>
      <c r="LE62" s="272"/>
      <c r="LF62" s="272"/>
      <c r="LG62" s="272"/>
      <c r="LH62" s="272"/>
      <c r="LI62" s="272"/>
      <c r="LJ62" s="272"/>
      <c r="LK62" s="272"/>
      <c r="LL62" s="272"/>
      <c r="LM62" s="272"/>
      <c r="LN62" s="272"/>
      <c r="LO62" s="272"/>
      <c r="LP62" s="272"/>
      <c r="LQ62" s="272"/>
      <c r="LR62" s="272"/>
      <c r="LS62" s="272"/>
      <c r="LT62" s="272"/>
      <c r="LU62" s="272"/>
      <c r="LV62" s="272"/>
      <c r="LW62" s="272"/>
      <c r="LX62" s="272"/>
      <c r="LY62" s="272"/>
      <c r="LZ62" s="272"/>
      <c r="MA62" s="272"/>
      <c r="MB62" s="272"/>
      <c r="MC62" s="272"/>
      <c r="MD62" s="272"/>
      <c r="ME62" s="272"/>
      <c r="MF62" s="272"/>
      <c r="MG62" s="272"/>
      <c r="MH62" s="272"/>
      <c r="MI62" s="272"/>
      <c r="MJ62" s="272"/>
      <c r="MK62" s="272"/>
      <c r="ML62" s="272"/>
      <c r="MM62" s="272"/>
      <c r="MN62" s="272"/>
      <c r="MO62" s="272"/>
      <c r="MP62" s="272"/>
      <c r="MQ62" s="272"/>
      <c r="MR62" s="272"/>
      <c r="MS62" s="272"/>
      <c r="MT62" s="272"/>
      <c r="MU62" s="272"/>
      <c r="MV62" s="272"/>
      <c r="MW62" s="272"/>
      <c r="MX62" s="272"/>
      <c r="MY62" s="272"/>
      <c r="MZ62" s="272"/>
      <c r="NA62" s="272"/>
      <c r="NB62" s="272"/>
      <c r="NC62" s="272"/>
      <c r="ND62" s="272"/>
      <c r="NE62" s="272"/>
      <c r="NF62" s="272"/>
      <c r="NG62" s="272"/>
      <c r="NH62" s="272"/>
      <c r="NI62" s="272"/>
      <c r="NJ62" s="272"/>
      <c r="NK62" s="272"/>
      <c r="NL62" s="272"/>
      <c r="NM62" s="272"/>
      <c r="NN62" s="272"/>
      <c r="NO62" s="272"/>
      <c r="NP62" s="272"/>
      <c r="NQ62" s="272"/>
      <c r="NR62" s="272"/>
      <c r="NS62" s="272"/>
      <c r="NT62" s="272"/>
      <c r="NU62" s="272"/>
      <c r="NV62" s="272"/>
      <c r="NW62" s="272"/>
      <c r="NX62" s="272"/>
      <c r="NY62" s="272"/>
      <c r="NZ62" s="272"/>
      <c r="OA62" s="272"/>
      <c r="OB62" s="272"/>
      <c r="OC62" s="272"/>
      <c r="OD62" s="272"/>
      <c r="OE62" s="272"/>
      <c r="OF62" s="272"/>
      <c r="OG62" s="272"/>
      <c r="OH62" s="272"/>
      <c r="OI62" s="272"/>
      <c r="OJ62" s="272"/>
      <c r="OK62" s="272"/>
      <c r="OL62" s="272"/>
      <c r="OM62" s="272"/>
      <c r="ON62" s="272"/>
      <c r="OO62" s="272"/>
      <c r="OP62" s="272"/>
      <c r="OQ62" s="272"/>
      <c r="OR62" s="272"/>
      <c r="OS62" s="272"/>
      <c r="OT62" s="272"/>
      <c r="OU62" s="272"/>
      <c r="OV62" s="272"/>
      <c r="OW62" s="272"/>
      <c r="OX62" s="272"/>
      <c r="OY62" s="272"/>
      <c r="OZ62" s="272"/>
      <c r="PA62" s="272"/>
      <c r="PB62" s="272"/>
      <c r="PC62" s="272"/>
      <c r="PD62" s="272"/>
      <c r="PE62" s="272"/>
      <c r="PF62" s="272"/>
      <c r="PG62" s="272"/>
      <c r="PH62" s="272"/>
      <c r="PI62" s="272"/>
      <c r="PJ62" s="272"/>
      <c r="PK62" s="272"/>
      <c r="PL62" s="272"/>
      <c r="PM62" s="272"/>
      <c r="PN62" s="272"/>
      <c r="PO62" s="272"/>
      <c r="PP62" s="272"/>
      <c r="PQ62" s="272"/>
      <c r="PR62" s="272"/>
      <c r="PS62" s="272"/>
      <c r="PT62" s="272"/>
      <c r="PU62" s="272"/>
      <c r="PV62" s="272"/>
      <c r="PW62" s="272"/>
      <c r="PX62" s="272"/>
      <c r="PY62" s="272"/>
      <c r="PZ62" s="272"/>
      <c r="QA62" s="272"/>
      <c r="QB62" s="272"/>
      <c r="QC62" s="272"/>
      <c r="QD62" s="272"/>
      <c r="QE62" s="272"/>
      <c r="QF62" s="272"/>
      <c r="QG62" s="272"/>
      <c r="QH62" s="272"/>
      <c r="QI62" s="272"/>
      <c r="QJ62" s="272"/>
      <c r="QK62" s="272"/>
      <c r="QL62" s="272"/>
      <c r="QM62" s="272"/>
      <c r="QN62" s="272"/>
      <c r="QO62" s="272"/>
      <c r="QP62" s="272"/>
      <c r="QQ62" s="272"/>
      <c r="QR62" s="272"/>
      <c r="QS62" s="272"/>
      <c r="QT62" s="272"/>
      <c r="QU62" s="272"/>
      <c r="QV62" s="272"/>
      <c r="QW62" s="272"/>
      <c r="QX62" s="272"/>
      <c r="QY62" s="272"/>
      <c r="QZ62" s="272"/>
      <c r="RA62" s="272"/>
      <c r="RB62" s="272"/>
      <c r="RC62" s="272"/>
      <c r="RD62" s="272"/>
      <c r="RE62" s="272"/>
      <c r="RF62" s="272"/>
      <c r="RG62" s="272"/>
      <c r="RH62" s="272"/>
      <c r="RI62" s="272"/>
      <c r="RJ62" s="272"/>
      <c r="RK62" s="272"/>
      <c r="RL62" s="272"/>
      <c r="RM62" s="272"/>
      <c r="RN62" s="272"/>
      <c r="RO62" s="272"/>
      <c r="RP62" s="272"/>
      <c r="RQ62" s="272"/>
      <c r="RR62" s="272"/>
      <c r="RS62" s="272"/>
      <c r="RT62" s="272"/>
      <c r="RU62" s="272"/>
      <c r="RV62" s="272"/>
      <c r="RW62" s="272"/>
      <c r="RX62" s="272"/>
      <c r="RY62" s="272"/>
      <c r="RZ62" s="272"/>
      <c r="SA62" s="272"/>
      <c r="SB62" s="272"/>
      <c r="SC62" s="272"/>
      <c r="SD62" s="272"/>
      <c r="SE62" s="272"/>
      <c r="SF62" s="272"/>
      <c r="SG62" s="272"/>
      <c r="SH62" s="272"/>
      <c r="SI62" s="272"/>
      <c r="SJ62" s="272"/>
      <c r="SK62" s="272"/>
      <c r="SL62" s="272"/>
      <c r="SM62" s="272"/>
      <c r="SN62" s="272"/>
      <c r="SO62" s="272"/>
      <c r="SP62" s="272"/>
      <c r="SQ62" s="272"/>
      <c r="SR62" s="272"/>
      <c r="SS62" s="272"/>
      <c r="ST62" s="272"/>
      <c r="SU62" s="272"/>
      <c r="SV62" s="272"/>
      <c r="SW62" s="272"/>
      <c r="SX62" s="272"/>
      <c r="SY62" s="272"/>
      <c r="SZ62" s="272"/>
      <c r="TA62" s="272"/>
      <c r="TB62" s="272"/>
      <c r="TC62" s="272"/>
      <c r="TD62" s="272"/>
      <c r="TE62" s="272"/>
      <c r="TF62" s="272"/>
      <c r="TG62" s="272"/>
      <c r="TH62" s="272"/>
      <c r="TI62" s="272"/>
      <c r="TJ62" s="272"/>
      <c r="TK62" s="272"/>
      <c r="TL62" s="272"/>
      <c r="TM62" s="272"/>
      <c r="TN62" s="272"/>
      <c r="TO62" s="272"/>
      <c r="TP62" s="272"/>
      <c r="TQ62" s="272"/>
      <c r="TR62" s="272"/>
      <c r="TS62" s="272"/>
      <c r="TT62" s="272"/>
      <c r="TU62" s="272"/>
      <c r="TV62" s="272"/>
      <c r="TW62" s="272"/>
      <c r="TX62" s="272"/>
      <c r="TY62" s="272"/>
      <c r="TZ62" s="272"/>
      <c r="UA62" s="272"/>
      <c r="UB62" s="272"/>
      <c r="UC62" s="272"/>
      <c r="UD62" s="272"/>
      <c r="UE62" s="272"/>
      <c r="UF62" s="272"/>
      <c r="UG62" s="272"/>
      <c r="UH62" s="272"/>
      <c r="UI62" s="272"/>
      <c r="UJ62" s="272"/>
      <c r="UK62" s="272"/>
      <c r="UL62" s="272"/>
      <c r="UM62" s="272"/>
      <c r="UN62" s="272"/>
      <c r="UO62" s="272"/>
      <c r="UP62" s="272"/>
      <c r="UQ62" s="272"/>
      <c r="UR62" s="272"/>
      <c r="US62" s="272"/>
      <c r="UT62" s="272"/>
      <c r="UU62" s="272"/>
      <c r="UV62" s="272"/>
      <c r="UW62" s="272"/>
      <c r="UX62" s="272"/>
      <c r="UY62" s="272"/>
      <c r="UZ62" s="272"/>
      <c r="VA62" s="272"/>
      <c r="VB62" s="272"/>
      <c r="VC62" s="272"/>
      <c r="VD62" s="272"/>
      <c r="VE62" s="272"/>
      <c r="VF62" s="272"/>
      <c r="VG62" s="272"/>
      <c r="VH62" s="272"/>
      <c r="VI62" s="272"/>
      <c r="VJ62" s="272"/>
      <c r="VK62" s="272"/>
      <c r="VL62" s="272"/>
      <c r="VM62" s="272"/>
      <c r="VN62" s="272"/>
      <c r="VO62" s="272"/>
      <c r="VP62" s="272"/>
      <c r="VQ62" s="272"/>
      <c r="VR62" s="272"/>
      <c r="VS62" s="272"/>
      <c r="VT62" s="272"/>
      <c r="VU62" s="272"/>
      <c r="VV62" s="272"/>
      <c r="VW62" s="272"/>
      <c r="VX62" s="272"/>
      <c r="VY62" s="272"/>
      <c r="VZ62" s="272"/>
      <c r="WA62" s="272"/>
      <c r="WB62" s="272"/>
      <c r="WC62" s="272"/>
      <c r="WD62" s="272"/>
      <c r="WE62" s="272"/>
      <c r="WF62" s="272"/>
      <c r="WG62" s="272"/>
      <c r="WH62" s="272"/>
      <c r="WI62" s="272"/>
      <c r="WJ62" s="272"/>
      <c r="WK62" s="272"/>
      <c r="WL62" s="272"/>
      <c r="WM62" s="272"/>
      <c r="WN62" s="272"/>
      <c r="WO62" s="272"/>
      <c r="WP62" s="272"/>
      <c r="WQ62" s="272"/>
      <c r="WR62" s="272"/>
      <c r="WS62" s="272"/>
      <c r="WT62" s="272"/>
      <c r="WU62" s="272"/>
      <c r="WV62" s="272"/>
      <c r="WW62" s="272"/>
      <c r="WX62" s="272"/>
      <c r="WY62" s="272"/>
      <c r="WZ62" s="272"/>
      <c r="XA62" s="272"/>
      <c r="XB62" s="272"/>
      <c r="XC62" s="272"/>
      <c r="XD62" s="272"/>
      <c r="XE62" s="272"/>
      <c r="XF62" s="272"/>
      <c r="XG62" s="272"/>
      <c r="XH62" s="272"/>
      <c r="XI62" s="272"/>
      <c r="XJ62" s="272"/>
      <c r="XK62" s="272"/>
      <c r="XL62" s="272"/>
      <c r="XM62" s="272"/>
      <c r="XN62" s="272"/>
      <c r="XO62" s="272"/>
      <c r="XP62" s="272"/>
      <c r="XQ62" s="272"/>
      <c r="XR62" s="272"/>
      <c r="XS62" s="272"/>
      <c r="XT62" s="272"/>
      <c r="XU62" s="272"/>
      <c r="XV62" s="272"/>
      <c r="XW62" s="272"/>
      <c r="XX62" s="272"/>
      <c r="XY62" s="272"/>
      <c r="XZ62" s="272"/>
      <c r="YA62" s="272"/>
      <c r="YB62" s="272"/>
      <c r="YC62" s="272"/>
      <c r="YD62" s="272"/>
      <c r="YE62" s="272"/>
      <c r="YF62" s="272"/>
      <c r="YG62" s="272"/>
      <c r="YH62" s="272"/>
      <c r="YI62" s="272"/>
      <c r="YJ62" s="272"/>
      <c r="YK62" s="272"/>
      <c r="YL62" s="272"/>
      <c r="YM62" s="272"/>
      <c r="YN62" s="272"/>
      <c r="YO62" s="272"/>
      <c r="YP62" s="272"/>
      <c r="YQ62" s="272"/>
      <c r="YR62" s="272"/>
      <c r="YS62" s="272"/>
      <c r="YT62" s="272"/>
      <c r="YU62" s="272"/>
      <c r="YV62" s="272"/>
      <c r="YW62" s="272"/>
      <c r="YX62" s="272"/>
      <c r="YY62" s="272"/>
      <c r="YZ62" s="272"/>
      <c r="ZA62" s="272"/>
      <c r="ZB62" s="272"/>
      <c r="ZC62" s="272"/>
      <c r="ZD62" s="272"/>
      <c r="ZE62" s="272"/>
      <c r="ZF62" s="272"/>
      <c r="ZG62" s="272"/>
      <c r="ZH62" s="272"/>
      <c r="ZI62" s="272"/>
      <c r="ZJ62" s="272"/>
      <c r="ZK62" s="272"/>
      <c r="ZL62" s="272"/>
      <c r="ZM62" s="272"/>
      <c r="ZN62" s="272"/>
      <c r="ZO62" s="272"/>
      <c r="ZP62" s="272"/>
      <c r="ZQ62" s="272"/>
      <c r="ZR62" s="272"/>
      <c r="ZS62" s="272"/>
      <c r="ZT62" s="272"/>
    </row>
    <row r="63" spans="1:696" s="62" customFormat="1" ht="13.5" thickBot="1">
      <c r="A63" s="48"/>
      <c r="B63" s="75"/>
      <c r="C63" s="58" t="s">
        <v>54</v>
      </c>
      <c r="D63" s="58"/>
      <c r="E63" s="60"/>
      <c r="F63" s="60"/>
      <c r="G63" s="264"/>
      <c r="H63" s="264"/>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c r="EI63" s="272"/>
      <c r="EJ63" s="272"/>
      <c r="EK63" s="272"/>
      <c r="EL63" s="272"/>
      <c r="EM63" s="272"/>
      <c r="EN63" s="272"/>
      <c r="EO63" s="272"/>
      <c r="EP63" s="272"/>
      <c r="EQ63" s="272"/>
      <c r="ER63" s="272"/>
      <c r="ES63" s="272"/>
      <c r="ET63" s="272"/>
      <c r="EU63" s="272"/>
      <c r="EV63" s="272"/>
      <c r="EW63" s="272"/>
      <c r="EX63" s="272"/>
      <c r="EY63" s="272"/>
      <c r="EZ63" s="272"/>
      <c r="FA63" s="272"/>
      <c r="FB63" s="272"/>
      <c r="FC63" s="272"/>
      <c r="FD63" s="272"/>
      <c r="FE63" s="272"/>
      <c r="FF63" s="272"/>
      <c r="FG63" s="272"/>
      <c r="FH63" s="272"/>
      <c r="FI63" s="272"/>
      <c r="FJ63" s="272"/>
      <c r="FK63" s="272"/>
      <c r="FL63" s="272"/>
      <c r="FM63" s="272"/>
      <c r="FN63" s="272"/>
      <c r="FO63" s="272"/>
      <c r="FP63" s="272"/>
      <c r="FQ63" s="272"/>
      <c r="FR63" s="272"/>
      <c r="FS63" s="272"/>
      <c r="FT63" s="272"/>
      <c r="FU63" s="272"/>
      <c r="FV63" s="272"/>
      <c r="FW63" s="272"/>
      <c r="FX63" s="272"/>
      <c r="FY63" s="272"/>
      <c r="FZ63" s="272"/>
      <c r="GA63" s="272"/>
      <c r="GB63" s="272"/>
      <c r="GC63" s="272"/>
      <c r="GD63" s="272"/>
      <c r="GE63" s="272"/>
      <c r="GF63" s="272"/>
      <c r="GG63" s="272"/>
      <c r="GH63" s="272"/>
      <c r="GI63" s="272"/>
      <c r="GJ63" s="272"/>
      <c r="GK63" s="272"/>
      <c r="GL63" s="272"/>
      <c r="GM63" s="272"/>
      <c r="GN63" s="272"/>
      <c r="GO63" s="272"/>
      <c r="GP63" s="272"/>
      <c r="GQ63" s="272"/>
      <c r="GR63" s="272"/>
      <c r="GS63" s="272"/>
      <c r="GT63" s="272"/>
      <c r="GU63" s="272"/>
      <c r="GV63" s="272"/>
      <c r="GW63" s="272"/>
      <c r="GX63" s="272"/>
      <c r="GY63" s="272"/>
      <c r="GZ63" s="272"/>
      <c r="HA63" s="272"/>
      <c r="HB63" s="272"/>
      <c r="HC63" s="272"/>
      <c r="HD63" s="272"/>
      <c r="HE63" s="272"/>
      <c r="HF63" s="272"/>
      <c r="HG63" s="272"/>
      <c r="HH63" s="272"/>
      <c r="HI63" s="272"/>
      <c r="HJ63" s="272"/>
      <c r="HK63" s="272"/>
      <c r="HL63" s="272"/>
      <c r="HM63" s="272"/>
      <c r="HN63" s="272"/>
      <c r="HO63" s="272"/>
      <c r="HP63" s="272"/>
      <c r="HQ63" s="272"/>
      <c r="HR63" s="272"/>
      <c r="HS63" s="272"/>
      <c r="HT63" s="272"/>
      <c r="HU63" s="272"/>
      <c r="HV63" s="272"/>
      <c r="HW63" s="272"/>
      <c r="HX63" s="272"/>
      <c r="HY63" s="272"/>
      <c r="HZ63" s="272"/>
      <c r="IA63" s="272"/>
      <c r="IB63" s="272"/>
      <c r="IC63" s="272"/>
      <c r="ID63" s="272"/>
      <c r="IE63" s="272"/>
      <c r="IF63" s="272"/>
      <c r="IG63" s="272"/>
      <c r="IH63" s="272"/>
      <c r="II63" s="272"/>
      <c r="IJ63" s="272"/>
      <c r="IK63" s="272"/>
      <c r="IL63" s="272"/>
      <c r="IM63" s="272"/>
      <c r="IN63" s="272"/>
      <c r="IO63" s="272"/>
      <c r="IP63" s="272"/>
      <c r="IQ63" s="272"/>
      <c r="IR63" s="272"/>
      <c r="IS63" s="272"/>
      <c r="IT63" s="272"/>
      <c r="IU63" s="272"/>
      <c r="IV63" s="272"/>
      <c r="IW63" s="272"/>
      <c r="IX63" s="272"/>
      <c r="IY63" s="272"/>
      <c r="IZ63" s="272"/>
      <c r="JA63" s="272"/>
      <c r="JB63" s="272"/>
      <c r="JC63" s="272"/>
      <c r="JD63" s="272"/>
      <c r="JE63" s="272"/>
      <c r="JF63" s="272"/>
      <c r="JG63" s="272"/>
      <c r="JH63" s="272"/>
      <c r="JI63" s="272"/>
      <c r="JJ63" s="272"/>
      <c r="JK63" s="272"/>
      <c r="JL63" s="272"/>
      <c r="JM63" s="272"/>
      <c r="JN63" s="272"/>
      <c r="JO63" s="272"/>
      <c r="JP63" s="272"/>
      <c r="JQ63" s="272"/>
      <c r="JR63" s="272"/>
      <c r="JS63" s="272"/>
      <c r="JT63" s="272"/>
      <c r="JU63" s="272"/>
      <c r="JV63" s="272"/>
      <c r="JW63" s="272"/>
      <c r="JX63" s="272"/>
      <c r="JY63" s="272"/>
      <c r="JZ63" s="272"/>
      <c r="KA63" s="272"/>
      <c r="KB63" s="272"/>
      <c r="KC63" s="272"/>
      <c r="KD63" s="272"/>
      <c r="KE63" s="272"/>
      <c r="KF63" s="272"/>
      <c r="KG63" s="272"/>
      <c r="KH63" s="272"/>
      <c r="KI63" s="272"/>
      <c r="KJ63" s="272"/>
      <c r="KK63" s="272"/>
      <c r="KL63" s="272"/>
      <c r="KM63" s="272"/>
      <c r="KN63" s="272"/>
      <c r="KO63" s="272"/>
      <c r="KP63" s="272"/>
      <c r="KQ63" s="272"/>
      <c r="KR63" s="272"/>
      <c r="KS63" s="272"/>
      <c r="KT63" s="272"/>
      <c r="KU63" s="272"/>
      <c r="KV63" s="272"/>
      <c r="KW63" s="272"/>
      <c r="KX63" s="272"/>
      <c r="KY63" s="272"/>
      <c r="KZ63" s="272"/>
      <c r="LA63" s="272"/>
      <c r="LB63" s="272"/>
      <c r="LC63" s="272"/>
      <c r="LD63" s="272"/>
      <c r="LE63" s="272"/>
      <c r="LF63" s="272"/>
      <c r="LG63" s="272"/>
      <c r="LH63" s="272"/>
      <c r="LI63" s="272"/>
      <c r="LJ63" s="272"/>
      <c r="LK63" s="272"/>
      <c r="LL63" s="272"/>
      <c r="LM63" s="272"/>
      <c r="LN63" s="272"/>
      <c r="LO63" s="272"/>
      <c r="LP63" s="272"/>
      <c r="LQ63" s="272"/>
      <c r="LR63" s="272"/>
      <c r="LS63" s="272"/>
      <c r="LT63" s="272"/>
      <c r="LU63" s="272"/>
      <c r="LV63" s="272"/>
      <c r="LW63" s="272"/>
      <c r="LX63" s="272"/>
      <c r="LY63" s="272"/>
      <c r="LZ63" s="272"/>
      <c r="MA63" s="272"/>
      <c r="MB63" s="272"/>
      <c r="MC63" s="272"/>
      <c r="MD63" s="272"/>
      <c r="ME63" s="272"/>
      <c r="MF63" s="272"/>
      <c r="MG63" s="272"/>
      <c r="MH63" s="272"/>
      <c r="MI63" s="272"/>
      <c r="MJ63" s="272"/>
      <c r="MK63" s="272"/>
      <c r="ML63" s="272"/>
      <c r="MM63" s="272"/>
      <c r="MN63" s="272"/>
      <c r="MO63" s="272"/>
      <c r="MP63" s="272"/>
      <c r="MQ63" s="272"/>
      <c r="MR63" s="272"/>
      <c r="MS63" s="272"/>
      <c r="MT63" s="272"/>
      <c r="MU63" s="272"/>
      <c r="MV63" s="272"/>
      <c r="MW63" s="272"/>
      <c r="MX63" s="272"/>
      <c r="MY63" s="272"/>
      <c r="MZ63" s="272"/>
      <c r="NA63" s="272"/>
      <c r="NB63" s="272"/>
      <c r="NC63" s="272"/>
      <c r="ND63" s="272"/>
      <c r="NE63" s="272"/>
      <c r="NF63" s="272"/>
      <c r="NG63" s="272"/>
      <c r="NH63" s="272"/>
      <c r="NI63" s="272"/>
      <c r="NJ63" s="272"/>
      <c r="NK63" s="272"/>
      <c r="NL63" s="272"/>
      <c r="NM63" s="272"/>
      <c r="NN63" s="272"/>
      <c r="NO63" s="272"/>
      <c r="NP63" s="272"/>
      <c r="NQ63" s="272"/>
      <c r="NR63" s="272"/>
      <c r="NS63" s="272"/>
      <c r="NT63" s="272"/>
      <c r="NU63" s="272"/>
      <c r="NV63" s="272"/>
      <c r="NW63" s="272"/>
      <c r="NX63" s="272"/>
      <c r="NY63" s="272"/>
      <c r="NZ63" s="272"/>
      <c r="OA63" s="272"/>
      <c r="OB63" s="272"/>
      <c r="OC63" s="272"/>
      <c r="OD63" s="272"/>
      <c r="OE63" s="272"/>
      <c r="OF63" s="272"/>
      <c r="OG63" s="272"/>
      <c r="OH63" s="272"/>
      <c r="OI63" s="272"/>
      <c r="OJ63" s="272"/>
      <c r="OK63" s="272"/>
      <c r="OL63" s="272"/>
      <c r="OM63" s="272"/>
      <c r="ON63" s="272"/>
      <c r="OO63" s="272"/>
      <c r="OP63" s="272"/>
      <c r="OQ63" s="272"/>
      <c r="OR63" s="272"/>
      <c r="OS63" s="272"/>
      <c r="OT63" s="272"/>
      <c r="OU63" s="272"/>
      <c r="OV63" s="272"/>
      <c r="OW63" s="272"/>
      <c r="OX63" s="272"/>
      <c r="OY63" s="272"/>
      <c r="OZ63" s="272"/>
      <c r="PA63" s="272"/>
      <c r="PB63" s="272"/>
      <c r="PC63" s="272"/>
      <c r="PD63" s="272"/>
      <c r="PE63" s="272"/>
      <c r="PF63" s="272"/>
      <c r="PG63" s="272"/>
      <c r="PH63" s="272"/>
      <c r="PI63" s="272"/>
      <c r="PJ63" s="272"/>
      <c r="PK63" s="272"/>
      <c r="PL63" s="272"/>
      <c r="PM63" s="272"/>
      <c r="PN63" s="272"/>
      <c r="PO63" s="272"/>
      <c r="PP63" s="272"/>
      <c r="PQ63" s="272"/>
      <c r="PR63" s="272"/>
      <c r="PS63" s="272"/>
      <c r="PT63" s="272"/>
      <c r="PU63" s="272"/>
      <c r="PV63" s="272"/>
      <c r="PW63" s="272"/>
      <c r="PX63" s="272"/>
      <c r="PY63" s="272"/>
      <c r="PZ63" s="272"/>
      <c r="QA63" s="272"/>
      <c r="QB63" s="272"/>
      <c r="QC63" s="272"/>
      <c r="QD63" s="272"/>
      <c r="QE63" s="272"/>
      <c r="QF63" s="272"/>
      <c r="QG63" s="272"/>
      <c r="QH63" s="272"/>
      <c r="QI63" s="272"/>
      <c r="QJ63" s="272"/>
      <c r="QK63" s="272"/>
      <c r="QL63" s="272"/>
      <c r="QM63" s="272"/>
      <c r="QN63" s="272"/>
      <c r="QO63" s="272"/>
      <c r="QP63" s="272"/>
      <c r="QQ63" s="272"/>
      <c r="QR63" s="272"/>
      <c r="QS63" s="272"/>
      <c r="QT63" s="272"/>
      <c r="QU63" s="272"/>
      <c r="QV63" s="272"/>
      <c r="QW63" s="272"/>
      <c r="QX63" s="272"/>
      <c r="QY63" s="272"/>
      <c r="QZ63" s="272"/>
      <c r="RA63" s="272"/>
      <c r="RB63" s="272"/>
      <c r="RC63" s="272"/>
      <c r="RD63" s="272"/>
      <c r="RE63" s="272"/>
      <c r="RF63" s="272"/>
      <c r="RG63" s="272"/>
      <c r="RH63" s="272"/>
      <c r="RI63" s="272"/>
      <c r="RJ63" s="272"/>
      <c r="RK63" s="272"/>
      <c r="RL63" s="272"/>
      <c r="RM63" s="272"/>
      <c r="RN63" s="272"/>
      <c r="RO63" s="272"/>
      <c r="RP63" s="272"/>
      <c r="RQ63" s="272"/>
      <c r="RR63" s="272"/>
      <c r="RS63" s="272"/>
      <c r="RT63" s="272"/>
      <c r="RU63" s="272"/>
      <c r="RV63" s="272"/>
      <c r="RW63" s="272"/>
      <c r="RX63" s="272"/>
      <c r="RY63" s="272"/>
      <c r="RZ63" s="272"/>
      <c r="SA63" s="272"/>
      <c r="SB63" s="272"/>
      <c r="SC63" s="272"/>
      <c r="SD63" s="272"/>
      <c r="SE63" s="272"/>
      <c r="SF63" s="272"/>
      <c r="SG63" s="272"/>
      <c r="SH63" s="272"/>
      <c r="SI63" s="272"/>
      <c r="SJ63" s="272"/>
      <c r="SK63" s="272"/>
      <c r="SL63" s="272"/>
      <c r="SM63" s="272"/>
      <c r="SN63" s="272"/>
      <c r="SO63" s="272"/>
      <c r="SP63" s="272"/>
      <c r="SQ63" s="272"/>
      <c r="SR63" s="272"/>
      <c r="SS63" s="272"/>
      <c r="ST63" s="272"/>
      <c r="SU63" s="272"/>
      <c r="SV63" s="272"/>
      <c r="SW63" s="272"/>
      <c r="SX63" s="272"/>
      <c r="SY63" s="272"/>
      <c r="SZ63" s="272"/>
      <c r="TA63" s="272"/>
      <c r="TB63" s="272"/>
      <c r="TC63" s="272"/>
      <c r="TD63" s="272"/>
      <c r="TE63" s="272"/>
      <c r="TF63" s="272"/>
      <c r="TG63" s="272"/>
      <c r="TH63" s="272"/>
      <c r="TI63" s="272"/>
      <c r="TJ63" s="272"/>
      <c r="TK63" s="272"/>
      <c r="TL63" s="272"/>
      <c r="TM63" s="272"/>
      <c r="TN63" s="272"/>
      <c r="TO63" s="272"/>
      <c r="TP63" s="272"/>
      <c r="TQ63" s="272"/>
      <c r="TR63" s="272"/>
      <c r="TS63" s="272"/>
      <c r="TT63" s="272"/>
      <c r="TU63" s="272"/>
      <c r="TV63" s="272"/>
      <c r="TW63" s="272"/>
      <c r="TX63" s="272"/>
      <c r="TY63" s="272"/>
      <c r="TZ63" s="272"/>
      <c r="UA63" s="272"/>
      <c r="UB63" s="272"/>
      <c r="UC63" s="272"/>
      <c r="UD63" s="272"/>
      <c r="UE63" s="272"/>
      <c r="UF63" s="272"/>
      <c r="UG63" s="272"/>
      <c r="UH63" s="272"/>
      <c r="UI63" s="272"/>
      <c r="UJ63" s="272"/>
      <c r="UK63" s="272"/>
      <c r="UL63" s="272"/>
      <c r="UM63" s="272"/>
      <c r="UN63" s="272"/>
      <c r="UO63" s="272"/>
      <c r="UP63" s="272"/>
      <c r="UQ63" s="272"/>
      <c r="UR63" s="272"/>
      <c r="US63" s="272"/>
      <c r="UT63" s="272"/>
      <c r="UU63" s="272"/>
      <c r="UV63" s="272"/>
      <c r="UW63" s="272"/>
      <c r="UX63" s="272"/>
      <c r="UY63" s="272"/>
      <c r="UZ63" s="272"/>
      <c r="VA63" s="272"/>
      <c r="VB63" s="272"/>
      <c r="VC63" s="272"/>
      <c r="VD63" s="272"/>
      <c r="VE63" s="272"/>
      <c r="VF63" s="272"/>
      <c r="VG63" s="272"/>
      <c r="VH63" s="272"/>
      <c r="VI63" s="272"/>
      <c r="VJ63" s="272"/>
      <c r="VK63" s="272"/>
      <c r="VL63" s="272"/>
      <c r="VM63" s="272"/>
      <c r="VN63" s="272"/>
      <c r="VO63" s="272"/>
      <c r="VP63" s="272"/>
      <c r="VQ63" s="272"/>
      <c r="VR63" s="272"/>
      <c r="VS63" s="272"/>
      <c r="VT63" s="272"/>
      <c r="VU63" s="272"/>
      <c r="VV63" s="272"/>
      <c r="VW63" s="272"/>
      <c r="VX63" s="272"/>
      <c r="VY63" s="272"/>
      <c r="VZ63" s="272"/>
      <c r="WA63" s="272"/>
      <c r="WB63" s="272"/>
      <c r="WC63" s="272"/>
      <c r="WD63" s="272"/>
      <c r="WE63" s="272"/>
      <c r="WF63" s="272"/>
      <c r="WG63" s="272"/>
      <c r="WH63" s="272"/>
      <c r="WI63" s="272"/>
      <c r="WJ63" s="272"/>
      <c r="WK63" s="272"/>
      <c r="WL63" s="272"/>
      <c r="WM63" s="272"/>
      <c r="WN63" s="272"/>
      <c r="WO63" s="272"/>
      <c r="WP63" s="272"/>
      <c r="WQ63" s="272"/>
      <c r="WR63" s="272"/>
      <c r="WS63" s="272"/>
      <c r="WT63" s="272"/>
      <c r="WU63" s="272"/>
      <c r="WV63" s="272"/>
      <c r="WW63" s="272"/>
      <c r="WX63" s="272"/>
      <c r="WY63" s="272"/>
      <c r="WZ63" s="272"/>
      <c r="XA63" s="272"/>
      <c r="XB63" s="272"/>
      <c r="XC63" s="272"/>
      <c r="XD63" s="272"/>
      <c r="XE63" s="272"/>
      <c r="XF63" s="272"/>
      <c r="XG63" s="272"/>
      <c r="XH63" s="272"/>
      <c r="XI63" s="272"/>
      <c r="XJ63" s="272"/>
      <c r="XK63" s="272"/>
      <c r="XL63" s="272"/>
      <c r="XM63" s="272"/>
      <c r="XN63" s="272"/>
      <c r="XO63" s="272"/>
      <c r="XP63" s="272"/>
      <c r="XQ63" s="272"/>
      <c r="XR63" s="272"/>
      <c r="XS63" s="272"/>
      <c r="XT63" s="272"/>
      <c r="XU63" s="272"/>
      <c r="XV63" s="272"/>
      <c r="XW63" s="272"/>
      <c r="XX63" s="272"/>
      <c r="XY63" s="272"/>
      <c r="XZ63" s="272"/>
      <c r="YA63" s="272"/>
      <c r="YB63" s="272"/>
      <c r="YC63" s="272"/>
      <c r="YD63" s="272"/>
      <c r="YE63" s="272"/>
      <c r="YF63" s="272"/>
      <c r="YG63" s="272"/>
      <c r="YH63" s="272"/>
      <c r="YI63" s="272"/>
      <c r="YJ63" s="272"/>
      <c r="YK63" s="272"/>
      <c r="YL63" s="272"/>
      <c r="YM63" s="272"/>
      <c r="YN63" s="272"/>
      <c r="YO63" s="272"/>
      <c r="YP63" s="272"/>
      <c r="YQ63" s="272"/>
      <c r="YR63" s="272"/>
      <c r="YS63" s="272"/>
      <c r="YT63" s="272"/>
      <c r="YU63" s="272"/>
      <c r="YV63" s="272"/>
      <c r="YW63" s="272"/>
      <c r="YX63" s="272"/>
      <c r="YY63" s="272"/>
      <c r="YZ63" s="272"/>
      <c r="ZA63" s="272"/>
      <c r="ZB63" s="272"/>
      <c r="ZC63" s="272"/>
      <c r="ZD63" s="272"/>
      <c r="ZE63" s="272"/>
      <c r="ZF63" s="272"/>
      <c r="ZG63" s="272"/>
      <c r="ZH63" s="272"/>
      <c r="ZI63" s="272"/>
      <c r="ZJ63" s="272"/>
      <c r="ZK63" s="272"/>
      <c r="ZL63" s="272"/>
      <c r="ZM63" s="272"/>
      <c r="ZN63" s="272"/>
      <c r="ZO63" s="272"/>
      <c r="ZP63" s="272"/>
      <c r="ZQ63" s="272"/>
      <c r="ZR63" s="272"/>
      <c r="ZS63" s="272"/>
      <c r="ZT63" s="272"/>
    </row>
    <row r="64" spans="1:696" s="61" customFormat="1" ht="130.5" customHeight="1">
      <c r="A64" s="606" t="s">
        <v>2</v>
      </c>
      <c r="B64" s="87" t="s">
        <v>65</v>
      </c>
      <c r="C64" s="608" t="s">
        <v>52</v>
      </c>
      <c r="D64" s="605"/>
      <c r="E64" s="640"/>
      <c r="F64" s="618"/>
      <c r="G64" s="628"/>
      <c r="H64" s="628"/>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c r="EH64" s="272"/>
      <c r="EI64" s="272"/>
      <c r="EJ64" s="272"/>
      <c r="EK64" s="272"/>
      <c r="EL64" s="272"/>
      <c r="EM64" s="272"/>
      <c r="EN64" s="272"/>
      <c r="EO64" s="272"/>
      <c r="EP64" s="272"/>
      <c r="EQ64" s="272"/>
      <c r="ER64" s="272"/>
      <c r="ES64" s="272"/>
      <c r="ET64" s="272"/>
      <c r="EU64" s="272"/>
      <c r="EV64" s="272"/>
      <c r="EW64" s="272"/>
      <c r="EX64" s="272"/>
      <c r="EY64" s="272"/>
      <c r="EZ64" s="272"/>
      <c r="FA64" s="272"/>
      <c r="FB64" s="272"/>
      <c r="FC64" s="272"/>
      <c r="FD64" s="272"/>
      <c r="FE64" s="272"/>
      <c r="FF64" s="272"/>
      <c r="FG64" s="272"/>
      <c r="FH64" s="272"/>
      <c r="FI64" s="272"/>
      <c r="FJ64" s="272"/>
      <c r="FK64" s="272"/>
      <c r="FL64" s="272"/>
      <c r="FM64" s="272"/>
      <c r="FN64" s="272"/>
      <c r="FO64" s="272"/>
      <c r="FP64" s="272"/>
      <c r="FQ64" s="272"/>
      <c r="FR64" s="272"/>
      <c r="FS64" s="272"/>
      <c r="FT64" s="272"/>
      <c r="FU64" s="272"/>
      <c r="FV64" s="272"/>
      <c r="FW64" s="272"/>
      <c r="FX64" s="272"/>
      <c r="FY64" s="272"/>
      <c r="FZ64" s="272"/>
      <c r="GA64" s="272"/>
      <c r="GB64" s="272"/>
      <c r="GC64" s="272"/>
      <c r="GD64" s="272"/>
      <c r="GE64" s="272"/>
      <c r="GF64" s="272"/>
      <c r="GG64" s="272"/>
      <c r="GH64" s="272"/>
      <c r="GI64" s="272"/>
      <c r="GJ64" s="272"/>
      <c r="GK64" s="272"/>
      <c r="GL64" s="272"/>
      <c r="GM64" s="272"/>
      <c r="GN64" s="272"/>
      <c r="GO64" s="272"/>
      <c r="GP64" s="272"/>
      <c r="GQ64" s="272"/>
      <c r="GR64" s="272"/>
      <c r="GS64" s="272"/>
      <c r="GT64" s="272"/>
      <c r="GU64" s="272"/>
      <c r="GV64" s="272"/>
      <c r="GW64" s="272"/>
      <c r="GX64" s="272"/>
      <c r="GY64" s="272"/>
      <c r="GZ64" s="272"/>
      <c r="HA64" s="272"/>
      <c r="HB64" s="272"/>
      <c r="HC64" s="272"/>
      <c r="HD64" s="272"/>
      <c r="HE64" s="272"/>
      <c r="HF64" s="272"/>
      <c r="HG64" s="272"/>
      <c r="HH64" s="272"/>
      <c r="HI64" s="272"/>
      <c r="HJ64" s="272"/>
      <c r="HK64" s="272"/>
      <c r="HL64" s="272"/>
      <c r="HM64" s="272"/>
      <c r="HN64" s="272"/>
      <c r="HO64" s="272"/>
      <c r="HP64" s="272"/>
      <c r="HQ64" s="272"/>
      <c r="HR64" s="272"/>
      <c r="HS64" s="272"/>
      <c r="HT64" s="272"/>
      <c r="HU64" s="272"/>
      <c r="HV64" s="272"/>
      <c r="HW64" s="272"/>
      <c r="HX64" s="272"/>
      <c r="HY64" s="272"/>
      <c r="HZ64" s="272"/>
      <c r="IA64" s="272"/>
      <c r="IB64" s="272"/>
      <c r="IC64" s="272"/>
      <c r="ID64" s="272"/>
      <c r="IE64" s="272"/>
      <c r="IF64" s="272"/>
      <c r="IG64" s="272"/>
      <c r="IH64" s="272"/>
      <c r="II64" s="272"/>
      <c r="IJ64" s="272"/>
      <c r="IK64" s="272"/>
      <c r="IL64" s="272"/>
      <c r="IM64" s="272"/>
      <c r="IN64" s="272"/>
      <c r="IO64" s="272"/>
      <c r="IP64" s="272"/>
      <c r="IQ64" s="272"/>
      <c r="IR64" s="272"/>
      <c r="IS64" s="272"/>
      <c r="IT64" s="272"/>
      <c r="IU64" s="272"/>
      <c r="IV64" s="272"/>
      <c r="IW64" s="272"/>
      <c r="IX64" s="272"/>
      <c r="IY64" s="272"/>
      <c r="IZ64" s="272"/>
      <c r="JA64" s="272"/>
      <c r="JB64" s="272"/>
      <c r="JC64" s="272"/>
      <c r="JD64" s="272"/>
      <c r="JE64" s="272"/>
      <c r="JF64" s="272"/>
      <c r="JG64" s="272"/>
      <c r="JH64" s="272"/>
      <c r="JI64" s="272"/>
      <c r="JJ64" s="272"/>
      <c r="JK64" s="272"/>
      <c r="JL64" s="272"/>
      <c r="JM64" s="272"/>
      <c r="JN64" s="272"/>
      <c r="JO64" s="272"/>
      <c r="JP64" s="272"/>
      <c r="JQ64" s="272"/>
      <c r="JR64" s="272"/>
      <c r="JS64" s="272"/>
      <c r="JT64" s="272"/>
      <c r="JU64" s="272"/>
      <c r="JV64" s="272"/>
      <c r="JW64" s="272"/>
      <c r="JX64" s="272"/>
      <c r="JY64" s="272"/>
      <c r="JZ64" s="272"/>
      <c r="KA64" s="272"/>
      <c r="KB64" s="272"/>
      <c r="KC64" s="272"/>
      <c r="KD64" s="272"/>
      <c r="KE64" s="272"/>
      <c r="KF64" s="272"/>
      <c r="KG64" s="272"/>
      <c r="KH64" s="272"/>
      <c r="KI64" s="272"/>
      <c r="KJ64" s="272"/>
      <c r="KK64" s="272"/>
      <c r="KL64" s="272"/>
      <c r="KM64" s="272"/>
      <c r="KN64" s="272"/>
      <c r="KO64" s="272"/>
      <c r="KP64" s="272"/>
      <c r="KQ64" s="272"/>
      <c r="KR64" s="272"/>
      <c r="KS64" s="272"/>
      <c r="KT64" s="272"/>
      <c r="KU64" s="272"/>
      <c r="KV64" s="272"/>
      <c r="KW64" s="272"/>
      <c r="KX64" s="272"/>
      <c r="KY64" s="272"/>
      <c r="KZ64" s="272"/>
      <c r="LA64" s="272"/>
      <c r="LB64" s="272"/>
      <c r="LC64" s="272"/>
      <c r="LD64" s="272"/>
      <c r="LE64" s="272"/>
      <c r="LF64" s="272"/>
      <c r="LG64" s="272"/>
      <c r="LH64" s="272"/>
      <c r="LI64" s="272"/>
      <c r="LJ64" s="272"/>
      <c r="LK64" s="272"/>
      <c r="LL64" s="272"/>
      <c r="LM64" s="272"/>
      <c r="LN64" s="272"/>
      <c r="LO64" s="272"/>
      <c r="LP64" s="272"/>
      <c r="LQ64" s="272"/>
      <c r="LR64" s="272"/>
      <c r="LS64" s="272"/>
      <c r="LT64" s="272"/>
      <c r="LU64" s="272"/>
      <c r="LV64" s="272"/>
      <c r="LW64" s="272"/>
      <c r="LX64" s="272"/>
      <c r="LY64" s="272"/>
      <c r="LZ64" s="272"/>
      <c r="MA64" s="272"/>
      <c r="MB64" s="272"/>
      <c r="MC64" s="272"/>
      <c r="MD64" s="272"/>
      <c r="ME64" s="272"/>
      <c r="MF64" s="272"/>
      <c r="MG64" s="272"/>
      <c r="MH64" s="272"/>
      <c r="MI64" s="272"/>
      <c r="MJ64" s="272"/>
      <c r="MK64" s="272"/>
      <c r="ML64" s="272"/>
      <c r="MM64" s="272"/>
      <c r="MN64" s="272"/>
      <c r="MO64" s="272"/>
      <c r="MP64" s="272"/>
      <c r="MQ64" s="272"/>
      <c r="MR64" s="272"/>
      <c r="MS64" s="272"/>
      <c r="MT64" s="272"/>
      <c r="MU64" s="272"/>
      <c r="MV64" s="272"/>
      <c r="MW64" s="272"/>
      <c r="MX64" s="272"/>
      <c r="MY64" s="272"/>
      <c r="MZ64" s="272"/>
      <c r="NA64" s="272"/>
      <c r="NB64" s="272"/>
      <c r="NC64" s="272"/>
      <c r="ND64" s="272"/>
      <c r="NE64" s="272"/>
      <c r="NF64" s="272"/>
      <c r="NG64" s="272"/>
      <c r="NH64" s="272"/>
      <c r="NI64" s="272"/>
      <c r="NJ64" s="272"/>
      <c r="NK64" s="272"/>
      <c r="NL64" s="272"/>
      <c r="NM64" s="272"/>
      <c r="NN64" s="272"/>
      <c r="NO64" s="272"/>
      <c r="NP64" s="272"/>
      <c r="NQ64" s="272"/>
      <c r="NR64" s="272"/>
      <c r="NS64" s="272"/>
      <c r="NT64" s="272"/>
      <c r="NU64" s="272"/>
      <c r="NV64" s="272"/>
      <c r="NW64" s="272"/>
      <c r="NX64" s="272"/>
      <c r="NY64" s="272"/>
      <c r="NZ64" s="272"/>
      <c r="OA64" s="272"/>
      <c r="OB64" s="272"/>
      <c r="OC64" s="272"/>
      <c r="OD64" s="272"/>
      <c r="OE64" s="272"/>
      <c r="OF64" s="272"/>
      <c r="OG64" s="272"/>
      <c r="OH64" s="272"/>
      <c r="OI64" s="272"/>
      <c r="OJ64" s="272"/>
      <c r="OK64" s="272"/>
      <c r="OL64" s="272"/>
      <c r="OM64" s="272"/>
      <c r="ON64" s="272"/>
      <c r="OO64" s="272"/>
      <c r="OP64" s="272"/>
      <c r="OQ64" s="272"/>
      <c r="OR64" s="272"/>
      <c r="OS64" s="272"/>
      <c r="OT64" s="272"/>
      <c r="OU64" s="272"/>
      <c r="OV64" s="272"/>
      <c r="OW64" s="272"/>
      <c r="OX64" s="272"/>
      <c r="OY64" s="272"/>
      <c r="OZ64" s="272"/>
      <c r="PA64" s="272"/>
      <c r="PB64" s="272"/>
      <c r="PC64" s="272"/>
      <c r="PD64" s="272"/>
      <c r="PE64" s="272"/>
      <c r="PF64" s="272"/>
      <c r="PG64" s="272"/>
      <c r="PH64" s="272"/>
      <c r="PI64" s="272"/>
      <c r="PJ64" s="272"/>
      <c r="PK64" s="272"/>
      <c r="PL64" s="272"/>
      <c r="PM64" s="272"/>
      <c r="PN64" s="272"/>
      <c r="PO64" s="272"/>
      <c r="PP64" s="272"/>
      <c r="PQ64" s="272"/>
      <c r="PR64" s="272"/>
      <c r="PS64" s="272"/>
      <c r="PT64" s="272"/>
      <c r="PU64" s="272"/>
      <c r="PV64" s="272"/>
      <c r="PW64" s="272"/>
      <c r="PX64" s="272"/>
      <c r="PY64" s="272"/>
      <c r="PZ64" s="272"/>
      <c r="QA64" s="272"/>
      <c r="QB64" s="272"/>
      <c r="QC64" s="272"/>
      <c r="QD64" s="272"/>
      <c r="QE64" s="272"/>
      <c r="QF64" s="272"/>
      <c r="QG64" s="272"/>
      <c r="QH64" s="272"/>
      <c r="QI64" s="272"/>
      <c r="QJ64" s="272"/>
      <c r="QK64" s="272"/>
      <c r="QL64" s="272"/>
      <c r="QM64" s="272"/>
      <c r="QN64" s="272"/>
      <c r="QO64" s="272"/>
      <c r="QP64" s="272"/>
      <c r="QQ64" s="272"/>
      <c r="QR64" s="272"/>
      <c r="QS64" s="272"/>
      <c r="QT64" s="272"/>
      <c r="QU64" s="272"/>
      <c r="QV64" s="272"/>
      <c r="QW64" s="272"/>
      <c r="QX64" s="272"/>
      <c r="QY64" s="272"/>
      <c r="QZ64" s="272"/>
      <c r="RA64" s="272"/>
      <c r="RB64" s="272"/>
      <c r="RC64" s="272"/>
      <c r="RD64" s="272"/>
      <c r="RE64" s="272"/>
      <c r="RF64" s="272"/>
      <c r="RG64" s="272"/>
      <c r="RH64" s="272"/>
      <c r="RI64" s="272"/>
      <c r="RJ64" s="272"/>
      <c r="RK64" s="272"/>
      <c r="RL64" s="272"/>
      <c r="RM64" s="272"/>
      <c r="RN64" s="272"/>
      <c r="RO64" s="272"/>
      <c r="RP64" s="272"/>
      <c r="RQ64" s="272"/>
      <c r="RR64" s="272"/>
      <c r="RS64" s="272"/>
      <c r="RT64" s="272"/>
      <c r="RU64" s="272"/>
      <c r="RV64" s="272"/>
      <c r="RW64" s="272"/>
      <c r="RX64" s="272"/>
      <c r="RY64" s="272"/>
      <c r="RZ64" s="272"/>
      <c r="SA64" s="272"/>
      <c r="SB64" s="272"/>
      <c r="SC64" s="272"/>
      <c r="SD64" s="272"/>
      <c r="SE64" s="272"/>
      <c r="SF64" s="272"/>
      <c r="SG64" s="272"/>
      <c r="SH64" s="272"/>
      <c r="SI64" s="272"/>
      <c r="SJ64" s="272"/>
      <c r="SK64" s="272"/>
      <c r="SL64" s="272"/>
      <c r="SM64" s="272"/>
      <c r="SN64" s="272"/>
      <c r="SO64" s="272"/>
      <c r="SP64" s="272"/>
      <c r="SQ64" s="272"/>
      <c r="SR64" s="272"/>
      <c r="SS64" s="272"/>
      <c r="ST64" s="272"/>
      <c r="SU64" s="272"/>
      <c r="SV64" s="272"/>
      <c r="SW64" s="272"/>
      <c r="SX64" s="272"/>
      <c r="SY64" s="272"/>
      <c r="SZ64" s="272"/>
      <c r="TA64" s="272"/>
      <c r="TB64" s="272"/>
      <c r="TC64" s="272"/>
      <c r="TD64" s="272"/>
      <c r="TE64" s="272"/>
      <c r="TF64" s="272"/>
      <c r="TG64" s="272"/>
      <c r="TH64" s="272"/>
      <c r="TI64" s="272"/>
      <c r="TJ64" s="272"/>
      <c r="TK64" s="272"/>
      <c r="TL64" s="272"/>
      <c r="TM64" s="272"/>
      <c r="TN64" s="272"/>
      <c r="TO64" s="272"/>
      <c r="TP64" s="272"/>
      <c r="TQ64" s="272"/>
      <c r="TR64" s="272"/>
      <c r="TS64" s="272"/>
      <c r="TT64" s="272"/>
      <c r="TU64" s="272"/>
      <c r="TV64" s="272"/>
      <c r="TW64" s="272"/>
      <c r="TX64" s="272"/>
      <c r="TY64" s="272"/>
      <c r="TZ64" s="272"/>
      <c r="UA64" s="272"/>
      <c r="UB64" s="272"/>
      <c r="UC64" s="272"/>
      <c r="UD64" s="272"/>
      <c r="UE64" s="272"/>
      <c r="UF64" s="272"/>
      <c r="UG64" s="272"/>
      <c r="UH64" s="272"/>
      <c r="UI64" s="272"/>
      <c r="UJ64" s="272"/>
      <c r="UK64" s="272"/>
      <c r="UL64" s="272"/>
      <c r="UM64" s="272"/>
      <c r="UN64" s="272"/>
      <c r="UO64" s="272"/>
      <c r="UP64" s="272"/>
      <c r="UQ64" s="272"/>
      <c r="UR64" s="272"/>
      <c r="US64" s="272"/>
      <c r="UT64" s="272"/>
      <c r="UU64" s="272"/>
      <c r="UV64" s="272"/>
      <c r="UW64" s="272"/>
      <c r="UX64" s="272"/>
      <c r="UY64" s="272"/>
      <c r="UZ64" s="272"/>
      <c r="VA64" s="272"/>
      <c r="VB64" s="272"/>
      <c r="VC64" s="272"/>
      <c r="VD64" s="272"/>
      <c r="VE64" s="272"/>
      <c r="VF64" s="272"/>
      <c r="VG64" s="272"/>
      <c r="VH64" s="272"/>
      <c r="VI64" s="272"/>
      <c r="VJ64" s="272"/>
      <c r="VK64" s="272"/>
      <c r="VL64" s="272"/>
      <c r="VM64" s="272"/>
      <c r="VN64" s="272"/>
      <c r="VO64" s="272"/>
      <c r="VP64" s="272"/>
      <c r="VQ64" s="272"/>
      <c r="VR64" s="272"/>
      <c r="VS64" s="272"/>
      <c r="VT64" s="272"/>
      <c r="VU64" s="272"/>
      <c r="VV64" s="272"/>
      <c r="VW64" s="272"/>
      <c r="VX64" s="272"/>
      <c r="VY64" s="272"/>
      <c r="VZ64" s="272"/>
      <c r="WA64" s="272"/>
      <c r="WB64" s="272"/>
      <c r="WC64" s="272"/>
      <c r="WD64" s="272"/>
      <c r="WE64" s="272"/>
      <c r="WF64" s="272"/>
      <c r="WG64" s="272"/>
      <c r="WH64" s="272"/>
      <c r="WI64" s="272"/>
      <c r="WJ64" s="272"/>
      <c r="WK64" s="272"/>
      <c r="WL64" s="272"/>
      <c r="WM64" s="272"/>
      <c r="WN64" s="272"/>
      <c r="WO64" s="272"/>
      <c r="WP64" s="272"/>
      <c r="WQ64" s="272"/>
      <c r="WR64" s="272"/>
      <c r="WS64" s="272"/>
      <c r="WT64" s="272"/>
      <c r="WU64" s="272"/>
      <c r="WV64" s="272"/>
      <c r="WW64" s="272"/>
      <c r="WX64" s="272"/>
      <c r="WY64" s="272"/>
      <c r="WZ64" s="272"/>
      <c r="XA64" s="272"/>
      <c r="XB64" s="272"/>
      <c r="XC64" s="272"/>
      <c r="XD64" s="272"/>
      <c r="XE64" s="272"/>
      <c r="XF64" s="272"/>
      <c r="XG64" s="272"/>
      <c r="XH64" s="272"/>
      <c r="XI64" s="272"/>
      <c r="XJ64" s="272"/>
      <c r="XK64" s="272"/>
      <c r="XL64" s="272"/>
      <c r="XM64" s="272"/>
      <c r="XN64" s="272"/>
      <c r="XO64" s="272"/>
      <c r="XP64" s="272"/>
      <c r="XQ64" s="272"/>
      <c r="XR64" s="272"/>
      <c r="XS64" s="272"/>
      <c r="XT64" s="272"/>
      <c r="XU64" s="272"/>
      <c r="XV64" s="272"/>
      <c r="XW64" s="272"/>
      <c r="XX64" s="272"/>
      <c r="XY64" s="272"/>
      <c r="XZ64" s="272"/>
      <c r="YA64" s="272"/>
      <c r="YB64" s="272"/>
      <c r="YC64" s="272"/>
      <c r="YD64" s="272"/>
      <c r="YE64" s="272"/>
      <c r="YF64" s="272"/>
      <c r="YG64" s="272"/>
      <c r="YH64" s="272"/>
      <c r="YI64" s="272"/>
      <c r="YJ64" s="272"/>
      <c r="YK64" s="272"/>
      <c r="YL64" s="272"/>
      <c r="YM64" s="272"/>
      <c r="YN64" s="272"/>
      <c r="YO64" s="272"/>
      <c r="YP64" s="272"/>
      <c r="YQ64" s="272"/>
      <c r="YR64" s="272"/>
      <c r="YS64" s="272"/>
      <c r="YT64" s="272"/>
      <c r="YU64" s="272"/>
      <c r="YV64" s="272"/>
      <c r="YW64" s="272"/>
      <c r="YX64" s="272"/>
      <c r="YY64" s="272"/>
      <c r="YZ64" s="272"/>
      <c r="ZA64" s="272"/>
      <c r="ZB64" s="272"/>
      <c r="ZC64" s="272"/>
      <c r="ZD64" s="272"/>
      <c r="ZE64" s="272"/>
      <c r="ZF64" s="272"/>
      <c r="ZG64" s="272"/>
      <c r="ZH64" s="272"/>
      <c r="ZI64" s="272"/>
      <c r="ZJ64" s="272"/>
      <c r="ZK64" s="272"/>
      <c r="ZL64" s="272"/>
      <c r="ZM64" s="272"/>
      <c r="ZN64" s="272"/>
      <c r="ZO64" s="272"/>
      <c r="ZP64" s="272"/>
      <c r="ZQ64" s="272"/>
      <c r="ZR64" s="272"/>
      <c r="ZS64" s="272"/>
      <c r="ZT64" s="272"/>
    </row>
    <row r="65" spans="1:696" s="86" customFormat="1" ht="54.75" customHeight="1">
      <c r="A65" s="607"/>
      <c r="B65" s="84"/>
      <c r="C65" s="598"/>
      <c r="D65" s="601"/>
      <c r="E65" s="619"/>
      <c r="F65" s="619"/>
      <c r="G65" s="626"/>
      <c r="H65" s="626"/>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c r="EI65" s="272"/>
      <c r="EJ65" s="272"/>
      <c r="EK65" s="272"/>
      <c r="EL65" s="272"/>
      <c r="EM65" s="272"/>
      <c r="EN65" s="272"/>
      <c r="EO65" s="272"/>
      <c r="EP65" s="272"/>
      <c r="EQ65" s="272"/>
      <c r="ER65" s="272"/>
      <c r="ES65" s="272"/>
      <c r="ET65" s="272"/>
      <c r="EU65" s="272"/>
      <c r="EV65" s="272"/>
      <c r="EW65" s="272"/>
      <c r="EX65" s="272"/>
      <c r="EY65" s="272"/>
      <c r="EZ65" s="272"/>
      <c r="FA65" s="272"/>
      <c r="FB65" s="272"/>
      <c r="FC65" s="272"/>
      <c r="FD65" s="272"/>
      <c r="FE65" s="272"/>
      <c r="FF65" s="272"/>
      <c r="FG65" s="272"/>
      <c r="FH65" s="272"/>
      <c r="FI65" s="272"/>
      <c r="FJ65" s="272"/>
      <c r="FK65" s="272"/>
      <c r="FL65" s="272"/>
      <c r="FM65" s="272"/>
      <c r="FN65" s="272"/>
      <c r="FO65" s="272"/>
      <c r="FP65" s="272"/>
      <c r="FQ65" s="272"/>
      <c r="FR65" s="272"/>
      <c r="FS65" s="272"/>
      <c r="FT65" s="272"/>
      <c r="FU65" s="272"/>
      <c r="FV65" s="272"/>
      <c r="FW65" s="272"/>
      <c r="FX65" s="272"/>
      <c r="FY65" s="272"/>
      <c r="FZ65" s="272"/>
      <c r="GA65" s="272"/>
      <c r="GB65" s="272"/>
      <c r="GC65" s="272"/>
      <c r="GD65" s="272"/>
      <c r="GE65" s="272"/>
      <c r="GF65" s="272"/>
      <c r="GG65" s="272"/>
      <c r="GH65" s="272"/>
      <c r="GI65" s="272"/>
      <c r="GJ65" s="272"/>
      <c r="GK65" s="272"/>
      <c r="GL65" s="272"/>
      <c r="GM65" s="272"/>
      <c r="GN65" s="272"/>
      <c r="GO65" s="272"/>
      <c r="GP65" s="272"/>
      <c r="GQ65" s="272"/>
      <c r="GR65" s="272"/>
      <c r="GS65" s="272"/>
      <c r="GT65" s="272"/>
      <c r="GU65" s="272"/>
      <c r="GV65" s="272"/>
      <c r="GW65" s="272"/>
      <c r="GX65" s="272"/>
      <c r="GY65" s="272"/>
      <c r="GZ65" s="272"/>
      <c r="HA65" s="272"/>
      <c r="HB65" s="272"/>
      <c r="HC65" s="272"/>
      <c r="HD65" s="272"/>
      <c r="HE65" s="272"/>
      <c r="HF65" s="272"/>
      <c r="HG65" s="272"/>
      <c r="HH65" s="272"/>
      <c r="HI65" s="272"/>
      <c r="HJ65" s="272"/>
      <c r="HK65" s="272"/>
      <c r="HL65" s="272"/>
      <c r="HM65" s="272"/>
      <c r="HN65" s="272"/>
      <c r="HO65" s="272"/>
      <c r="HP65" s="272"/>
      <c r="HQ65" s="272"/>
      <c r="HR65" s="272"/>
      <c r="HS65" s="272"/>
      <c r="HT65" s="272"/>
      <c r="HU65" s="272"/>
      <c r="HV65" s="272"/>
      <c r="HW65" s="272"/>
      <c r="HX65" s="272"/>
      <c r="HY65" s="272"/>
      <c r="HZ65" s="272"/>
      <c r="IA65" s="272"/>
      <c r="IB65" s="272"/>
      <c r="IC65" s="272"/>
      <c r="ID65" s="272"/>
      <c r="IE65" s="272"/>
      <c r="IF65" s="272"/>
      <c r="IG65" s="272"/>
      <c r="IH65" s="272"/>
      <c r="II65" s="272"/>
      <c r="IJ65" s="272"/>
      <c r="IK65" s="272"/>
      <c r="IL65" s="272"/>
      <c r="IM65" s="272"/>
      <c r="IN65" s="272"/>
      <c r="IO65" s="272"/>
      <c r="IP65" s="272"/>
      <c r="IQ65" s="272"/>
      <c r="IR65" s="272"/>
      <c r="IS65" s="272"/>
      <c r="IT65" s="272"/>
      <c r="IU65" s="272"/>
      <c r="IV65" s="272"/>
      <c r="IW65" s="272"/>
      <c r="IX65" s="272"/>
      <c r="IY65" s="272"/>
      <c r="IZ65" s="272"/>
      <c r="JA65" s="272"/>
      <c r="JB65" s="272"/>
      <c r="JC65" s="272"/>
      <c r="JD65" s="272"/>
      <c r="JE65" s="272"/>
      <c r="JF65" s="272"/>
      <c r="JG65" s="272"/>
      <c r="JH65" s="272"/>
      <c r="JI65" s="272"/>
      <c r="JJ65" s="272"/>
      <c r="JK65" s="272"/>
      <c r="JL65" s="272"/>
      <c r="JM65" s="272"/>
      <c r="JN65" s="272"/>
      <c r="JO65" s="272"/>
      <c r="JP65" s="272"/>
      <c r="JQ65" s="272"/>
      <c r="JR65" s="272"/>
      <c r="JS65" s="272"/>
      <c r="JT65" s="272"/>
      <c r="JU65" s="272"/>
      <c r="JV65" s="272"/>
      <c r="JW65" s="272"/>
      <c r="JX65" s="272"/>
      <c r="JY65" s="272"/>
      <c r="JZ65" s="272"/>
      <c r="KA65" s="272"/>
      <c r="KB65" s="272"/>
      <c r="KC65" s="272"/>
      <c r="KD65" s="272"/>
      <c r="KE65" s="272"/>
      <c r="KF65" s="272"/>
      <c r="KG65" s="272"/>
      <c r="KH65" s="272"/>
      <c r="KI65" s="272"/>
      <c r="KJ65" s="272"/>
      <c r="KK65" s="272"/>
      <c r="KL65" s="272"/>
      <c r="KM65" s="272"/>
      <c r="KN65" s="272"/>
      <c r="KO65" s="272"/>
      <c r="KP65" s="272"/>
      <c r="KQ65" s="272"/>
      <c r="KR65" s="272"/>
      <c r="KS65" s="272"/>
      <c r="KT65" s="272"/>
      <c r="KU65" s="272"/>
      <c r="KV65" s="272"/>
      <c r="KW65" s="272"/>
      <c r="KX65" s="272"/>
      <c r="KY65" s="272"/>
      <c r="KZ65" s="272"/>
      <c r="LA65" s="272"/>
      <c r="LB65" s="272"/>
      <c r="LC65" s="272"/>
      <c r="LD65" s="272"/>
      <c r="LE65" s="272"/>
      <c r="LF65" s="272"/>
      <c r="LG65" s="272"/>
      <c r="LH65" s="272"/>
      <c r="LI65" s="272"/>
      <c r="LJ65" s="272"/>
      <c r="LK65" s="272"/>
      <c r="LL65" s="272"/>
      <c r="LM65" s="272"/>
      <c r="LN65" s="272"/>
      <c r="LO65" s="272"/>
      <c r="LP65" s="272"/>
      <c r="LQ65" s="272"/>
      <c r="LR65" s="272"/>
      <c r="LS65" s="272"/>
      <c r="LT65" s="272"/>
      <c r="LU65" s="272"/>
      <c r="LV65" s="272"/>
      <c r="LW65" s="272"/>
      <c r="LX65" s="272"/>
      <c r="LY65" s="272"/>
      <c r="LZ65" s="272"/>
      <c r="MA65" s="272"/>
      <c r="MB65" s="272"/>
      <c r="MC65" s="272"/>
      <c r="MD65" s="272"/>
      <c r="ME65" s="272"/>
      <c r="MF65" s="272"/>
      <c r="MG65" s="272"/>
      <c r="MH65" s="272"/>
      <c r="MI65" s="272"/>
      <c r="MJ65" s="272"/>
      <c r="MK65" s="272"/>
      <c r="ML65" s="272"/>
      <c r="MM65" s="272"/>
      <c r="MN65" s="272"/>
      <c r="MO65" s="272"/>
      <c r="MP65" s="272"/>
      <c r="MQ65" s="272"/>
      <c r="MR65" s="272"/>
      <c r="MS65" s="272"/>
      <c r="MT65" s="272"/>
      <c r="MU65" s="272"/>
      <c r="MV65" s="272"/>
      <c r="MW65" s="272"/>
      <c r="MX65" s="272"/>
      <c r="MY65" s="272"/>
      <c r="MZ65" s="272"/>
      <c r="NA65" s="272"/>
      <c r="NB65" s="272"/>
      <c r="NC65" s="272"/>
      <c r="ND65" s="272"/>
      <c r="NE65" s="272"/>
      <c r="NF65" s="272"/>
      <c r="NG65" s="272"/>
      <c r="NH65" s="272"/>
      <c r="NI65" s="272"/>
      <c r="NJ65" s="272"/>
      <c r="NK65" s="272"/>
      <c r="NL65" s="272"/>
      <c r="NM65" s="272"/>
      <c r="NN65" s="272"/>
      <c r="NO65" s="272"/>
      <c r="NP65" s="272"/>
      <c r="NQ65" s="272"/>
      <c r="NR65" s="272"/>
      <c r="NS65" s="272"/>
      <c r="NT65" s="272"/>
      <c r="NU65" s="272"/>
      <c r="NV65" s="272"/>
      <c r="NW65" s="272"/>
      <c r="NX65" s="272"/>
      <c r="NY65" s="272"/>
      <c r="NZ65" s="272"/>
      <c r="OA65" s="272"/>
      <c r="OB65" s="272"/>
      <c r="OC65" s="272"/>
      <c r="OD65" s="272"/>
      <c r="OE65" s="272"/>
      <c r="OF65" s="272"/>
      <c r="OG65" s="272"/>
      <c r="OH65" s="272"/>
      <c r="OI65" s="272"/>
      <c r="OJ65" s="272"/>
      <c r="OK65" s="272"/>
      <c r="OL65" s="272"/>
      <c r="OM65" s="272"/>
      <c r="ON65" s="272"/>
      <c r="OO65" s="272"/>
      <c r="OP65" s="272"/>
      <c r="OQ65" s="272"/>
      <c r="OR65" s="272"/>
      <c r="OS65" s="272"/>
      <c r="OT65" s="272"/>
      <c r="OU65" s="272"/>
      <c r="OV65" s="272"/>
      <c r="OW65" s="272"/>
      <c r="OX65" s="272"/>
      <c r="OY65" s="272"/>
      <c r="OZ65" s="272"/>
      <c r="PA65" s="272"/>
      <c r="PB65" s="272"/>
      <c r="PC65" s="272"/>
      <c r="PD65" s="272"/>
      <c r="PE65" s="272"/>
      <c r="PF65" s="272"/>
      <c r="PG65" s="272"/>
      <c r="PH65" s="272"/>
      <c r="PI65" s="272"/>
      <c r="PJ65" s="272"/>
      <c r="PK65" s="272"/>
      <c r="PL65" s="272"/>
      <c r="PM65" s="272"/>
      <c r="PN65" s="272"/>
      <c r="PO65" s="272"/>
      <c r="PP65" s="272"/>
      <c r="PQ65" s="272"/>
      <c r="PR65" s="272"/>
      <c r="PS65" s="272"/>
      <c r="PT65" s="272"/>
      <c r="PU65" s="272"/>
      <c r="PV65" s="272"/>
      <c r="PW65" s="272"/>
      <c r="PX65" s="272"/>
      <c r="PY65" s="272"/>
      <c r="PZ65" s="272"/>
      <c r="QA65" s="272"/>
      <c r="QB65" s="272"/>
      <c r="QC65" s="272"/>
      <c r="QD65" s="272"/>
      <c r="QE65" s="272"/>
      <c r="QF65" s="272"/>
      <c r="QG65" s="272"/>
      <c r="QH65" s="272"/>
      <c r="QI65" s="272"/>
      <c r="QJ65" s="272"/>
      <c r="QK65" s="272"/>
      <c r="QL65" s="272"/>
      <c r="QM65" s="272"/>
      <c r="QN65" s="272"/>
      <c r="QO65" s="272"/>
      <c r="QP65" s="272"/>
      <c r="QQ65" s="272"/>
      <c r="QR65" s="272"/>
      <c r="QS65" s="272"/>
      <c r="QT65" s="272"/>
      <c r="QU65" s="272"/>
      <c r="QV65" s="272"/>
      <c r="QW65" s="272"/>
      <c r="QX65" s="272"/>
      <c r="QY65" s="272"/>
      <c r="QZ65" s="272"/>
      <c r="RA65" s="272"/>
      <c r="RB65" s="272"/>
      <c r="RC65" s="272"/>
      <c r="RD65" s="272"/>
      <c r="RE65" s="272"/>
      <c r="RF65" s="272"/>
      <c r="RG65" s="272"/>
      <c r="RH65" s="272"/>
      <c r="RI65" s="272"/>
      <c r="RJ65" s="272"/>
      <c r="RK65" s="272"/>
      <c r="RL65" s="272"/>
      <c r="RM65" s="272"/>
      <c r="RN65" s="272"/>
      <c r="RO65" s="272"/>
      <c r="RP65" s="272"/>
      <c r="RQ65" s="272"/>
      <c r="RR65" s="272"/>
      <c r="RS65" s="272"/>
      <c r="RT65" s="272"/>
      <c r="RU65" s="272"/>
      <c r="RV65" s="272"/>
      <c r="RW65" s="272"/>
      <c r="RX65" s="272"/>
      <c r="RY65" s="272"/>
      <c r="RZ65" s="272"/>
      <c r="SA65" s="272"/>
      <c r="SB65" s="272"/>
      <c r="SC65" s="272"/>
      <c r="SD65" s="272"/>
      <c r="SE65" s="272"/>
      <c r="SF65" s="272"/>
      <c r="SG65" s="272"/>
      <c r="SH65" s="272"/>
      <c r="SI65" s="272"/>
      <c r="SJ65" s="272"/>
      <c r="SK65" s="272"/>
      <c r="SL65" s="272"/>
      <c r="SM65" s="272"/>
      <c r="SN65" s="272"/>
      <c r="SO65" s="272"/>
      <c r="SP65" s="272"/>
      <c r="SQ65" s="272"/>
      <c r="SR65" s="272"/>
      <c r="SS65" s="272"/>
      <c r="ST65" s="272"/>
      <c r="SU65" s="272"/>
      <c r="SV65" s="272"/>
      <c r="SW65" s="272"/>
      <c r="SX65" s="272"/>
      <c r="SY65" s="272"/>
      <c r="SZ65" s="272"/>
      <c r="TA65" s="272"/>
      <c r="TB65" s="272"/>
      <c r="TC65" s="272"/>
      <c r="TD65" s="272"/>
      <c r="TE65" s="272"/>
      <c r="TF65" s="272"/>
      <c r="TG65" s="272"/>
      <c r="TH65" s="272"/>
      <c r="TI65" s="272"/>
      <c r="TJ65" s="272"/>
      <c r="TK65" s="272"/>
      <c r="TL65" s="272"/>
      <c r="TM65" s="272"/>
      <c r="TN65" s="272"/>
      <c r="TO65" s="272"/>
      <c r="TP65" s="272"/>
      <c r="TQ65" s="272"/>
      <c r="TR65" s="272"/>
      <c r="TS65" s="272"/>
      <c r="TT65" s="272"/>
      <c r="TU65" s="272"/>
      <c r="TV65" s="272"/>
      <c r="TW65" s="272"/>
      <c r="TX65" s="272"/>
      <c r="TY65" s="272"/>
      <c r="TZ65" s="272"/>
      <c r="UA65" s="272"/>
      <c r="UB65" s="272"/>
      <c r="UC65" s="272"/>
      <c r="UD65" s="272"/>
      <c r="UE65" s="272"/>
      <c r="UF65" s="272"/>
      <c r="UG65" s="272"/>
      <c r="UH65" s="272"/>
      <c r="UI65" s="272"/>
      <c r="UJ65" s="272"/>
      <c r="UK65" s="272"/>
      <c r="UL65" s="272"/>
      <c r="UM65" s="272"/>
      <c r="UN65" s="272"/>
      <c r="UO65" s="272"/>
      <c r="UP65" s="272"/>
      <c r="UQ65" s="272"/>
      <c r="UR65" s="272"/>
      <c r="US65" s="272"/>
      <c r="UT65" s="272"/>
      <c r="UU65" s="272"/>
      <c r="UV65" s="272"/>
      <c r="UW65" s="272"/>
      <c r="UX65" s="272"/>
      <c r="UY65" s="272"/>
      <c r="UZ65" s="272"/>
      <c r="VA65" s="272"/>
      <c r="VB65" s="272"/>
      <c r="VC65" s="272"/>
      <c r="VD65" s="272"/>
      <c r="VE65" s="272"/>
      <c r="VF65" s="272"/>
      <c r="VG65" s="272"/>
      <c r="VH65" s="272"/>
      <c r="VI65" s="272"/>
      <c r="VJ65" s="272"/>
      <c r="VK65" s="272"/>
      <c r="VL65" s="272"/>
      <c r="VM65" s="272"/>
      <c r="VN65" s="272"/>
      <c r="VO65" s="272"/>
      <c r="VP65" s="272"/>
      <c r="VQ65" s="272"/>
      <c r="VR65" s="272"/>
      <c r="VS65" s="272"/>
      <c r="VT65" s="272"/>
      <c r="VU65" s="272"/>
      <c r="VV65" s="272"/>
      <c r="VW65" s="272"/>
      <c r="VX65" s="272"/>
      <c r="VY65" s="272"/>
      <c r="VZ65" s="272"/>
      <c r="WA65" s="272"/>
      <c r="WB65" s="272"/>
      <c r="WC65" s="272"/>
      <c r="WD65" s="272"/>
      <c r="WE65" s="272"/>
      <c r="WF65" s="272"/>
      <c r="WG65" s="272"/>
      <c r="WH65" s="272"/>
      <c r="WI65" s="272"/>
      <c r="WJ65" s="272"/>
      <c r="WK65" s="272"/>
      <c r="WL65" s="272"/>
      <c r="WM65" s="272"/>
      <c r="WN65" s="272"/>
      <c r="WO65" s="272"/>
      <c r="WP65" s="272"/>
      <c r="WQ65" s="272"/>
      <c r="WR65" s="272"/>
      <c r="WS65" s="272"/>
      <c r="WT65" s="272"/>
      <c r="WU65" s="272"/>
      <c r="WV65" s="272"/>
      <c r="WW65" s="272"/>
      <c r="WX65" s="272"/>
      <c r="WY65" s="272"/>
      <c r="WZ65" s="272"/>
      <c r="XA65" s="272"/>
      <c r="XB65" s="272"/>
      <c r="XC65" s="272"/>
      <c r="XD65" s="272"/>
      <c r="XE65" s="272"/>
      <c r="XF65" s="272"/>
      <c r="XG65" s="272"/>
      <c r="XH65" s="272"/>
      <c r="XI65" s="272"/>
      <c r="XJ65" s="272"/>
      <c r="XK65" s="272"/>
      <c r="XL65" s="272"/>
      <c r="XM65" s="272"/>
      <c r="XN65" s="272"/>
      <c r="XO65" s="272"/>
      <c r="XP65" s="272"/>
      <c r="XQ65" s="272"/>
      <c r="XR65" s="272"/>
      <c r="XS65" s="272"/>
      <c r="XT65" s="272"/>
      <c r="XU65" s="272"/>
      <c r="XV65" s="272"/>
      <c r="XW65" s="272"/>
      <c r="XX65" s="272"/>
      <c r="XY65" s="272"/>
      <c r="XZ65" s="272"/>
      <c r="YA65" s="272"/>
      <c r="YB65" s="272"/>
      <c r="YC65" s="272"/>
      <c r="YD65" s="272"/>
      <c r="YE65" s="272"/>
      <c r="YF65" s="272"/>
      <c r="YG65" s="272"/>
      <c r="YH65" s="272"/>
      <c r="YI65" s="272"/>
      <c r="YJ65" s="272"/>
      <c r="YK65" s="272"/>
      <c r="YL65" s="272"/>
      <c r="YM65" s="272"/>
      <c r="YN65" s="272"/>
      <c r="YO65" s="272"/>
      <c r="YP65" s="272"/>
      <c r="YQ65" s="272"/>
      <c r="YR65" s="272"/>
      <c r="YS65" s="272"/>
      <c r="YT65" s="272"/>
      <c r="YU65" s="272"/>
      <c r="YV65" s="272"/>
      <c r="YW65" s="272"/>
      <c r="YX65" s="272"/>
      <c r="YY65" s="272"/>
      <c r="YZ65" s="272"/>
      <c r="ZA65" s="272"/>
      <c r="ZB65" s="272"/>
      <c r="ZC65" s="272"/>
      <c r="ZD65" s="272"/>
      <c r="ZE65" s="272"/>
      <c r="ZF65" s="272"/>
      <c r="ZG65" s="272"/>
      <c r="ZH65" s="272"/>
      <c r="ZI65" s="272"/>
      <c r="ZJ65" s="272"/>
      <c r="ZK65" s="272"/>
      <c r="ZL65" s="272"/>
      <c r="ZM65" s="272"/>
      <c r="ZN65" s="272"/>
      <c r="ZO65" s="272"/>
      <c r="ZP65" s="272"/>
      <c r="ZQ65" s="272"/>
      <c r="ZR65" s="272"/>
      <c r="ZS65" s="272"/>
      <c r="ZT65" s="272"/>
    </row>
    <row r="66" spans="1:696" s="19" customFormat="1" ht="15">
      <c r="A66" s="49"/>
      <c r="B66" s="44"/>
      <c r="C66" s="24" t="s">
        <v>53</v>
      </c>
      <c r="D66" s="508"/>
      <c r="E66" s="532"/>
      <c r="F66" s="509"/>
      <c r="G66" s="506"/>
      <c r="H66" s="506"/>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c r="CL66" s="272"/>
      <c r="CM66" s="272"/>
      <c r="CN66" s="272"/>
      <c r="CO66" s="272"/>
      <c r="CP66" s="272"/>
      <c r="CQ66" s="272"/>
      <c r="CR66" s="272"/>
      <c r="CS66" s="272"/>
      <c r="CT66" s="272"/>
      <c r="CU66" s="272"/>
      <c r="CV66" s="272"/>
      <c r="CW66" s="272"/>
      <c r="CX66" s="272"/>
      <c r="CY66" s="272"/>
      <c r="CZ66" s="272"/>
      <c r="DA66" s="272"/>
      <c r="DB66" s="272"/>
      <c r="DC66" s="272"/>
      <c r="DD66" s="272"/>
      <c r="DE66" s="272"/>
      <c r="DF66" s="272"/>
      <c r="DG66" s="272"/>
      <c r="DH66" s="272"/>
      <c r="DI66" s="272"/>
      <c r="DJ66" s="272"/>
      <c r="DK66" s="272"/>
      <c r="DL66" s="272"/>
      <c r="DM66" s="272"/>
      <c r="DN66" s="272"/>
      <c r="DO66" s="272"/>
      <c r="DP66" s="272"/>
      <c r="DQ66" s="272"/>
      <c r="DR66" s="272"/>
      <c r="DS66" s="272"/>
      <c r="DT66" s="272"/>
      <c r="DU66" s="272"/>
      <c r="DV66" s="272"/>
      <c r="DW66" s="272"/>
      <c r="DX66" s="272"/>
      <c r="DY66" s="272"/>
      <c r="DZ66" s="272"/>
      <c r="EA66" s="272"/>
      <c r="EB66" s="272"/>
      <c r="EC66" s="272"/>
      <c r="ED66" s="272"/>
      <c r="EE66" s="272"/>
      <c r="EF66" s="272"/>
      <c r="EG66" s="272"/>
      <c r="EH66" s="272"/>
      <c r="EI66" s="272"/>
      <c r="EJ66" s="272"/>
      <c r="EK66" s="272"/>
      <c r="EL66" s="272"/>
      <c r="EM66" s="272"/>
      <c r="EN66" s="272"/>
      <c r="EO66" s="272"/>
      <c r="EP66" s="272"/>
      <c r="EQ66" s="272"/>
      <c r="ER66" s="272"/>
      <c r="ES66" s="272"/>
      <c r="ET66" s="272"/>
      <c r="EU66" s="272"/>
      <c r="EV66" s="272"/>
      <c r="EW66" s="272"/>
      <c r="EX66" s="272"/>
      <c r="EY66" s="272"/>
      <c r="EZ66" s="272"/>
      <c r="FA66" s="272"/>
      <c r="FB66" s="272"/>
      <c r="FC66" s="272"/>
      <c r="FD66" s="272"/>
      <c r="FE66" s="272"/>
      <c r="FF66" s="272"/>
      <c r="FG66" s="272"/>
      <c r="FH66" s="272"/>
      <c r="FI66" s="272"/>
      <c r="FJ66" s="272"/>
      <c r="FK66" s="272"/>
      <c r="FL66" s="272"/>
      <c r="FM66" s="272"/>
      <c r="FN66" s="272"/>
      <c r="FO66" s="272"/>
      <c r="FP66" s="272"/>
      <c r="FQ66" s="272"/>
      <c r="FR66" s="272"/>
      <c r="FS66" s="272"/>
      <c r="FT66" s="272"/>
      <c r="FU66" s="272"/>
      <c r="FV66" s="272"/>
      <c r="FW66" s="272"/>
      <c r="FX66" s="272"/>
      <c r="FY66" s="272"/>
      <c r="FZ66" s="272"/>
      <c r="GA66" s="272"/>
      <c r="GB66" s="272"/>
      <c r="GC66" s="272"/>
      <c r="GD66" s="272"/>
      <c r="GE66" s="272"/>
      <c r="GF66" s="272"/>
      <c r="GG66" s="272"/>
      <c r="GH66" s="272"/>
      <c r="GI66" s="272"/>
      <c r="GJ66" s="272"/>
      <c r="GK66" s="272"/>
      <c r="GL66" s="272"/>
      <c r="GM66" s="272"/>
      <c r="GN66" s="272"/>
      <c r="GO66" s="272"/>
      <c r="GP66" s="272"/>
      <c r="GQ66" s="272"/>
      <c r="GR66" s="272"/>
      <c r="GS66" s="272"/>
      <c r="GT66" s="272"/>
      <c r="GU66" s="272"/>
      <c r="GV66" s="272"/>
      <c r="GW66" s="272"/>
      <c r="GX66" s="272"/>
      <c r="GY66" s="272"/>
      <c r="GZ66" s="272"/>
      <c r="HA66" s="272"/>
      <c r="HB66" s="272"/>
      <c r="HC66" s="272"/>
      <c r="HD66" s="272"/>
      <c r="HE66" s="272"/>
      <c r="HF66" s="272"/>
      <c r="HG66" s="272"/>
      <c r="HH66" s="272"/>
      <c r="HI66" s="272"/>
      <c r="HJ66" s="272"/>
      <c r="HK66" s="272"/>
      <c r="HL66" s="272"/>
      <c r="HM66" s="272"/>
      <c r="HN66" s="272"/>
      <c r="HO66" s="272"/>
      <c r="HP66" s="272"/>
      <c r="HQ66" s="272"/>
      <c r="HR66" s="272"/>
      <c r="HS66" s="272"/>
      <c r="HT66" s="272"/>
      <c r="HU66" s="272"/>
      <c r="HV66" s="272"/>
      <c r="HW66" s="272"/>
      <c r="HX66" s="272"/>
      <c r="HY66" s="272"/>
      <c r="HZ66" s="272"/>
      <c r="IA66" s="272"/>
      <c r="IB66" s="272"/>
      <c r="IC66" s="272"/>
      <c r="ID66" s="272"/>
      <c r="IE66" s="272"/>
      <c r="IF66" s="272"/>
      <c r="IG66" s="272"/>
      <c r="IH66" s="272"/>
      <c r="II66" s="272"/>
      <c r="IJ66" s="272"/>
      <c r="IK66" s="272"/>
      <c r="IL66" s="272"/>
      <c r="IM66" s="272"/>
      <c r="IN66" s="272"/>
      <c r="IO66" s="272"/>
      <c r="IP66" s="272"/>
      <c r="IQ66" s="272"/>
      <c r="IR66" s="272"/>
      <c r="IS66" s="272"/>
      <c r="IT66" s="272"/>
      <c r="IU66" s="272"/>
      <c r="IV66" s="272"/>
      <c r="IW66" s="272"/>
      <c r="IX66" s="272"/>
      <c r="IY66" s="272"/>
      <c r="IZ66" s="272"/>
      <c r="JA66" s="272"/>
      <c r="JB66" s="272"/>
      <c r="JC66" s="272"/>
      <c r="JD66" s="272"/>
      <c r="JE66" s="272"/>
      <c r="JF66" s="272"/>
      <c r="JG66" s="272"/>
      <c r="JH66" s="272"/>
      <c r="JI66" s="272"/>
      <c r="JJ66" s="272"/>
      <c r="JK66" s="272"/>
      <c r="JL66" s="272"/>
      <c r="JM66" s="272"/>
      <c r="JN66" s="272"/>
      <c r="JO66" s="272"/>
      <c r="JP66" s="272"/>
      <c r="JQ66" s="272"/>
      <c r="JR66" s="272"/>
      <c r="JS66" s="272"/>
      <c r="JT66" s="272"/>
      <c r="JU66" s="272"/>
      <c r="JV66" s="272"/>
      <c r="JW66" s="272"/>
      <c r="JX66" s="272"/>
      <c r="JY66" s="272"/>
      <c r="JZ66" s="272"/>
      <c r="KA66" s="272"/>
      <c r="KB66" s="272"/>
      <c r="KC66" s="272"/>
      <c r="KD66" s="272"/>
      <c r="KE66" s="272"/>
      <c r="KF66" s="272"/>
      <c r="KG66" s="272"/>
      <c r="KH66" s="272"/>
      <c r="KI66" s="272"/>
      <c r="KJ66" s="272"/>
      <c r="KK66" s="272"/>
      <c r="KL66" s="272"/>
      <c r="KM66" s="272"/>
      <c r="KN66" s="272"/>
      <c r="KO66" s="272"/>
      <c r="KP66" s="272"/>
      <c r="KQ66" s="272"/>
      <c r="KR66" s="272"/>
      <c r="KS66" s="272"/>
      <c r="KT66" s="272"/>
      <c r="KU66" s="272"/>
      <c r="KV66" s="272"/>
      <c r="KW66" s="272"/>
      <c r="KX66" s="272"/>
      <c r="KY66" s="272"/>
      <c r="KZ66" s="272"/>
      <c r="LA66" s="272"/>
      <c r="LB66" s="272"/>
      <c r="LC66" s="272"/>
      <c r="LD66" s="272"/>
      <c r="LE66" s="272"/>
      <c r="LF66" s="272"/>
      <c r="LG66" s="272"/>
      <c r="LH66" s="272"/>
      <c r="LI66" s="272"/>
      <c r="LJ66" s="272"/>
      <c r="LK66" s="272"/>
      <c r="LL66" s="272"/>
      <c r="LM66" s="272"/>
      <c r="LN66" s="272"/>
      <c r="LO66" s="272"/>
      <c r="LP66" s="272"/>
      <c r="LQ66" s="272"/>
      <c r="LR66" s="272"/>
      <c r="LS66" s="272"/>
      <c r="LT66" s="272"/>
      <c r="LU66" s="272"/>
      <c r="LV66" s="272"/>
      <c r="LW66" s="272"/>
      <c r="LX66" s="272"/>
      <c r="LY66" s="272"/>
      <c r="LZ66" s="272"/>
      <c r="MA66" s="272"/>
      <c r="MB66" s="272"/>
      <c r="MC66" s="272"/>
      <c r="MD66" s="272"/>
      <c r="ME66" s="272"/>
      <c r="MF66" s="272"/>
      <c r="MG66" s="272"/>
      <c r="MH66" s="272"/>
      <c r="MI66" s="272"/>
      <c r="MJ66" s="272"/>
      <c r="MK66" s="272"/>
      <c r="ML66" s="272"/>
      <c r="MM66" s="272"/>
      <c r="MN66" s="272"/>
      <c r="MO66" s="272"/>
      <c r="MP66" s="272"/>
      <c r="MQ66" s="272"/>
      <c r="MR66" s="272"/>
      <c r="MS66" s="272"/>
      <c r="MT66" s="272"/>
      <c r="MU66" s="272"/>
      <c r="MV66" s="272"/>
      <c r="MW66" s="272"/>
      <c r="MX66" s="272"/>
      <c r="MY66" s="272"/>
      <c r="MZ66" s="272"/>
      <c r="NA66" s="272"/>
      <c r="NB66" s="272"/>
      <c r="NC66" s="272"/>
      <c r="ND66" s="272"/>
      <c r="NE66" s="272"/>
      <c r="NF66" s="272"/>
      <c r="NG66" s="272"/>
      <c r="NH66" s="272"/>
      <c r="NI66" s="272"/>
      <c r="NJ66" s="272"/>
      <c r="NK66" s="272"/>
      <c r="NL66" s="272"/>
      <c r="NM66" s="272"/>
      <c r="NN66" s="272"/>
      <c r="NO66" s="272"/>
      <c r="NP66" s="272"/>
      <c r="NQ66" s="272"/>
      <c r="NR66" s="272"/>
      <c r="NS66" s="272"/>
      <c r="NT66" s="272"/>
      <c r="NU66" s="272"/>
      <c r="NV66" s="272"/>
      <c r="NW66" s="272"/>
      <c r="NX66" s="272"/>
      <c r="NY66" s="272"/>
      <c r="NZ66" s="272"/>
      <c r="OA66" s="272"/>
      <c r="OB66" s="272"/>
      <c r="OC66" s="272"/>
      <c r="OD66" s="272"/>
      <c r="OE66" s="272"/>
      <c r="OF66" s="272"/>
      <c r="OG66" s="272"/>
      <c r="OH66" s="272"/>
      <c r="OI66" s="272"/>
      <c r="OJ66" s="272"/>
      <c r="OK66" s="272"/>
      <c r="OL66" s="272"/>
      <c r="OM66" s="272"/>
      <c r="ON66" s="272"/>
      <c r="OO66" s="272"/>
      <c r="OP66" s="272"/>
      <c r="OQ66" s="272"/>
      <c r="OR66" s="272"/>
      <c r="OS66" s="272"/>
      <c r="OT66" s="272"/>
      <c r="OU66" s="272"/>
      <c r="OV66" s="272"/>
      <c r="OW66" s="272"/>
      <c r="OX66" s="272"/>
      <c r="OY66" s="272"/>
      <c r="OZ66" s="272"/>
      <c r="PA66" s="272"/>
      <c r="PB66" s="272"/>
      <c r="PC66" s="272"/>
      <c r="PD66" s="272"/>
      <c r="PE66" s="272"/>
      <c r="PF66" s="272"/>
      <c r="PG66" s="272"/>
      <c r="PH66" s="272"/>
      <c r="PI66" s="272"/>
      <c r="PJ66" s="272"/>
      <c r="PK66" s="272"/>
      <c r="PL66" s="272"/>
      <c r="PM66" s="272"/>
      <c r="PN66" s="272"/>
      <c r="PO66" s="272"/>
      <c r="PP66" s="272"/>
      <c r="PQ66" s="272"/>
      <c r="PR66" s="272"/>
      <c r="PS66" s="272"/>
      <c r="PT66" s="272"/>
      <c r="PU66" s="272"/>
      <c r="PV66" s="272"/>
      <c r="PW66" s="272"/>
      <c r="PX66" s="272"/>
      <c r="PY66" s="272"/>
      <c r="PZ66" s="272"/>
      <c r="QA66" s="272"/>
      <c r="QB66" s="272"/>
      <c r="QC66" s="272"/>
      <c r="QD66" s="272"/>
      <c r="QE66" s="272"/>
      <c r="QF66" s="272"/>
      <c r="QG66" s="272"/>
      <c r="QH66" s="272"/>
      <c r="QI66" s="272"/>
      <c r="QJ66" s="272"/>
      <c r="QK66" s="272"/>
      <c r="QL66" s="272"/>
      <c r="QM66" s="272"/>
      <c r="QN66" s="272"/>
      <c r="QO66" s="272"/>
      <c r="QP66" s="272"/>
      <c r="QQ66" s="272"/>
      <c r="QR66" s="272"/>
      <c r="QS66" s="272"/>
      <c r="QT66" s="272"/>
      <c r="QU66" s="272"/>
      <c r="QV66" s="272"/>
      <c r="QW66" s="272"/>
      <c r="QX66" s="272"/>
      <c r="QY66" s="272"/>
      <c r="QZ66" s="272"/>
      <c r="RA66" s="272"/>
      <c r="RB66" s="272"/>
      <c r="RC66" s="272"/>
      <c r="RD66" s="272"/>
      <c r="RE66" s="272"/>
      <c r="RF66" s="272"/>
      <c r="RG66" s="272"/>
      <c r="RH66" s="272"/>
      <c r="RI66" s="272"/>
      <c r="RJ66" s="272"/>
      <c r="RK66" s="272"/>
      <c r="RL66" s="272"/>
      <c r="RM66" s="272"/>
      <c r="RN66" s="272"/>
      <c r="RO66" s="272"/>
      <c r="RP66" s="272"/>
      <c r="RQ66" s="272"/>
      <c r="RR66" s="272"/>
      <c r="RS66" s="272"/>
      <c r="RT66" s="272"/>
      <c r="RU66" s="272"/>
      <c r="RV66" s="272"/>
      <c r="RW66" s="272"/>
      <c r="RX66" s="272"/>
      <c r="RY66" s="272"/>
      <c r="RZ66" s="272"/>
      <c r="SA66" s="272"/>
      <c r="SB66" s="272"/>
      <c r="SC66" s="272"/>
      <c r="SD66" s="272"/>
      <c r="SE66" s="272"/>
      <c r="SF66" s="272"/>
      <c r="SG66" s="272"/>
      <c r="SH66" s="272"/>
      <c r="SI66" s="272"/>
      <c r="SJ66" s="272"/>
      <c r="SK66" s="272"/>
      <c r="SL66" s="272"/>
      <c r="SM66" s="272"/>
      <c r="SN66" s="272"/>
      <c r="SO66" s="272"/>
      <c r="SP66" s="272"/>
      <c r="SQ66" s="272"/>
      <c r="SR66" s="272"/>
      <c r="SS66" s="272"/>
      <c r="ST66" s="272"/>
      <c r="SU66" s="272"/>
      <c r="SV66" s="272"/>
      <c r="SW66" s="272"/>
      <c r="SX66" s="272"/>
      <c r="SY66" s="272"/>
      <c r="SZ66" s="272"/>
      <c r="TA66" s="272"/>
      <c r="TB66" s="272"/>
      <c r="TC66" s="272"/>
      <c r="TD66" s="272"/>
      <c r="TE66" s="272"/>
      <c r="TF66" s="272"/>
      <c r="TG66" s="272"/>
      <c r="TH66" s="272"/>
      <c r="TI66" s="272"/>
      <c r="TJ66" s="272"/>
      <c r="TK66" s="272"/>
      <c r="TL66" s="272"/>
      <c r="TM66" s="272"/>
      <c r="TN66" s="272"/>
      <c r="TO66" s="272"/>
      <c r="TP66" s="272"/>
      <c r="TQ66" s="272"/>
      <c r="TR66" s="272"/>
      <c r="TS66" s="272"/>
      <c r="TT66" s="272"/>
      <c r="TU66" s="272"/>
      <c r="TV66" s="272"/>
      <c r="TW66" s="272"/>
      <c r="TX66" s="272"/>
      <c r="TY66" s="272"/>
      <c r="TZ66" s="272"/>
      <c r="UA66" s="272"/>
      <c r="UB66" s="272"/>
      <c r="UC66" s="272"/>
      <c r="UD66" s="272"/>
      <c r="UE66" s="272"/>
      <c r="UF66" s="272"/>
      <c r="UG66" s="272"/>
      <c r="UH66" s="272"/>
      <c r="UI66" s="272"/>
      <c r="UJ66" s="272"/>
      <c r="UK66" s="272"/>
      <c r="UL66" s="272"/>
      <c r="UM66" s="272"/>
      <c r="UN66" s="272"/>
      <c r="UO66" s="272"/>
      <c r="UP66" s="272"/>
      <c r="UQ66" s="272"/>
      <c r="UR66" s="272"/>
      <c r="US66" s="272"/>
      <c r="UT66" s="272"/>
      <c r="UU66" s="272"/>
      <c r="UV66" s="272"/>
      <c r="UW66" s="272"/>
      <c r="UX66" s="272"/>
      <c r="UY66" s="272"/>
      <c r="UZ66" s="272"/>
      <c r="VA66" s="272"/>
      <c r="VB66" s="272"/>
      <c r="VC66" s="272"/>
      <c r="VD66" s="272"/>
      <c r="VE66" s="272"/>
      <c r="VF66" s="272"/>
      <c r="VG66" s="272"/>
      <c r="VH66" s="272"/>
      <c r="VI66" s="272"/>
      <c r="VJ66" s="272"/>
      <c r="VK66" s="272"/>
      <c r="VL66" s="272"/>
      <c r="VM66" s="272"/>
      <c r="VN66" s="272"/>
      <c r="VO66" s="272"/>
      <c r="VP66" s="272"/>
      <c r="VQ66" s="272"/>
      <c r="VR66" s="272"/>
      <c r="VS66" s="272"/>
      <c r="VT66" s="272"/>
      <c r="VU66" s="272"/>
      <c r="VV66" s="272"/>
      <c r="VW66" s="272"/>
      <c r="VX66" s="272"/>
      <c r="VY66" s="272"/>
      <c r="VZ66" s="272"/>
      <c r="WA66" s="272"/>
      <c r="WB66" s="272"/>
      <c r="WC66" s="272"/>
      <c r="WD66" s="272"/>
      <c r="WE66" s="272"/>
      <c r="WF66" s="272"/>
      <c r="WG66" s="272"/>
      <c r="WH66" s="272"/>
      <c r="WI66" s="272"/>
      <c r="WJ66" s="272"/>
      <c r="WK66" s="272"/>
      <c r="WL66" s="272"/>
      <c r="WM66" s="272"/>
      <c r="WN66" s="272"/>
      <c r="WO66" s="272"/>
      <c r="WP66" s="272"/>
      <c r="WQ66" s="272"/>
      <c r="WR66" s="272"/>
      <c r="WS66" s="272"/>
      <c r="WT66" s="272"/>
      <c r="WU66" s="272"/>
      <c r="WV66" s="272"/>
      <c r="WW66" s="272"/>
      <c r="WX66" s="272"/>
      <c r="WY66" s="272"/>
      <c r="WZ66" s="272"/>
      <c r="XA66" s="272"/>
      <c r="XB66" s="272"/>
      <c r="XC66" s="272"/>
      <c r="XD66" s="272"/>
      <c r="XE66" s="272"/>
      <c r="XF66" s="272"/>
      <c r="XG66" s="272"/>
      <c r="XH66" s="272"/>
      <c r="XI66" s="272"/>
      <c r="XJ66" s="272"/>
      <c r="XK66" s="272"/>
      <c r="XL66" s="272"/>
      <c r="XM66" s="272"/>
      <c r="XN66" s="272"/>
      <c r="XO66" s="272"/>
      <c r="XP66" s="272"/>
      <c r="XQ66" s="272"/>
      <c r="XR66" s="272"/>
      <c r="XS66" s="272"/>
      <c r="XT66" s="272"/>
      <c r="XU66" s="272"/>
      <c r="XV66" s="272"/>
      <c r="XW66" s="272"/>
      <c r="XX66" s="272"/>
      <c r="XY66" s="272"/>
      <c r="XZ66" s="272"/>
      <c r="YA66" s="272"/>
      <c r="YB66" s="272"/>
      <c r="YC66" s="272"/>
      <c r="YD66" s="272"/>
      <c r="YE66" s="272"/>
      <c r="YF66" s="272"/>
      <c r="YG66" s="272"/>
      <c r="YH66" s="272"/>
      <c r="YI66" s="272"/>
      <c r="YJ66" s="272"/>
      <c r="YK66" s="272"/>
      <c r="YL66" s="272"/>
      <c r="YM66" s="272"/>
      <c r="YN66" s="272"/>
      <c r="YO66" s="272"/>
      <c r="YP66" s="272"/>
      <c r="YQ66" s="272"/>
      <c r="YR66" s="272"/>
      <c r="YS66" s="272"/>
      <c r="YT66" s="272"/>
      <c r="YU66" s="272"/>
      <c r="YV66" s="272"/>
      <c r="YW66" s="272"/>
      <c r="YX66" s="272"/>
      <c r="YY66" s="272"/>
      <c r="YZ66" s="272"/>
      <c r="ZA66" s="272"/>
      <c r="ZB66" s="272"/>
      <c r="ZC66" s="272"/>
      <c r="ZD66" s="272"/>
      <c r="ZE66" s="272"/>
      <c r="ZF66" s="272"/>
      <c r="ZG66" s="272"/>
      <c r="ZH66" s="272"/>
      <c r="ZI66" s="272"/>
      <c r="ZJ66" s="272"/>
      <c r="ZK66" s="272"/>
      <c r="ZL66" s="272"/>
      <c r="ZM66" s="272"/>
      <c r="ZN66" s="272"/>
      <c r="ZO66" s="272"/>
      <c r="ZP66" s="272"/>
      <c r="ZQ66" s="272"/>
      <c r="ZR66" s="272"/>
      <c r="ZS66" s="272"/>
      <c r="ZT66" s="272"/>
    </row>
    <row r="67" spans="1:696" s="62" customFormat="1" ht="13.5" thickBot="1">
      <c r="A67" s="50"/>
      <c r="B67" s="73"/>
      <c r="C67" s="28" t="s">
        <v>54</v>
      </c>
      <c r="D67" s="508"/>
      <c r="E67" s="534"/>
      <c r="F67" s="514"/>
      <c r="G67" s="515"/>
      <c r="H67" s="515"/>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c r="DJ67" s="272"/>
      <c r="DK67" s="272"/>
      <c r="DL67" s="272"/>
      <c r="DM67" s="272"/>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c r="EO67" s="272"/>
      <c r="EP67" s="272"/>
      <c r="EQ67" s="272"/>
      <c r="ER67" s="272"/>
      <c r="ES67" s="272"/>
      <c r="ET67" s="272"/>
      <c r="EU67" s="272"/>
      <c r="EV67" s="272"/>
      <c r="EW67" s="272"/>
      <c r="EX67" s="272"/>
      <c r="EY67" s="272"/>
      <c r="EZ67" s="272"/>
      <c r="FA67" s="272"/>
      <c r="FB67" s="272"/>
      <c r="FC67" s="272"/>
      <c r="FD67" s="272"/>
      <c r="FE67" s="272"/>
      <c r="FF67" s="272"/>
      <c r="FG67" s="272"/>
      <c r="FH67" s="272"/>
      <c r="FI67" s="272"/>
      <c r="FJ67" s="272"/>
      <c r="FK67" s="272"/>
      <c r="FL67" s="272"/>
      <c r="FM67" s="272"/>
      <c r="FN67" s="272"/>
      <c r="FO67" s="272"/>
      <c r="FP67" s="272"/>
      <c r="FQ67" s="272"/>
      <c r="FR67" s="272"/>
      <c r="FS67" s="272"/>
      <c r="FT67" s="272"/>
      <c r="FU67" s="272"/>
      <c r="FV67" s="272"/>
      <c r="FW67" s="272"/>
      <c r="FX67" s="272"/>
      <c r="FY67" s="272"/>
      <c r="FZ67" s="272"/>
      <c r="GA67" s="272"/>
      <c r="GB67" s="272"/>
      <c r="GC67" s="272"/>
      <c r="GD67" s="272"/>
      <c r="GE67" s="272"/>
      <c r="GF67" s="272"/>
      <c r="GG67" s="272"/>
      <c r="GH67" s="272"/>
      <c r="GI67" s="272"/>
      <c r="GJ67" s="272"/>
      <c r="GK67" s="272"/>
      <c r="GL67" s="272"/>
      <c r="GM67" s="272"/>
      <c r="GN67" s="272"/>
      <c r="GO67" s="272"/>
      <c r="GP67" s="272"/>
      <c r="GQ67" s="272"/>
      <c r="GR67" s="272"/>
      <c r="GS67" s="272"/>
      <c r="GT67" s="272"/>
      <c r="GU67" s="272"/>
      <c r="GV67" s="272"/>
      <c r="GW67" s="272"/>
      <c r="GX67" s="272"/>
      <c r="GY67" s="272"/>
      <c r="GZ67" s="272"/>
      <c r="HA67" s="272"/>
      <c r="HB67" s="272"/>
      <c r="HC67" s="272"/>
      <c r="HD67" s="272"/>
      <c r="HE67" s="272"/>
      <c r="HF67" s="272"/>
      <c r="HG67" s="272"/>
      <c r="HH67" s="272"/>
      <c r="HI67" s="272"/>
      <c r="HJ67" s="272"/>
      <c r="HK67" s="272"/>
      <c r="HL67" s="272"/>
      <c r="HM67" s="272"/>
      <c r="HN67" s="272"/>
      <c r="HO67" s="272"/>
      <c r="HP67" s="272"/>
      <c r="HQ67" s="272"/>
      <c r="HR67" s="272"/>
      <c r="HS67" s="272"/>
      <c r="HT67" s="272"/>
      <c r="HU67" s="272"/>
      <c r="HV67" s="272"/>
      <c r="HW67" s="272"/>
      <c r="HX67" s="272"/>
      <c r="HY67" s="272"/>
      <c r="HZ67" s="272"/>
      <c r="IA67" s="272"/>
      <c r="IB67" s="272"/>
      <c r="IC67" s="272"/>
      <c r="ID67" s="272"/>
      <c r="IE67" s="272"/>
      <c r="IF67" s="272"/>
      <c r="IG67" s="272"/>
      <c r="IH67" s="272"/>
      <c r="II67" s="272"/>
      <c r="IJ67" s="272"/>
      <c r="IK67" s="272"/>
      <c r="IL67" s="272"/>
      <c r="IM67" s="272"/>
      <c r="IN67" s="272"/>
      <c r="IO67" s="272"/>
      <c r="IP67" s="272"/>
      <c r="IQ67" s="272"/>
      <c r="IR67" s="272"/>
      <c r="IS67" s="272"/>
      <c r="IT67" s="272"/>
      <c r="IU67" s="272"/>
      <c r="IV67" s="272"/>
      <c r="IW67" s="272"/>
      <c r="IX67" s="272"/>
      <c r="IY67" s="272"/>
      <c r="IZ67" s="272"/>
      <c r="JA67" s="272"/>
      <c r="JB67" s="272"/>
      <c r="JC67" s="272"/>
      <c r="JD67" s="272"/>
      <c r="JE67" s="272"/>
      <c r="JF67" s="272"/>
      <c r="JG67" s="272"/>
      <c r="JH67" s="272"/>
      <c r="JI67" s="272"/>
      <c r="JJ67" s="272"/>
      <c r="JK67" s="272"/>
      <c r="JL67" s="272"/>
      <c r="JM67" s="272"/>
      <c r="JN67" s="272"/>
      <c r="JO67" s="272"/>
      <c r="JP67" s="272"/>
      <c r="JQ67" s="272"/>
      <c r="JR67" s="272"/>
      <c r="JS67" s="272"/>
      <c r="JT67" s="272"/>
      <c r="JU67" s="272"/>
      <c r="JV67" s="272"/>
      <c r="JW67" s="272"/>
      <c r="JX67" s="272"/>
      <c r="JY67" s="272"/>
      <c r="JZ67" s="272"/>
      <c r="KA67" s="272"/>
      <c r="KB67" s="272"/>
      <c r="KC67" s="272"/>
      <c r="KD67" s="272"/>
      <c r="KE67" s="272"/>
      <c r="KF67" s="272"/>
      <c r="KG67" s="272"/>
      <c r="KH67" s="272"/>
      <c r="KI67" s="272"/>
      <c r="KJ67" s="272"/>
      <c r="KK67" s="272"/>
      <c r="KL67" s="272"/>
      <c r="KM67" s="272"/>
      <c r="KN67" s="272"/>
      <c r="KO67" s="272"/>
      <c r="KP67" s="272"/>
      <c r="KQ67" s="272"/>
      <c r="KR67" s="272"/>
      <c r="KS67" s="272"/>
      <c r="KT67" s="272"/>
      <c r="KU67" s="272"/>
      <c r="KV67" s="272"/>
      <c r="KW67" s="272"/>
      <c r="KX67" s="272"/>
      <c r="KY67" s="272"/>
      <c r="KZ67" s="272"/>
      <c r="LA67" s="272"/>
      <c r="LB67" s="272"/>
      <c r="LC67" s="272"/>
      <c r="LD67" s="272"/>
      <c r="LE67" s="272"/>
      <c r="LF67" s="272"/>
      <c r="LG67" s="272"/>
      <c r="LH67" s="272"/>
      <c r="LI67" s="272"/>
      <c r="LJ67" s="272"/>
      <c r="LK67" s="272"/>
      <c r="LL67" s="272"/>
      <c r="LM67" s="272"/>
      <c r="LN67" s="272"/>
      <c r="LO67" s="272"/>
      <c r="LP67" s="272"/>
      <c r="LQ67" s="272"/>
      <c r="LR67" s="272"/>
      <c r="LS67" s="272"/>
      <c r="LT67" s="272"/>
      <c r="LU67" s="272"/>
      <c r="LV67" s="272"/>
      <c r="LW67" s="272"/>
      <c r="LX67" s="272"/>
      <c r="LY67" s="272"/>
      <c r="LZ67" s="272"/>
      <c r="MA67" s="272"/>
      <c r="MB67" s="272"/>
      <c r="MC67" s="272"/>
      <c r="MD67" s="272"/>
      <c r="ME67" s="272"/>
      <c r="MF67" s="272"/>
      <c r="MG67" s="272"/>
      <c r="MH67" s="272"/>
      <c r="MI67" s="272"/>
      <c r="MJ67" s="272"/>
      <c r="MK67" s="272"/>
      <c r="ML67" s="272"/>
      <c r="MM67" s="272"/>
      <c r="MN67" s="272"/>
      <c r="MO67" s="272"/>
      <c r="MP67" s="272"/>
      <c r="MQ67" s="272"/>
      <c r="MR67" s="272"/>
      <c r="MS67" s="272"/>
      <c r="MT67" s="272"/>
      <c r="MU67" s="272"/>
      <c r="MV67" s="272"/>
      <c r="MW67" s="272"/>
      <c r="MX67" s="272"/>
      <c r="MY67" s="272"/>
      <c r="MZ67" s="272"/>
      <c r="NA67" s="272"/>
      <c r="NB67" s="272"/>
      <c r="NC67" s="272"/>
      <c r="ND67" s="272"/>
      <c r="NE67" s="272"/>
      <c r="NF67" s="272"/>
      <c r="NG67" s="272"/>
      <c r="NH67" s="272"/>
      <c r="NI67" s="272"/>
      <c r="NJ67" s="272"/>
      <c r="NK67" s="272"/>
      <c r="NL67" s="272"/>
      <c r="NM67" s="272"/>
      <c r="NN67" s="272"/>
      <c r="NO67" s="272"/>
      <c r="NP67" s="272"/>
      <c r="NQ67" s="272"/>
      <c r="NR67" s="272"/>
      <c r="NS67" s="272"/>
      <c r="NT67" s="272"/>
      <c r="NU67" s="272"/>
      <c r="NV67" s="272"/>
      <c r="NW67" s="272"/>
      <c r="NX67" s="272"/>
      <c r="NY67" s="272"/>
      <c r="NZ67" s="272"/>
      <c r="OA67" s="272"/>
      <c r="OB67" s="272"/>
      <c r="OC67" s="272"/>
      <c r="OD67" s="272"/>
      <c r="OE67" s="272"/>
      <c r="OF67" s="272"/>
      <c r="OG67" s="272"/>
      <c r="OH67" s="272"/>
      <c r="OI67" s="272"/>
      <c r="OJ67" s="272"/>
      <c r="OK67" s="272"/>
      <c r="OL67" s="272"/>
      <c r="OM67" s="272"/>
      <c r="ON67" s="272"/>
      <c r="OO67" s="272"/>
      <c r="OP67" s="272"/>
      <c r="OQ67" s="272"/>
      <c r="OR67" s="272"/>
      <c r="OS67" s="272"/>
      <c r="OT67" s="272"/>
      <c r="OU67" s="272"/>
      <c r="OV67" s="272"/>
      <c r="OW67" s="272"/>
      <c r="OX67" s="272"/>
      <c r="OY67" s="272"/>
      <c r="OZ67" s="272"/>
      <c r="PA67" s="272"/>
      <c r="PB67" s="272"/>
      <c r="PC67" s="272"/>
      <c r="PD67" s="272"/>
      <c r="PE67" s="272"/>
      <c r="PF67" s="272"/>
      <c r="PG67" s="272"/>
      <c r="PH67" s="272"/>
      <c r="PI67" s="272"/>
      <c r="PJ67" s="272"/>
      <c r="PK67" s="272"/>
      <c r="PL67" s="272"/>
      <c r="PM67" s="272"/>
      <c r="PN67" s="272"/>
      <c r="PO67" s="272"/>
      <c r="PP67" s="272"/>
      <c r="PQ67" s="272"/>
      <c r="PR67" s="272"/>
      <c r="PS67" s="272"/>
      <c r="PT67" s="272"/>
      <c r="PU67" s="272"/>
      <c r="PV67" s="272"/>
      <c r="PW67" s="272"/>
      <c r="PX67" s="272"/>
      <c r="PY67" s="272"/>
      <c r="PZ67" s="272"/>
      <c r="QA67" s="272"/>
      <c r="QB67" s="272"/>
      <c r="QC67" s="272"/>
      <c r="QD67" s="272"/>
      <c r="QE67" s="272"/>
      <c r="QF67" s="272"/>
      <c r="QG67" s="272"/>
      <c r="QH67" s="272"/>
      <c r="QI67" s="272"/>
      <c r="QJ67" s="272"/>
      <c r="QK67" s="272"/>
      <c r="QL67" s="272"/>
      <c r="QM67" s="272"/>
      <c r="QN67" s="272"/>
      <c r="QO67" s="272"/>
      <c r="QP67" s="272"/>
      <c r="QQ67" s="272"/>
      <c r="QR67" s="272"/>
      <c r="QS67" s="272"/>
      <c r="QT67" s="272"/>
      <c r="QU67" s="272"/>
      <c r="QV67" s="272"/>
      <c r="QW67" s="272"/>
      <c r="QX67" s="272"/>
      <c r="QY67" s="272"/>
      <c r="QZ67" s="272"/>
      <c r="RA67" s="272"/>
      <c r="RB67" s="272"/>
      <c r="RC67" s="272"/>
      <c r="RD67" s="272"/>
      <c r="RE67" s="272"/>
      <c r="RF67" s="272"/>
      <c r="RG67" s="272"/>
      <c r="RH67" s="272"/>
      <c r="RI67" s="272"/>
      <c r="RJ67" s="272"/>
      <c r="RK67" s="272"/>
      <c r="RL67" s="272"/>
      <c r="RM67" s="272"/>
      <c r="RN67" s="272"/>
      <c r="RO67" s="272"/>
      <c r="RP67" s="272"/>
      <c r="RQ67" s="272"/>
      <c r="RR67" s="272"/>
      <c r="RS67" s="272"/>
      <c r="RT67" s="272"/>
      <c r="RU67" s="272"/>
      <c r="RV67" s="272"/>
      <c r="RW67" s="272"/>
      <c r="RX67" s="272"/>
      <c r="RY67" s="272"/>
      <c r="RZ67" s="272"/>
      <c r="SA67" s="272"/>
      <c r="SB67" s="272"/>
      <c r="SC67" s="272"/>
      <c r="SD67" s="272"/>
      <c r="SE67" s="272"/>
      <c r="SF67" s="272"/>
      <c r="SG67" s="272"/>
      <c r="SH67" s="272"/>
      <c r="SI67" s="272"/>
      <c r="SJ67" s="272"/>
      <c r="SK67" s="272"/>
      <c r="SL67" s="272"/>
      <c r="SM67" s="272"/>
      <c r="SN67" s="272"/>
      <c r="SO67" s="272"/>
      <c r="SP67" s="272"/>
      <c r="SQ67" s="272"/>
      <c r="SR67" s="272"/>
      <c r="SS67" s="272"/>
      <c r="ST67" s="272"/>
      <c r="SU67" s="272"/>
      <c r="SV67" s="272"/>
      <c r="SW67" s="272"/>
      <c r="SX67" s="272"/>
      <c r="SY67" s="272"/>
      <c r="SZ67" s="272"/>
      <c r="TA67" s="272"/>
      <c r="TB67" s="272"/>
      <c r="TC67" s="272"/>
      <c r="TD67" s="272"/>
      <c r="TE67" s="272"/>
      <c r="TF67" s="272"/>
      <c r="TG67" s="272"/>
      <c r="TH67" s="272"/>
      <c r="TI67" s="272"/>
      <c r="TJ67" s="272"/>
      <c r="TK67" s="272"/>
      <c r="TL67" s="272"/>
      <c r="TM67" s="272"/>
      <c r="TN67" s="272"/>
      <c r="TO67" s="272"/>
      <c r="TP67" s="272"/>
      <c r="TQ67" s="272"/>
      <c r="TR67" s="272"/>
      <c r="TS67" s="272"/>
      <c r="TT67" s="272"/>
      <c r="TU67" s="272"/>
      <c r="TV67" s="272"/>
      <c r="TW67" s="272"/>
      <c r="TX67" s="272"/>
      <c r="TY67" s="272"/>
      <c r="TZ67" s="272"/>
      <c r="UA67" s="272"/>
      <c r="UB67" s="272"/>
      <c r="UC67" s="272"/>
      <c r="UD67" s="272"/>
      <c r="UE67" s="272"/>
      <c r="UF67" s="272"/>
      <c r="UG67" s="272"/>
      <c r="UH67" s="272"/>
      <c r="UI67" s="272"/>
      <c r="UJ67" s="272"/>
      <c r="UK67" s="272"/>
      <c r="UL67" s="272"/>
      <c r="UM67" s="272"/>
      <c r="UN67" s="272"/>
      <c r="UO67" s="272"/>
      <c r="UP67" s="272"/>
      <c r="UQ67" s="272"/>
      <c r="UR67" s="272"/>
      <c r="US67" s="272"/>
      <c r="UT67" s="272"/>
      <c r="UU67" s="272"/>
      <c r="UV67" s="272"/>
      <c r="UW67" s="272"/>
      <c r="UX67" s="272"/>
      <c r="UY67" s="272"/>
      <c r="UZ67" s="272"/>
      <c r="VA67" s="272"/>
      <c r="VB67" s="272"/>
      <c r="VC67" s="272"/>
      <c r="VD67" s="272"/>
      <c r="VE67" s="272"/>
      <c r="VF67" s="272"/>
      <c r="VG67" s="272"/>
      <c r="VH67" s="272"/>
      <c r="VI67" s="272"/>
      <c r="VJ67" s="272"/>
      <c r="VK67" s="272"/>
      <c r="VL67" s="272"/>
      <c r="VM67" s="272"/>
      <c r="VN67" s="272"/>
      <c r="VO67" s="272"/>
      <c r="VP67" s="272"/>
      <c r="VQ67" s="272"/>
      <c r="VR67" s="272"/>
      <c r="VS67" s="272"/>
      <c r="VT67" s="272"/>
      <c r="VU67" s="272"/>
      <c r="VV67" s="272"/>
      <c r="VW67" s="272"/>
      <c r="VX67" s="272"/>
      <c r="VY67" s="272"/>
      <c r="VZ67" s="272"/>
      <c r="WA67" s="272"/>
      <c r="WB67" s="272"/>
      <c r="WC67" s="272"/>
      <c r="WD67" s="272"/>
      <c r="WE67" s="272"/>
      <c r="WF67" s="272"/>
      <c r="WG67" s="272"/>
      <c r="WH67" s="272"/>
      <c r="WI67" s="272"/>
      <c r="WJ67" s="272"/>
      <c r="WK67" s="272"/>
      <c r="WL67" s="272"/>
      <c r="WM67" s="272"/>
      <c r="WN67" s="272"/>
      <c r="WO67" s="272"/>
      <c r="WP67" s="272"/>
      <c r="WQ67" s="272"/>
      <c r="WR67" s="272"/>
      <c r="WS67" s="272"/>
      <c r="WT67" s="272"/>
      <c r="WU67" s="272"/>
      <c r="WV67" s="272"/>
      <c r="WW67" s="272"/>
      <c r="WX67" s="272"/>
      <c r="WY67" s="272"/>
      <c r="WZ67" s="272"/>
      <c r="XA67" s="272"/>
      <c r="XB67" s="272"/>
      <c r="XC67" s="272"/>
      <c r="XD67" s="272"/>
      <c r="XE67" s="272"/>
      <c r="XF67" s="272"/>
      <c r="XG67" s="272"/>
      <c r="XH67" s="272"/>
      <c r="XI67" s="272"/>
      <c r="XJ67" s="272"/>
      <c r="XK67" s="272"/>
      <c r="XL67" s="272"/>
      <c r="XM67" s="272"/>
      <c r="XN67" s="272"/>
      <c r="XO67" s="272"/>
      <c r="XP67" s="272"/>
      <c r="XQ67" s="272"/>
      <c r="XR67" s="272"/>
      <c r="XS67" s="272"/>
      <c r="XT67" s="272"/>
      <c r="XU67" s="272"/>
      <c r="XV67" s="272"/>
      <c r="XW67" s="272"/>
      <c r="XX67" s="272"/>
      <c r="XY67" s="272"/>
      <c r="XZ67" s="272"/>
      <c r="YA67" s="272"/>
      <c r="YB67" s="272"/>
      <c r="YC67" s="272"/>
      <c r="YD67" s="272"/>
      <c r="YE67" s="272"/>
      <c r="YF67" s="272"/>
      <c r="YG67" s="272"/>
      <c r="YH67" s="272"/>
      <c r="YI67" s="272"/>
      <c r="YJ67" s="272"/>
      <c r="YK67" s="272"/>
      <c r="YL67" s="272"/>
      <c r="YM67" s="272"/>
      <c r="YN67" s="272"/>
      <c r="YO67" s="272"/>
      <c r="YP67" s="272"/>
      <c r="YQ67" s="272"/>
      <c r="YR67" s="272"/>
      <c r="YS67" s="272"/>
      <c r="YT67" s="272"/>
      <c r="YU67" s="272"/>
      <c r="YV67" s="272"/>
      <c r="YW67" s="272"/>
      <c r="YX67" s="272"/>
      <c r="YY67" s="272"/>
      <c r="YZ67" s="272"/>
      <c r="ZA67" s="272"/>
      <c r="ZB67" s="272"/>
      <c r="ZC67" s="272"/>
      <c r="ZD67" s="272"/>
      <c r="ZE67" s="272"/>
      <c r="ZF67" s="272"/>
      <c r="ZG67" s="272"/>
      <c r="ZH67" s="272"/>
      <c r="ZI67" s="272"/>
      <c r="ZJ67" s="272"/>
      <c r="ZK67" s="272"/>
      <c r="ZL67" s="272"/>
      <c r="ZM67" s="272"/>
      <c r="ZN67" s="272"/>
      <c r="ZO67" s="272"/>
      <c r="ZP67" s="272"/>
      <c r="ZQ67" s="272"/>
      <c r="ZR67" s="272"/>
      <c r="ZS67" s="272"/>
      <c r="ZT67" s="272"/>
    </row>
    <row r="68" spans="1:696" s="61" customFormat="1" ht="52.5" customHeight="1">
      <c r="A68" s="69" t="s">
        <v>69</v>
      </c>
      <c r="B68" s="70" t="s">
        <v>29</v>
      </c>
      <c r="C68" s="30" t="s">
        <v>52</v>
      </c>
      <c r="D68" s="501"/>
      <c r="E68" s="531"/>
      <c r="F68" s="502"/>
      <c r="G68" s="503"/>
      <c r="H68" s="503"/>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c r="DJ68" s="272"/>
      <c r="DK68" s="272"/>
      <c r="DL68" s="272"/>
      <c r="DM68" s="272"/>
      <c r="DN68" s="272"/>
      <c r="DO68" s="272"/>
      <c r="DP68" s="272"/>
      <c r="DQ68" s="272"/>
      <c r="DR68" s="272"/>
      <c r="DS68" s="272"/>
      <c r="DT68" s="272"/>
      <c r="DU68" s="272"/>
      <c r="DV68" s="272"/>
      <c r="DW68" s="272"/>
      <c r="DX68" s="272"/>
      <c r="DY68" s="272"/>
      <c r="DZ68" s="272"/>
      <c r="EA68" s="272"/>
      <c r="EB68" s="272"/>
      <c r="EC68" s="272"/>
      <c r="ED68" s="272"/>
      <c r="EE68" s="272"/>
      <c r="EF68" s="272"/>
      <c r="EG68" s="272"/>
      <c r="EH68" s="272"/>
      <c r="EI68" s="272"/>
      <c r="EJ68" s="272"/>
      <c r="EK68" s="272"/>
      <c r="EL68" s="272"/>
      <c r="EM68" s="272"/>
      <c r="EN68" s="272"/>
      <c r="EO68" s="272"/>
      <c r="EP68" s="272"/>
      <c r="EQ68" s="272"/>
      <c r="ER68" s="272"/>
      <c r="ES68" s="272"/>
      <c r="ET68" s="272"/>
      <c r="EU68" s="272"/>
      <c r="EV68" s="272"/>
      <c r="EW68" s="272"/>
      <c r="EX68" s="272"/>
      <c r="EY68" s="272"/>
      <c r="EZ68" s="272"/>
      <c r="FA68" s="272"/>
      <c r="FB68" s="272"/>
      <c r="FC68" s="272"/>
      <c r="FD68" s="272"/>
      <c r="FE68" s="272"/>
      <c r="FF68" s="272"/>
      <c r="FG68" s="272"/>
      <c r="FH68" s="272"/>
      <c r="FI68" s="272"/>
      <c r="FJ68" s="272"/>
      <c r="FK68" s="272"/>
      <c r="FL68" s="272"/>
      <c r="FM68" s="272"/>
      <c r="FN68" s="272"/>
      <c r="FO68" s="272"/>
      <c r="FP68" s="272"/>
      <c r="FQ68" s="272"/>
      <c r="FR68" s="272"/>
      <c r="FS68" s="272"/>
      <c r="FT68" s="272"/>
      <c r="FU68" s="272"/>
      <c r="FV68" s="272"/>
      <c r="FW68" s="272"/>
      <c r="FX68" s="272"/>
      <c r="FY68" s="272"/>
      <c r="FZ68" s="272"/>
      <c r="GA68" s="272"/>
      <c r="GB68" s="272"/>
      <c r="GC68" s="272"/>
      <c r="GD68" s="272"/>
      <c r="GE68" s="272"/>
      <c r="GF68" s="272"/>
      <c r="GG68" s="272"/>
      <c r="GH68" s="272"/>
      <c r="GI68" s="272"/>
      <c r="GJ68" s="272"/>
      <c r="GK68" s="272"/>
      <c r="GL68" s="272"/>
      <c r="GM68" s="272"/>
      <c r="GN68" s="272"/>
      <c r="GO68" s="272"/>
      <c r="GP68" s="272"/>
      <c r="GQ68" s="272"/>
      <c r="GR68" s="272"/>
      <c r="GS68" s="272"/>
      <c r="GT68" s="272"/>
      <c r="GU68" s="272"/>
      <c r="GV68" s="272"/>
      <c r="GW68" s="272"/>
      <c r="GX68" s="272"/>
      <c r="GY68" s="272"/>
      <c r="GZ68" s="272"/>
      <c r="HA68" s="272"/>
      <c r="HB68" s="272"/>
      <c r="HC68" s="272"/>
      <c r="HD68" s="272"/>
      <c r="HE68" s="272"/>
      <c r="HF68" s="272"/>
      <c r="HG68" s="272"/>
      <c r="HH68" s="272"/>
      <c r="HI68" s="272"/>
      <c r="HJ68" s="272"/>
      <c r="HK68" s="272"/>
      <c r="HL68" s="272"/>
      <c r="HM68" s="272"/>
      <c r="HN68" s="272"/>
      <c r="HO68" s="272"/>
      <c r="HP68" s="272"/>
      <c r="HQ68" s="272"/>
      <c r="HR68" s="272"/>
      <c r="HS68" s="272"/>
      <c r="HT68" s="272"/>
      <c r="HU68" s="272"/>
      <c r="HV68" s="272"/>
      <c r="HW68" s="272"/>
      <c r="HX68" s="272"/>
      <c r="HY68" s="272"/>
      <c r="HZ68" s="272"/>
      <c r="IA68" s="272"/>
      <c r="IB68" s="272"/>
      <c r="IC68" s="272"/>
      <c r="ID68" s="272"/>
      <c r="IE68" s="272"/>
      <c r="IF68" s="272"/>
      <c r="IG68" s="272"/>
      <c r="IH68" s="272"/>
      <c r="II68" s="272"/>
      <c r="IJ68" s="272"/>
      <c r="IK68" s="272"/>
      <c r="IL68" s="272"/>
      <c r="IM68" s="272"/>
      <c r="IN68" s="272"/>
      <c r="IO68" s="272"/>
      <c r="IP68" s="272"/>
      <c r="IQ68" s="272"/>
      <c r="IR68" s="272"/>
      <c r="IS68" s="272"/>
      <c r="IT68" s="272"/>
      <c r="IU68" s="272"/>
      <c r="IV68" s="272"/>
      <c r="IW68" s="272"/>
      <c r="IX68" s="272"/>
      <c r="IY68" s="272"/>
      <c r="IZ68" s="272"/>
      <c r="JA68" s="272"/>
      <c r="JB68" s="272"/>
      <c r="JC68" s="272"/>
      <c r="JD68" s="272"/>
      <c r="JE68" s="272"/>
      <c r="JF68" s="272"/>
      <c r="JG68" s="272"/>
      <c r="JH68" s="272"/>
      <c r="JI68" s="272"/>
      <c r="JJ68" s="272"/>
      <c r="JK68" s="272"/>
      <c r="JL68" s="272"/>
      <c r="JM68" s="272"/>
      <c r="JN68" s="272"/>
      <c r="JO68" s="272"/>
      <c r="JP68" s="272"/>
      <c r="JQ68" s="272"/>
      <c r="JR68" s="272"/>
      <c r="JS68" s="272"/>
      <c r="JT68" s="272"/>
      <c r="JU68" s="272"/>
      <c r="JV68" s="272"/>
      <c r="JW68" s="272"/>
      <c r="JX68" s="272"/>
      <c r="JY68" s="272"/>
      <c r="JZ68" s="272"/>
      <c r="KA68" s="272"/>
      <c r="KB68" s="272"/>
      <c r="KC68" s="272"/>
      <c r="KD68" s="272"/>
      <c r="KE68" s="272"/>
      <c r="KF68" s="272"/>
      <c r="KG68" s="272"/>
      <c r="KH68" s="272"/>
      <c r="KI68" s="272"/>
      <c r="KJ68" s="272"/>
      <c r="KK68" s="272"/>
      <c r="KL68" s="272"/>
      <c r="KM68" s="272"/>
      <c r="KN68" s="272"/>
      <c r="KO68" s="272"/>
      <c r="KP68" s="272"/>
      <c r="KQ68" s="272"/>
      <c r="KR68" s="272"/>
      <c r="KS68" s="272"/>
      <c r="KT68" s="272"/>
      <c r="KU68" s="272"/>
      <c r="KV68" s="272"/>
      <c r="KW68" s="272"/>
      <c r="KX68" s="272"/>
      <c r="KY68" s="272"/>
      <c r="KZ68" s="272"/>
      <c r="LA68" s="272"/>
      <c r="LB68" s="272"/>
      <c r="LC68" s="272"/>
      <c r="LD68" s="272"/>
      <c r="LE68" s="272"/>
      <c r="LF68" s="272"/>
      <c r="LG68" s="272"/>
      <c r="LH68" s="272"/>
      <c r="LI68" s="272"/>
      <c r="LJ68" s="272"/>
      <c r="LK68" s="272"/>
      <c r="LL68" s="272"/>
      <c r="LM68" s="272"/>
      <c r="LN68" s="272"/>
      <c r="LO68" s="272"/>
      <c r="LP68" s="272"/>
      <c r="LQ68" s="272"/>
      <c r="LR68" s="272"/>
      <c r="LS68" s="272"/>
      <c r="LT68" s="272"/>
      <c r="LU68" s="272"/>
      <c r="LV68" s="272"/>
      <c r="LW68" s="272"/>
      <c r="LX68" s="272"/>
      <c r="LY68" s="272"/>
      <c r="LZ68" s="272"/>
      <c r="MA68" s="272"/>
      <c r="MB68" s="272"/>
      <c r="MC68" s="272"/>
      <c r="MD68" s="272"/>
      <c r="ME68" s="272"/>
      <c r="MF68" s="272"/>
      <c r="MG68" s="272"/>
      <c r="MH68" s="272"/>
      <c r="MI68" s="272"/>
      <c r="MJ68" s="272"/>
      <c r="MK68" s="272"/>
      <c r="ML68" s="272"/>
      <c r="MM68" s="272"/>
      <c r="MN68" s="272"/>
      <c r="MO68" s="272"/>
      <c r="MP68" s="272"/>
      <c r="MQ68" s="272"/>
      <c r="MR68" s="272"/>
      <c r="MS68" s="272"/>
      <c r="MT68" s="272"/>
      <c r="MU68" s="272"/>
      <c r="MV68" s="272"/>
      <c r="MW68" s="272"/>
      <c r="MX68" s="272"/>
      <c r="MY68" s="272"/>
      <c r="MZ68" s="272"/>
      <c r="NA68" s="272"/>
      <c r="NB68" s="272"/>
      <c r="NC68" s="272"/>
      <c r="ND68" s="272"/>
      <c r="NE68" s="272"/>
      <c r="NF68" s="272"/>
      <c r="NG68" s="272"/>
      <c r="NH68" s="272"/>
      <c r="NI68" s="272"/>
      <c r="NJ68" s="272"/>
      <c r="NK68" s="272"/>
      <c r="NL68" s="272"/>
      <c r="NM68" s="272"/>
      <c r="NN68" s="272"/>
      <c r="NO68" s="272"/>
      <c r="NP68" s="272"/>
      <c r="NQ68" s="272"/>
      <c r="NR68" s="272"/>
      <c r="NS68" s="272"/>
      <c r="NT68" s="272"/>
      <c r="NU68" s="272"/>
      <c r="NV68" s="272"/>
      <c r="NW68" s="272"/>
      <c r="NX68" s="272"/>
      <c r="NY68" s="272"/>
      <c r="NZ68" s="272"/>
      <c r="OA68" s="272"/>
      <c r="OB68" s="272"/>
      <c r="OC68" s="272"/>
      <c r="OD68" s="272"/>
      <c r="OE68" s="272"/>
      <c r="OF68" s="272"/>
      <c r="OG68" s="272"/>
      <c r="OH68" s="272"/>
      <c r="OI68" s="272"/>
      <c r="OJ68" s="272"/>
      <c r="OK68" s="272"/>
      <c r="OL68" s="272"/>
      <c r="OM68" s="272"/>
      <c r="ON68" s="272"/>
      <c r="OO68" s="272"/>
      <c r="OP68" s="272"/>
      <c r="OQ68" s="272"/>
      <c r="OR68" s="272"/>
      <c r="OS68" s="272"/>
      <c r="OT68" s="272"/>
      <c r="OU68" s="272"/>
      <c r="OV68" s="272"/>
      <c r="OW68" s="272"/>
      <c r="OX68" s="272"/>
      <c r="OY68" s="272"/>
      <c r="OZ68" s="272"/>
      <c r="PA68" s="272"/>
      <c r="PB68" s="272"/>
      <c r="PC68" s="272"/>
      <c r="PD68" s="272"/>
      <c r="PE68" s="272"/>
      <c r="PF68" s="272"/>
      <c r="PG68" s="272"/>
      <c r="PH68" s="272"/>
      <c r="PI68" s="272"/>
      <c r="PJ68" s="272"/>
      <c r="PK68" s="272"/>
      <c r="PL68" s="272"/>
      <c r="PM68" s="272"/>
      <c r="PN68" s="272"/>
      <c r="PO68" s="272"/>
      <c r="PP68" s="272"/>
      <c r="PQ68" s="272"/>
      <c r="PR68" s="272"/>
      <c r="PS68" s="272"/>
      <c r="PT68" s="272"/>
      <c r="PU68" s="272"/>
      <c r="PV68" s="272"/>
      <c r="PW68" s="272"/>
      <c r="PX68" s="272"/>
      <c r="PY68" s="272"/>
      <c r="PZ68" s="272"/>
      <c r="QA68" s="272"/>
      <c r="QB68" s="272"/>
      <c r="QC68" s="272"/>
      <c r="QD68" s="272"/>
      <c r="QE68" s="272"/>
      <c r="QF68" s="272"/>
      <c r="QG68" s="272"/>
      <c r="QH68" s="272"/>
      <c r="QI68" s="272"/>
      <c r="QJ68" s="272"/>
      <c r="QK68" s="272"/>
      <c r="QL68" s="272"/>
      <c r="QM68" s="272"/>
      <c r="QN68" s="272"/>
      <c r="QO68" s="272"/>
      <c r="QP68" s="272"/>
      <c r="QQ68" s="272"/>
      <c r="QR68" s="272"/>
      <c r="QS68" s="272"/>
      <c r="QT68" s="272"/>
      <c r="QU68" s="272"/>
      <c r="QV68" s="272"/>
      <c r="QW68" s="272"/>
      <c r="QX68" s="272"/>
      <c r="QY68" s="272"/>
      <c r="QZ68" s="272"/>
      <c r="RA68" s="272"/>
      <c r="RB68" s="272"/>
      <c r="RC68" s="272"/>
      <c r="RD68" s="272"/>
      <c r="RE68" s="272"/>
      <c r="RF68" s="272"/>
      <c r="RG68" s="272"/>
      <c r="RH68" s="272"/>
      <c r="RI68" s="272"/>
      <c r="RJ68" s="272"/>
      <c r="RK68" s="272"/>
      <c r="RL68" s="272"/>
      <c r="RM68" s="272"/>
      <c r="RN68" s="272"/>
      <c r="RO68" s="272"/>
      <c r="RP68" s="272"/>
      <c r="RQ68" s="272"/>
      <c r="RR68" s="272"/>
      <c r="RS68" s="272"/>
      <c r="RT68" s="272"/>
      <c r="RU68" s="272"/>
      <c r="RV68" s="272"/>
      <c r="RW68" s="272"/>
      <c r="RX68" s="272"/>
      <c r="RY68" s="272"/>
      <c r="RZ68" s="272"/>
      <c r="SA68" s="272"/>
      <c r="SB68" s="272"/>
      <c r="SC68" s="272"/>
      <c r="SD68" s="272"/>
      <c r="SE68" s="272"/>
      <c r="SF68" s="272"/>
      <c r="SG68" s="272"/>
      <c r="SH68" s="272"/>
      <c r="SI68" s="272"/>
      <c r="SJ68" s="272"/>
      <c r="SK68" s="272"/>
      <c r="SL68" s="272"/>
      <c r="SM68" s="272"/>
      <c r="SN68" s="272"/>
      <c r="SO68" s="272"/>
      <c r="SP68" s="272"/>
      <c r="SQ68" s="272"/>
      <c r="SR68" s="272"/>
      <c r="SS68" s="272"/>
      <c r="ST68" s="272"/>
      <c r="SU68" s="272"/>
      <c r="SV68" s="272"/>
      <c r="SW68" s="272"/>
      <c r="SX68" s="272"/>
      <c r="SY68" s="272"/>
      <c r="SZ68" s="272"/>
      <c r="TA68" s="272"/>
      <c r="TB68" s="272"/>
      <c r="TC68" s="272"/>
      <c r="TD68" s="272"/>
      <c r="TE68" s="272"/>
      <c r="TF68" s="272"/>
      <c r="TG68" s="272"/>
      <c r="TH68" s="272"/>
      <c r="TI68" s="272"/>
      <c r="TJ68" s="272"/>
      <c r="TK68" s="272"/>
      <c r="TL68" s="272"/>
      <c r="TM68" s="272"/>
      <c r="TN68" s="272"/>
      <c r="TO68" s="272"/>
      <c r="TP68" s="272"/>
      <c r="TQ68" s="272"/>
      <c r="TR68" s="272"/>
      <c r="TS68" s="272"/>
      <c r="TT68" s="272"/>
      <c r="TU68" s="272"/>
      <c r="TV68" s="272"/>
      <c r="TW68" s="272"/>
      <c r="TX68" s="272"/>
      <c r="TY68" s="272"/>
      <c r="TZ68" s="272"/>
      <c r="UA68" s="272"/>
      <c r="UB68" s="272"/>
      <c r="UC68" s="272"/>
      <c r="UD68" s="272"/>
      <c r="UE68" s="272"/>
      <c r="UF68" s="272"/>
      <c r="UG68" s="272"/>
      <c r="UH68" s="272"/>
      <c r="UI68" s="272"/>
      <c r="UJ68" s="272"/>
      <c r="UK68" s="272"/>
      <c r="UL68" s="272"/>
      <c r="UM68" s="272"/>
      <c r="UN68" s="272"/>
      <c r="UO68" s="272"/>
      <c r="UP68" s="272"/>
      <c r="UQ68" s="272"/>
      <c r="UR68" s="272"/>
      <c r="US68" s="272"/>
      <c r="UT68" s="272"/>
      <c r="UU68" s="272"/>
      <c r="UV68" s="272"/>
      <c r="UW68" s="272"/>
      <c r="UX68" s="272"/>
      <c r="UY68" s="272"/>
      <c r="UZ68" s="272"/>
      <c r="VA68" s="272"/>
      <c r="VB68" s="272"/>
      <c r="VC68" s="272"/>
      <c r="VD68" s="272"/>
      <c r="VE68" s="272"/>
      <c r="VF68" s="272"/>
      <c r="VG68" s="272"/>
      <c r="VH68" s="272"/>
      <c r="VI68" s="272"/>
      <c r="VJ68" s="272"/>
      <c r="VK68" s="272"/>
      <c r="VL68" s="272"/>
      <c r="VM68" s="272"/>
      <c r="VN68" s="272"/>
      <c r="VO68" s="272"/>
      <c r="VP68" s="272"/>
      <c r="VQ68" s="272"/>
      <c r="VR68" s="272"/>
      <c r="VS68" s="272"/>
      <c r="VT68" s="272"/>
      <c r="VU68" s="272"/>
      <c r="VV68" s="272"/>
      <c r="VW68" s="272"/>
      <c r="VX68" s="272"/>
      <c r="VY68" s="272"/>
      <c r="VZ68" s="272"/>
      <c r="WA68" s="272"/>
      <c r="WB68" s="272"/>
      <c r="WC68" s="272"/>
      <c r="WD68" s="272"/>
      <c r="WE68" s="272"/>
      <c r="WF68" s="272"/>
      <c r="WG68" s="272"/>
      <c r="WH68" s="272"/>
      <c r="WI68" s="272"/>
      <c r="WJ68" s="272"/>
      <c r="WK68" s="272"/>
      <c r="WL68" s="272"/>
      <c r="WM68" s="272"/>
      <c r="WN68" s="272"/>
      <c r="WO68" s="272"/>
      <c r="WP68" s="272"/>
      <c r="WQ68" s="272"/>
      <c r="WR68" s="272"/>
      <c r="WS68" s="272"/>
      <c r="WT68" s="272"/>
      <c r="WU68" s="272"/>
      <c r="WV68" s="272"/>
      <c r="WW68" s="272"/>
      <c r="WX68" s="272"/>
      <c r="WY68" s="272"/>
      <c r="WZ68" s="272"/>
      <c r="XA68" s="272"/>
      <c r="XB68" s="272"/>
      <c r="XC68" s="272"/>
      <c r="XD68" s="272"/>
      <c r="XE68" s="272"/>
      <c r="XF68" s="272"/>
      <c r="XG68" s="272"/>
      <c r="XH68" s="272"/>
      <c r="XI68" s="272"/>
      <c r="XJ68" s="272"/>
      <c r="XK68" s="272"/>
      <c r="XL68" s="272"/>
      <c r="XM68" s="272"/>
      <c r="XN68" s="272"/>
      <c r="XO68" s="272"/>
      <c r="XP68" s="272"/>
      <c r="XQ68" s="272"/>
      <c r="XR68" s="272"/>
      <c r="XS68" s="272"/>
      <c r="XT68" s="272"/>
      <c r="XU68" s="272"/>
      <c r="XV68" s="272"/>
      <c r="XW68" s="272"/>
      <c r="XX68" s="272"/>
      <c r="XY68" s="272"/>
      <c r="XZ68" s="272"/>
      <c r="YA68" s="272"/>
      <c r="YB68" s="272"/>
      <c r="YC68" s="272"/>
      <c r="YD68" s="272"/>
      <c r="YE68" s="272"/>
      <c r="YF68" s="272"/>
      <c r="YG68" s="272"/>
      <c r="YH68" s="272"/>
      <c r="YI68" s="272"/>
      <c r="YJ68" s="272"/>
      <c r="YK68" s="272"/>
      <c r="YL68" s="272"/>
      <c r="YM68" s="272"/>
      <c r="YN68" s="272"/>
      <c r="YO68" s="272"/>
      <c r="YP68" s="272"/>
      <c r="YQ68" s="272"/>
      <c r="YR68" s="272"/>
      <c r="YS68" s="272"/>
      <c r="YT68" s="272"/>
      <c r="YU68" s="272"/>
      <c r="YV68" s="272"/>
      <c r="YW68" s="272"/>
      <c r="YX68" s="272"/>
      <c r="YY68" s="272"/>
      <c r="YZ68" s="272"/>
      <c r="ZA68" s="272"/>
      <c r="ZB68" s="272"/>
      <c r="ZC68" s="272"/>
      <c r="ZD68" s="272"/>
      <c r="ZE68" s="272"/>
      <c r="ZF68" s="272"/>
      <c r="ZG68" s="272"/>
      <c r="ZH68" s="272"/>
      <c r="ZI68" s="272"/>
      <c r="ZJ68" s="272"/>
      <c r="ZK68" s="272"/>
      <c r="ZL68" s="272"/>
      <c r="ZM68" s="272"/>
      <c r="ZN68" s="272"/>
      <c r="ZO68" s="272"/>
      <c r="ZP68" s="272"/>
      <c r="ZQ68" s="272"/>
      <c r="ZR68" s="272"/>
      <c r="ZS68" s="272"/>
      <c r="ZT68" s="272"/>
    </row>
    <row r="69" spans="1:696" s="19" customFormat="1" ht="15">
      <c r="A69" s="47"/>
      <c r="B69" s="74"/>
      <c r="C69" s="20" t="s">
        <v>53</v>
      </c>
      <c r="D69" s="508"/>
      <c r="E69" s="532"/>
      <c r="F69" s="509"/>
      <c r="G69" s="506"/>
      <c r="H69" s="506"/>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c r="CR69" s="272"/>
      <c r="CS69" s="272"/>
      <c r="CT69" s="272"/>
      <c r="CU69" s="272"/>
      <c r="CV69" s="272"/>
      <c r="CW69" s="272"/>
      <c r="CX69" s="272"/>
      <c r="CY69" s="272"/>
      <c r="CZ69" s="272"/>
      <c r="DA69" s="272"/>
      <c r="DB69" s="272"/>
      <c r="DC69" s="272"/>
      <c r="DD69" s="272"/>
      <c r="DE69" s="272"/>
      <c r="DF69" s="272"/>
      <c r="DG69" s="272"/>
      <c r="DH69" s="272"/>
      <c r="DI69" s="272"/>
      <c r="DJ69" s="272"/>
      <c r="DK69" s="272"/>
      <c r="DL69" s="272"/>
      <c r="DM69" s="272"/>
      <c r="DN69" s="272"/>
      <c r="DO69" s="272"/>
      <c r="DP69" s="272"/>
      <c r="DQ69" s="272"/>
      <c r="DR69" s="272"/>
      <c r="DS69" s="272"/>
      <c r="DT69" s="272"/>
      <c r="DU69" s="272"/>
      <c r="DV69" s="272"/>
      <c r="DW69" s="272"/>
      <c r="DX69" s="272"/>
      <c r="DY69" s="272"/>
      <c r="DZ69" s="272"/>
      <c r="EA69" s="272"/>
      <c r="EB69" s="272"/>
      <c r="EC69" s="272"/>
      <c r="ED69" s="272"/>
      <c r="EE69" s="272"/>
      <c r="EF69" s="272"/>
      <c r="EG69" s="272"/>
      <c r="EH69" s="272"/>
      <c r="EI69" s="272"/>
      <c r="EJ69" s="272"/>
      <c r="EK69" s="272"/>
      <c r="EL69" s="272"/>
      <c r="EM69" s="272"/>
      <c r="EN69" s="272"/>
      <c r="EO69" s="272"/>
      <c r="EP69" s="272"/>
      <c r="EQ69" s="272"/>
      <c r="ER69" s="272"/>
      <c r="ES69" s="272"/>
      <c r="ET69" s="272"/>
      <c r="EU69" s="272"/>
      <c r="EV69" s="272"/>
      <c r="EW69" s="272"/>
      <c r="EX69" s="272"/>
      <c r="EY69" s="272"/>
      <c r="EZ69" s="272"/>
      <c r="FA69" s="272"/>
      <c r="FB69" s="272"/>
      <c r="FC69" s="272"/>
      <c r="FD69" s="272"/>
      <c r="FE69" s="272"/>
      <c r="FF69" s="272"/>
      <c r="FG69" s="272"/>
      <c r="FH69" s="272"/>
      <c r="FI69" s="272"/>
      <c r="FJ69" s="272"/>
      <c r="FK69" s="272"/>
      <c r="FL69" s="272"/>
      <c r="FM69" s="272"/>
      <c r="FN69" s="272"/>
      <c r="FO69" s="272"/>
      <c r="FP69" s="272"/>
      <c r="FQ69" s="272"/>
      <c r="FR69" s="272"/>
      <c r="FS69" s="272"/>
      <c r="FT69" s="272"/>
      <c r="FU69" s="272"/>
      <c r="FV69" s="272"/>
      <c r="FW69" s="272"/>
      <c r="FX69" s="272"/>
      <c r="FY69" s="272"/>
      <c r="FZ69" s="272"/>
      <c r="GA69" s="272"/>
      <c r="GB69" s="272"/>
      <c r="GC69" s="272"/>
      <c r="GD69" s="272"/>
      <c r="GE69" s="272"/>
      <c r="GF69" s="272"/>
      <c r="GG69" s="272"/>
      <c r="GH69" s="272"/>
      <c r="GI69" s="272"/>
      <c r="GJ69" s="272"/>
      <c r="GK69" s="272"/>
      <c r="GL69" s="272"/>
      <c r="GM69" s="272"/>
      <c r="GN69" s="272"/>
      <c r="GO69" s="272"/>
      <c r="GP69" s="272"/>
      <c r="GQ69" s="272"/>
      <c r="GR69" s="272"/>
      <c r="GS69" s="272"/>
      <c r="GT69" s="272"/>
      <c r="GU69" s="272"/>
      <c r="GV69" s="272"/>
      <c r="GW69" s="272"/>
      <c r="GX69" s="272"/>
      <c r="GY69" s="272"/>
      <c r="GZ69" s="272"/>
      <c r="HA69" s="272"/>
      <c r="HB69" s="272"/>
      <c r="HC69" s="272"/>
      <c r="HD69" s="272"/>
      <c r="HE69" s="272"/>
      <c r="HF69" s="272"/>
      <c r="HG69" s="272"/>
      <c r="HH69" s="272"/>
      <c r="HI69" s="272"/>
      <c r="HJ69" s="272"/>
      <c r="HK69" s="272"/>
      <c r="HL69" s="272"/>
      <c r="HM69" s="272"/>
      <c r="HN69" s="272"/>
      <c r="HO69" s="272"/>
      <c r="HP69" s="272"/>
      <c r="HQ69" s="272"/>
      <c r="HR69" s="272"/>
      <c r="HS69" s="272"/>
      <c r="HT69" s="272"/>
      <c r="HU69" s="272"/>
      <c r="HV69" s="272"/>
      <c r="HW69" s="272"/>
      <c r="HX69" s="272"/>
      <c r="HY69" s="272"/>
      <c r="HZ69" s="272"/>
      <c r="IA69" s="272"/>
      <c r="IB69" s="272"/>
      <c r="IC69" s="272"/>
      <c r="ID69" s="272"/>
      <c r="IE69" s="272"/>
      <c r="IF69" s="272"/>
      <c r="IG69" s="272"/>
      <c r="IH69" s="272"/>
      <c r="II69" s="272"/>
      <c r="IJ69" s="272"/>
      <c r="IK69" s="272"/>
      <c r="IL69" s="272"/>
      <c r="IM69" s="272"/>
      <c r="IN69" s="272"/>
      <c r="IO69" s="272"/>
      <c r="IP69" s="272"/>
      <c r="IQ69" s="272"/>
      <c r="IR69" s="272"/>
      <c r="IS69" s="272"/>
      <c r="IT69" s="272"/>
      <c r="IU69" s="272"/>
      <c r="IV69" s="272"/>
      <c r="IW69" s="272"/>
      <c r="IX69" s="272"/>
      <c r="IY69" s="272"/>
      <c r="IZ69" s="272"/>
      <c r="JA69" s="272"/>
      <c r="JB69" s="272"/>
      <c r="JC69" s="272"/>
      <c r="JD69" s="272"/>
      <c r="JE69" s="272"/>
      <c r="JF69" s="272"/>
      <c r="JG69" s="272"/>
      <c r="JH69" s="272"/>
      <c r="JI69" s="272"/>
      <c r="JJ69" s="272"/>
      <c r="JK69" s="272"/>
      <c r="JL69" s="272"/>
      <c r="JM69" s="272"/>
      <c r="JN69" s="272"/>
      <c r="JO69" s="272"/>
      <c r="JP69" s="272"/>
      <c r="JQ69" s="272"/>
      <c r="JR69" s="272"/>
      <c r="JS69" s="272"/>
      <c r="JT69" s="272"/>
      <c r="JU69" s="272"/>
      <c r="JV69" s="272"/>
      <c r="JW69" s="272"/>
      <c r="JX69" s="272"/>
      <c r="JY69" s="272"/>
      <c r="JZ69" s="272"/>
      <c r="KA69" s="272"/>
      <c r="KB69" s="272"/>
      <c r="KC69" s="272"/>
      <c r="KD69" s="272"/>
      <c r="KE69" s="272"/>
      <c r="KF69" s="272"/>
      <c r="KG69" s="272"/>
      <c r="KH69" s="272"/>
      <c r="KI69" s="272"/>
      <c r="KJ69" s="272"/>
      <c r="KK69" s="272"/>
      <c r="KL69" s="272"/>
      <c r="KM69" s="272"/>
      <c r="KN69" s="272"/>
      <c r="KO69" s="272"/>
      <c r="KP69" s="272"/>
      <c r="KQ69" s="272"/>
      <c r="KR69" s="272"/>
      <c r="KS69" s="272"/>
      <c r="KT69" s="272"/>
      <c r="KU69" s="272"/>
      <c r="KV69" s="272"/>
      <c r="KW69" s="272"/>
      <c r="KX69" s="272"/>
      <c r="KY69" s="272"/>
      <c r="KZ69" s="272"/>
      <c r="LA69" s="272"/>
      <c r="LB69" s="272"/>
      <c r="LC69" s="272"/>
      <c r="LD69" s="272"/>
      <c r="LE69" s="272"/>
      <c r="LF69" s="272"/>
      <c r="LG69" s="272"/>
      <c r="LH69" s="272"/>
      <c r="LI69" s="272"/>
      <c r="LJ69" s="272"/>
      <c r="LK69" s="272"/>
      <c r="LL69" s="272"/>
      <c r="LM69" s="272"/>
      <c r="LN69" s="272"/>
      <c r="LO69" s="272"/>
      <c r="LP69" s="272"/>
      <c r="LQ69" s="272"/>
      <c r="LR69" s="272"/>
      <c r="LS69" s="272"/>
      <c r="LT69" s="272"/>
      <c r="LU69" s="272"/>
      <c r="LV69" s="272"/>
      <c r="LW69" s="272"/>
      <c r="LX69" s="272"/>
      <c r="LY69" s="272"/>
      <c r="LZ69" s="272"/>
      <c r="MA69" s="272"/>
      <c r="MB69" s="272"/>
      <c r="MC69" s="272"/>
      <c r="MD69" s="272"/>
      <c r="ME69" s="272"/>
      <c r="MF69" s="272"/>
      <c r="MG69" s="272"/>
      <c r="MH69" s="272"/>
      <c r="MI69" s="272"/>
      <c r="MJ69" s="272"/>
      <c r="MK69" s="272"/>
      <c r="ML69" s="272"/>
      <c r="MM69" s="272"/>
      <c r="MN69" s="272"/>
      <c r="MO69" s="272"/>
      <c r="MP69" s="272"/>
      <c r="MQ69" s="272"/>
      <c r="MR69" s="272"/>
      <c r="MS69" s="272"/>
      <c r="MT69" s="272"/>
      <c r="MU69" s="272"/>
      <c r="MV69" s="272"/>
      <c r="MW69" s="272"/>
      <c r="MX69" s="272"/>
      <c r="MY69" s="272"/>
      <c r="MZ69" s="272"/>
      <c r="NA69" s="272"/>
      <c r="NB69" s="272"/>
      <c r="NC69" s="272"/>
      <c r="ND69" s="272"/>
      <c r="NE69" s="272"/>
      <c r="NF69" s="272"/>
      <c r="NG69" s="272"/>
      <c r="NH69" s="272"/>
      <c r="NI69" s="272"/>
      <c r="NJ69" s="272"/>
      <c r="NK69" s="272"/>
      <c r="NL69" s="272"/>
      <c r="NM69" s="272"/>
      <c r="NN69" s="272"/>
      <c r="NO69" s="272"/>
      <c r="NP69" s="272"/>
      <c r="NQ69" s="272"/>
      <c r="NR69" s="272"/>
      <c r="NS69" s="272"/>
      <c r="NT69" s="272"/>
      <c r="NU69" s="272"/>
      <c r="NV69" s="272"/>
      <c r="NW69" s="272"/>
      <c r="NX69" s="272"/>
      <c r="NY69" s="272"/>
      <c r="NZ69" s="272"/>
      <c r="OA69" s="272"/>
      <c r="OB69" s="272"/>
      <c r="OC69" s="272"/>
      <c r="OD69" s="272"/>
      <c r="OE69" s="272"/>
      <c r="OF69" s="272"/>
      <c r="OG69" s="272"/>
      <c r="OH69" s="272"/>
      <c r="OI69" s="272"/>
      <c r="OJ69" s="272"/>
      <c r="OK69" s="272"/>
      <c r="OL69" s="272"/>
      <c r="OM69" s="272"/>
      <c r="ON69" s="272"/>
      <c r="OO69" s="272"/>
      <c r="OP69" s="272"/>
      <c r="OQ69" s="272"/>
      <c r="OR69" s="272"/>
      <c r="OS69" s="272"/>
      <c r="OT69" s="272"/>
      <c r="OU69" s="272"/>
      <c r="OV69" s="272"/>
      <c r="OW69" s="272"/>
      <c r="OX69" s="272"/>
      <c r="OY69" s="272"/>
      <c r="OZ69" s="272"/>
      <c r="PA69" s="272"/>
      <c r="PB69" s="272"/>
      <c r="PC69" s="272"/>
      <c r="PD69" s="272"/>
      <c r="PE69" s="272"/>
      <c r="PF69" s="272"/>
      <c r="PG69" s="272"/>
      <c r="PH69" s="272"/>
      <c r="PI69" s="272"/>
      <c r="PJ69" s="272"/>
      <c r="PK69" s="272"/>
      <c r="PL69" s="272"/>
      <c r="PM69" s="272"/>
      <c r="PN69" s="272"/>
      <c r="PO69" s="272"/>
      <c r="PP69" s="272"/>
      <c r="PQ69" s="272"/>
      <c r="PR69" s="272"/>
      <c r="PS69" s="272"/>
      <c r="PT69" s="272"/>
      <c r="PU69" s="272"/>
      <c r="PV69" s="272"/>
      <c r="PW69" s="272"/>
      <c r="PX69" s="272"/>
      <c r="PY69" s="272"/>
      <c r="PZ69" s="272"/>
      <c r="QA69" s="272"/>
      <c r="QB69" s="272"/>
      <c r="QC69" s="272"/>
      <c r="QD69" s="272"/>
      <c r="QE69" s="272"/>
      <c r="QF69" s="272"/>
      <c r="QG69" s="272"/>
      <c r="QH69" s="272"/>
      <c r="QI69" s="272"/>
      <c r="QJ69" s="272"/>
      <c r="QK69" s="272"/>
      <c r="QL69" s="272"/>
      <c r="QM69" s="272"/>
      <c r="QN69" s="272"/>
      <c r="QO69" s="272"/>
      <c r="QP69" s="272"/>
      <c r="QQ69" s="272"/>
      <c r="QR69" s="272"/>
      <c r="QS69" s="272"/>
      <c r="QT69" s="272"/>
      <c r="QU69" s="272"/>
      <c r="QV69" s="272"/>
      <c r="QW69" s="272"/>
      <c r="QX69" s="272"/>
      <c r="QY69" s="272"/>
      <c r="QZ69" s="272"/>
      <c r="RA69" s="272"/>
      <c r="RB69" s="272"/>
      <c r="RC69" s="272"/>
      <c r="RD69" s="272"/>
      <c r="RE69" s="272"/>
      <c r="RF69" s="272"/>
      <c r="RG69" s="272"/>
      <c r="RH69" s="272"/>
      <c r="RI69" s="272"/>
      <c r="RJ69" s="272"/>
      <c r="RK69" s="272"/>
      <c r="RL69" s="272"/>
      <c r="RM69" s="272"/>
      <c r="RN69" s="272"/>
      <c r="RO69" s="272"/>
      <c r="RP69" s="272"/>
      <c r="RQ69" s="272"/>
      <c r="RR69" s="272"/>
      <c r="RS69" s="272"/>
      <c r="RT69" s="272"/>
      <c r="RU69" s="272"/>
      <c r="RV69" s="272"/>
      <c r="RW69" s="272"/>
      <c r="RX69" s="272"/>
      <c r="RY69" s="272"/>
      <c r="RZ69" s="272"/>
      <c r="SA69" s="272"/>
      <c r="SB69" s="272"/>
      <c r="SC69" s="272"/>
      <c r="SD69" s="272"/>
      <c r="SE69" s="272"/>
      <c r="SF69" s="272"/>
      <c r="SG69" s="272"/>
      <c r="SH69" s="272"/>
      <c r="SI69" s="272"/>
      <c r="SJ69" s="272"/>
      <c r="SK69" s="272"/>
      <c r="SL69" s="272"/>
      <c r="SM69" s="272"/>
      <c r="SN69" s="272"/>
      <c r="SO69" s="272"/>
      <c r="SP69" s="272"/>
      <c r="SQ69" s="272"/>
      <c r="SR69" s="272"/>
      <c r="SS69" s="272"/>
      <c r="ST69" s="272"/>
      <c r="SU69" s="272"/>
      <c r="SV69" s="272"/>
      <c r="SW69" s="272"/>
      <c r="SX69" s="272"/>
      <c r="SY69" s="272"/>
      <c r="SZ69" s="272"/>
      <c r="TA69" s="272"/>
      <c r="TB69" s="272"/>
      <c r="TC69" s="272"/>
      <c r="TD69" s="272"/>
      <c r="TE69" s="272"/>
      <c r="TF69" s="272"/>
      <c r="TG69" s="272"/>
      <c r="TH69" s="272"/>
      <c r="TI69" s="272"/>
      <c r="TJ69" s="272"/>
      <c r="TK69" s="272"/>
      <c r="TL69" s="272"/>
      <c r="TM69" s="272"/>
      <c r="TN69" s="272"/>
      <c r="TO69" s="272"/>
      <c r="TP69" s="272"/>
      <c r="TQ69" s="272"/>
      <c r="TR69" s="272"/>
      <c r="TS69" s="272"/>
      <c r="TT69" s="272"/>
      <c r="TU69" s="272"/>
      <c r="TV69" s="272"/>
      <c r="TW69" s="272"/>
      <c r="TX69" s="272"/>
      <c r="TY69" s="272"/>
      <c r="TZ69" s="272"/>
      <c r="UA69" s="272"/>
      <c r="UB69" s="272"/>
      <c r="UC69" s="272"/>
      <c r="UD69" s="272"/>
      <c r="UE69" s="272"/>
      <c r="UF69" s="272"/>
      <c r="UG69" s="272"/>
      <c r="UH69" s="272"/>
      <c r="UI69" s="272"/>
      <c r="UJ69" s="272"/>
      <c r="UK69" s="272"/>
      <c r="UL69" s="272"/>
      <c r="UM69" s="272"/>
      <c r="UN69" s="272"/>
      <c r="UO69" s="272"/>
      <c r="UP69" s="272"/>
      <c r="UQ69" s="272"/>
      <c r="UR69" s="272"/>
      <c r="US69" s="272"/>
      <c r="UT69" s="272"/>
      <c r="UU69" s="272"/>
      <c r="UV69" s="272"/>
      <c r="UW69" s="272"/>
      <c r="UX69" s="272"/>
      <c r="UY69" s="272"/>
      <c r="UZ69" s="272"/>
      <c r="VA69" s="272"/>
      <c r="VB69" s="272"/>
      <c r="VC69" s="272"/>
      <c r="VD69" s="272"/>
      <c r="VE69" s="272"/>
      <c r="VF69" s="272"/>
      <c r="VG69" s="272"/>
      <c r="VH69" s="272"/>
      <c r="VI69" s="272"/>
      <c r="VJ69" s="272"/>
      <c r="VK69" s="272"/>
      <c r="VL69" s="272"/>
      <c r="VM69" s="272"/>
      <c r="VN69" s="272"/>
      <c r="VO69" s="272"/>
      <c r="VP69" s="272"/>
      <c r="VQ69" s="272"/>
      <c r="VR69" s="272"/>
      <c r="VS69" s="272"/>
      <c r="VT69" s="272"/>
      <c r="VU69" s="272"/>
      <c r="VV69" s="272"/>
      <c r="VW69" s="272"/>
      <c r="VX69" s="272"/>
      <c r="VY69" s="272"/>
      <c r="VZ69" s="272"/>
      <c r="WA69" s="272"/>
      <c r="WB69" s="272"/>
      <c r="WC69" s="272"/>
      <c r="WD69" s="272"/>
      <c r="WE69" s="272"/>
      <c r="WF69" s="272"/>
      <c r="WG69" s="272"/>
      <c r="WH69" s="272"/>
      <c r="WI69" s="272"/>
      <c r="WJ69" s="272"/>
      <c r="WK69" s="272"/>
      <c r="WL69" s="272"/>
      <c r="WM69" s="272"/>
      <c r="WN69" s="272"/>
      <c r="WO69" s="272"/>
      <c r="WP69" s="272"/>
      <c r="WQ69" s="272"/>
      <c r="WR69" s="272"/>
      <c r="WS69" s="272"/>
      <c r="WT69" s="272"/>
      <c r="WU69" s="272"/>
      <c r="WV69" s="272"/>
      <c r="WW69" s="272"/>
      <c r="WX69" s="272"/>
      <c r="WY69" s="272"/>
      <c r="WZ69" s="272"/>
      <c r="XA69" s="272"/>
      <c r="XB69" s="272"/>
      <c r="XC69" s="272"/>
      <c r="XD69" s="272"/>
      <c r="XE69" s="272"/>
      <c r="XF69" s="272"/>
      <c r="XG69" s="272"/>
      <c r="XH69" s="272"/>
      <c r="XI69" s="272"/>
      <c r="XJ69" s="272"/>
      <c r="XK69" s="272"/>
      <c r="XL69" s="272"/>
      <c r="XM69" s="272"/>
      <c r="XN69" s="272"/>
      <c r="XO69" s="272"/>
      <c r="XP69" s="272"/>
      <c r="XQ69" s="272"/>
      <c r="XR69" s="272"/>
      <c r="XS69" s="272"/>
      <c r="XT69" s="272"/>
      <c r="XU69" s="272"/>
      <c r="XV69" s="272"/>
      <c r="XW69" s="272"/>
      <c r="XX69" s="272"/>
      <c r="XY69" s="272"/>
      <c r="XZ69" s="272"/>
      <c r="YA69" s="272"/>
      <c r="YB69" s="272"/>
      <c r="YC69" s="272"/>
      <c r="YD69" s="272"/>
      <c r="YE69" s="272"/>
      <c r="YF69" s="272"/>
      <c r="YG69" s="272"/>
      <c r="YH69" s="272"/>
      <c r="YI69" s="272"/>
      <c r="YJ69" s="272"/>
      <c r="YK69" s="272"/>
      <c r="YL69" s="272"/>
      <c r="YM69" s="272"/>
      <c r="YN69" s="272"/>
      <c r="YO69" s="272"/>
      <c r="YP69" s="272"/>
      <c r="YQ69" s="272"/>
      <c r="YR69" s="272"/>
      <c r="YS69" s="272"/>
      <c r="YT69" s="272"/>
      <c r="YU69" s="272"/>
      <c r="YV69" s="272"/>
      <c r="YW69" s="272"/>
      <c r="YX69" s="272"/>
      <c r="YY69" s="272"/>
      <c r="YZ69" s="272"/>
      <c r="ZA69" s="272"/>
      <c r="ZB69" s="272"/>
      <c r="ZC69" s="272"/>
      <c r="ZD69" s="272"/>
      <c r="ZE69" s="272"/>
      <c r="ZF69" s="272"/>
      <c r="ZG69" s="272"/>
      <c r="ZH69" s="272"/>
      <c r="ZI69" s="272"/>
      <c r="ZJ69" s="272"/>
      <c r="ZK69" s="272"/>
      <c r="ZL69" s="272"/>
      <c r="ZM69" s="272"/>
      <c r="ZN69" s="272"/>
      <c r="ZO69" s="272"/>
      <c r="ZP69" s="272"/>
      <c r="ZQ69" s="272"/>
      <c r="ZR69" s="272"/>
      <c r="ZS69" s="272"/>
      <c r="ZT69" s="272"/>
    </row>
    <row r="70" spans="1:696" s="62" customFormat="1" ht="13.5" thickBot="1">
      <c r="A70" s="48"/>
      <c r="B70" s="75"/>
      <c r="C70" s="58" t="s">
        <v>54</v>
      </c>
      <c r="D70" s="58"/>
      <c r="E70" s="60"/>
      <c r="F70" s="60"/>
      <c r="G70" s="264"/>
      <c r="H70" s="264"/>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2"/>
      <c r="DK70" s="272"/>
      <c r="DL70" s="272"/>
      <c r="DM70" s="272"/>
      <c r="DN70" s="272"/>
      <c r="DO70" s="272"/>
      <c r="DP70" s="272"/>
      <c r="DQ70" s="272"/>
      <c r="DR70" s="272"/>
      <c r="DS70" s="272"/>
      <c r="DT70" s="272"/>
      <c r="DU70" s="272"/>
      <c r="DV70" s="272"/>
      <c r="DW70" s="272"/>
      <c r="DX70" s="272"/>
      <c r="DY70" s="272"/>
      <c r="DZ70" s="272"/>
      <c r="EA70" s="272"/>
      <c r="EB70" s="272"/>
      <c r="EC70" s="272"/>
      <c r="ED70" s="272"/>
      <c r="EE70" s="272"/>
      <c r="EF70" s="272"/>
      <c r="EG70" s="272"/>
      <c r="EH70" s="272"/>
      <c r="EI70" s="272"/>
      <c r="EJ70" s="272"/>
      <c r="EK70" s="272"/>
      <c r="EL70" s="272"/>
      <c r="EM70" s="272"/>
      <c r="EN70" s="272"/>
      <c r="EO70" s="272"/>
      <c r="EP70" s="272"/>
      <c r="EQ70" s="272"/>
      <c r="ER70" s="272"/>
      <c r="ES70" s="272"/>
      <c r="ET70" s="272"/>
      <c r="EU70" s="272"/>
      <c r="EV70" s="272"/>
      <c r="EW70" s="272"/>
      <c r="EX70" s="272"/>
      <c r="EY70" s="272"/>
      <c r="EZ70" s="272"/>
      <c r="FA70" s="272"/>
      <c r="FB70" s="272"/>
      <c r="FC70" s="272"/>
      <c r="FD70" s="272"/>
      <c r="FE70" s="272"/>
      <c r="FF70" s="272"/>
      <c r="FG70" s="272"/>
      <c r="FH70" s="272"/>
      <c r="FI70" s="272"/>
      <c r="FJ70" s="272"/>
      <c r="FK70" s="272"/>
      <c r="FL70" s="272"/>
      <c r="FM70" s="272"/>
      <c r="FN70" s="272"/>
      <c r="FO70" s="272"/>
      <c r="FP70" s="272"/>
      <c r="FQ70" s="272"/>
      <c r="FR70" s="272"/>
      <c r="FS70" s="272"/>
      <c r="FT70" s="272"/>
      <c r="FU70" s="272"/>
      <c r="FV70" s="272"/>
      <c r="FW70" s="272"/>
      <c r="FX70" s="272"/>
      <c r="FY70" s="272"/>
      <c r="FZ70" s="272"/>
      <c r="GA70" s="272"/>
      <c r="GB70" s="272"/>
      <c r="GC70" s="272"/>
      <c r="GD70" s="272"/>
      <c r="GE70" s="272"/>
      <c r="GF70" s="272"/>
      <c r="GG70" s="272"/>
      <c r="GH70" s="272"/>
      <c r="GI70" s="272"/>
      <c r="GJ70" s="272"/>
      <c r="GK70" s="272"/>
      <c r="GL70" s="272"/>
      <c r="GM70" s="272"/>
      <c r="GN70" s="272"/>
      <c r="GO70" s="272"/>
      <c r="GP70" s="272"/>
      <c r="GQ70" s="272"/>
      <c r="GR70" s="272"/>
      <c r="GS70" s="272"/>
      <c r="GT70" s="272"/>
      <c r="GU70" s="272"/>
      <c r="GV70" s="272"/>
      <c r="GW70" s="272"/>
      <c r="GX70" s="272"/>
      <c r="GY70" s="272"/>
      <c r="GZ70" s="272"/>
      <c r="HA70" s="272"/>
      <c r="HB70" s="272"/>
      <c r="HC70" s="272"/>
      <c r="HD70" s="272"/>
      <c r="HE70" s="272"/>
      <c r="HF70" s="272"/>
      <c r="HG70" s="272"/>
      <c r="HH70" s="272"/>
      <c r="HI70" s="272"/>
      <c r="HJ70" s="272"/>
      <c r="HK70" s="272"/>
      <c r="HL70" s="272"/>
      <c r="HM70" s="272"/>
      <c r="HN70" s="272"/>
      <c r="HO70" s="272"/>
      <c r="HP70" s="272"/>
      <c r="HQ70" s="272"/>
      <c r="HR70" s="272"/>
      <c r="HS70" s="272"/>
      <c r="HT70" s="272"/>
      <c r="HU70" s="272"/>
      <c r="HV70" s="272"/>
      <c r="HW70" s="272"/>
      <c r="HX70" s="272"/>
      <c r="HY70" s="272"/>
      <c r="HZ70" s="272"/>
      <c r="IA70" s="272"/>
      <c r="IB70" s="272"/>
      <c r="IC70" s="272"/>
      <c r="ID70" s="272"/>
      <c r="IE70" s="272"/>
      <c r="IF70" s="272"/>
      <c r="IG70" s="272"/>
      <c r="IH70" s="272"/>
      <c r="II70" s="272"/>
      <c r="IJ70" s="272"/>
      <c r="IK70" s="272"/>
      <c r="IL70" s="272"/>
      <c r="IM70" s="272"/>
      <c r="IN70" s="272"/>
      <c r="IO70" s="272"/>
      <c r="IP70" s="272"/>
      <c r="IQ70" s="272"/>
      <c r="IR70" s="272"/>
      <c r="IS70" s="272"/>
      <c r="IT70" s="272"/>
      <c r="IU70" s="272"/>
      <c r="IV70" s="272"/>
      <c r="IW70" s="272"/>
      <c r="IX70" s="272"/>
      <c r="IY70" s="272"/>
      <c r="IZ70" s="272"/>
      <c r="JA70" s="272"/>
      <c r="JB70" s="272"/>
      <c r="JC70" s="272"/>
      <c r="JD70" s="272"/>
      <c r="JE70" s="272"/>
      <c r="JF70" s="272"/>
      <c r="JG70" s="272"/>
      <c r="JH70" s="272"/>
      <c r="JI70" s="272"/>
      <c r="JJ70" s="272"/>
      <c r="JK70" s="272"/>
      <c r="JL70" s="272"/>
      <c r="JM70" s="272"/>
      <c r="JN70" s="272"/>
      <c r="JO70" s="272"/>
      <c r="JP70" s="272"/>
      <c r="JQ70" s="272"/>
      <c r="JR70" s="272"/>
      <c r="JS70" s="272"/>
      <c r="JT70" s="272"/>
      <c r="JU70" s="272"/>
      <c r="JV70" s="272"/>
      <c r="JW70" s="272"/>
      <c r="JX70" s="272"/>
      <c r="JY70" s="272"/>
      <c r="JZ70" s="272"/>
      <c r="KA70" s="272"/>
      <c r="KB70" s="272"/>
      <c r="KC70" s="272"/>
      <c r="KD70" s="272"/>
      <c r="KE70" s="272"/>
      <c r="KF70" s="272"/>
      <c r="KG70" s="272"/>
      <c r="KH70" s="272"/>
      <c r="KI70" s="272"/>
      <c r="KJ70" s="272"/>
      <c r="KK70" s="272"/>
      <c r="KL70" s="272"/>
      <c r="KM70" s="272"/>
      <c r="KN70" s="272"/>
      <c r="KO70" s="272"/>
      <c r="KP70" s="272"/>
      <c r="KQ70" s="272"/>
      <c r="KR70" s="272"/>
      <c r="KS70" s="272"/>
      <c r="KT70" s="272"/>
      <c r="KU70" s="272"/>
      <c r="KV70" s="272"/>
      <c r="KW70" s="272"/>
      <c r="KX70" s="272"/>
      <c r="KY70" s="272"/>
      <c r="KZ70" s="272"/>
      <c r="LA70" s="272"/>
      <c r="LB70" s="272"/>
      <c r="LC70" s="272"/>
      <c r="LD70" s="272"/>
      <c r="LE70" s="272"/>
      <c r="LF70" s="272"/>
      <c r="LG70" s="272"/>
      <c r="LH70" s="272"/>
      <c r="LI70" s="272"/>
      <c r="LJ70" s="272"/>
      <c r="LK70" s="272"/>
      <c r="LL70" s="272"/>
      <c r="LM70" s="272"/>
      <c r="LN70" s="272"/>
      <c r="LO70" s="272"/>
      <c r="LP70" s="272"/>
      <c r="LQ70" s="272"/>
      <c r="LR70" s="272"/>
      <c r="LS70" s="272"/>
      <c r="LT70" s="272"/>
      <c r="LU70" s="272"/>
      <c r="LV70" s="272"/>
      <c r="LW70" s="272"/>
      <c r="LX70" s="272"/>
      <c r="LY70" s="272"/>
      <c r="LZ70" s="272"/>
      <c r="MA70" s="272"/>
      <c r="MB70" s="272"/>
      <c r="MC70" s="272"/>
      <c r="MD70" s="272"/>
      <c r="ME70" s="272"/>
      <c r="MF70" s="272"/>
      <c r="MG70" s="272"/>
      <c r="MH70" s="272"/>
      <c r="MI70" s="272"/>
      <c r="MJ70" s="272"/>
      <c r="MK70" s="272"/>
      <c r="ML70" s="272"/>
      <c r="MM70" s="272"/>
      <c r="MN70" s="272"/>
      <c r="MO70" s="272"/>
      <c r="MP70" s="272"/>
      <c r="MQ70" s="272"/>
      <c r="MR70" s="272"/>
      <c r="MS70" s="272"/>
      <c r="MT70" s="272"/>
      <c r="MU70" s="272"/>
      <c r="MV70" s="272"/>
      <c r="MW70" s="272"/>
      <c r="MX70" s="272"/>
      <c r="MY70" s="272"/>
      <c r="MZ70" s="272"/>
      <c r="NA70" s="272"/>
      <c r="NB70" s="272"/>
      <c r="NC70" s="272"/>
      <c r="ND70" s="272"/>
      <c r="NE70" s="272"/>
      <c r="NF70" s="272"/>
      <c r="NG70" s="272"/>
      <c r="NH70" s="272"/>
      <c r="NI70" s="272"/>
      <c r="NJ70" s="272"/>
      <c r="NK70" s="272"/>
      <c r="NL70" s="272"/>
      <c r="NM70" s="272"/>
      <c r="NN70" s="272"/>
      <c r="NO70" s="272"/>
      <c r="NP70" s="272"/>
      <c r="NQ70" s="272"/>
      <c r="NR70" s="272"/>
      <c r="NS70" s="272"/>
      <c r="NT70" s="272"/>
      <c r="NU70" s="272"/>
      <c r="NV70" s="272"/>
      <c r="NW70" s="272"/>
      <c r="NX70" s="272"/>
      <c r="NY70" s="272"/>
      <c r="NZ70" s="272"/>
      <c r="OA70" s="272"/>
      <c r="OB70" s="272"/>
      <c r="OC70" s="272"/>
      <c r="OD70" s="272"/>
      <c r="OE70" s="272"/>
      <c r="OF70" s="272"/>
      <c r="OG70" s="272"/>
      <c r="OH70" s="272"/>
      <c r="OI70" s="272"/>
      <c r="OJ70" s="272"/>
      <c r="OK70" s="272"/>
      <c r="OL70" s="272"/>
      <c r="OM70" s="272"/>
      <c r="ON70" s="272"/>
      <c r="OO70" s="272"/>
      <c r="OP70" s="272"/>
      <c r="OQ70" s="272"/>
      <c r="OR70" s="272"/>
      <c r="OS70" s="272"/>
      <c r="OT70" s="272"/>
      <c r="OU70" s="272"/>
      <c r="OV70" s="272"/>
      <c r="OW70" s="272"/>
      <c r="OX70" s="272"/>
      <c r="OY70" s="272"/>
      <c r="OZ70" s="272"/>
      <c r="PA70" s="272"/>
      <c r="PB70" s="272"/>
      <c r="PC70" s="272"/>
      <c r="PD70" s="272"/>
      <c r="PE70" s="272"/>
      <c r="PF70" s="272"/>
      <c r="PG70" s="272"/>
      <c r="PH70" s="272"/>
      <c r="PI70" s="272"/>
      <c r="PJ70" s="272"/>
      <c r="PK70" s="272"/>
      <c r="PL70" s="272"/>
      <c r="PM70" s="272"/>
      <c r="PN70" s="272"/>
      <c r="PO70" s="272"/>
      <c r="PP70" s="272"/>
      <c r="PQ70" s="272"/>
      <c r="PR70" s="272"/>
      <c r="PS70" s="272"/>
      <c r="PT70" s="272"/>
      <c r="PU70" s="272"/>
      <c r="PV70" s="272"/>
      <c r="PW70" s="272"/>
      <c r="PX70" s="272"/>
      <c r="PY70" s="272"/>
      <c r="PZ70" s="272"/>
      <c r="QA70" s="272"/>
      <c r="QB70" s="272"/>
      <c r="QC70" s="272"/>
      <c r="QD70" s="272"/>
      <c r="QE70" s="272"/>
      <c r="QF70" s="272"/>
      <c r="QG70" s="272"/>
      <c r="QH70" s="272"/>
      <c r="QI70" s="272"/>
      <c r="QJ70" s="272"/>
      <c r="QK70" s="272"/>
      <c r="QL70" s="272"/>
      <c r="QM70" s="272"/>
      <c r="QN70" s="272"/>
      <c r="QO70" s="272"/>
      <c r="QP70" s="272"/>
      <c r="QQ70" s="272"/>
      <c r="QR70" s="272"/>
      <c r="QS70" s="272"/>
      <c r="QT70" s="272"/>
      <c r="QU70" s="272"/>
      <c r="QV70" s="272"/>
      <c r="QW70" s="272"/>
      <c r="QX70" s="272"/>
      <c r="QY70" s="272"/>
      <c r="QZ70" s="272"/>
      <c r="RA70" s="272"/>
      <c r="RB70" s="272"/>
      <c r="RC70" s="272"/>
      <c r="RD70" s="272"/>
      <c r="RE70" s="272"/>
      <c r="RF70" s="272"/>
      <c r="RG70" s="272"/>
      <c r="RH70" s="272"/>
      <c r="RI70" s="272"/>
      <c r="RJ70" s="272"/>
      <c r="RK70" s="272"/>
      <c r="RL70" s="272"/>
      <c r="RM70" s="272"/>
      <c r="RN70" s="272"/>
      <c r="RO70" s="272"/>
      <c r="RP70" s="272"/>
      <c r="RQ70" s="272"/>
      <c r="RR70" s="272"/>
      <c r="RS70" s="272"/>
      <c r="RT70" s="272"/>
      <c r="RU70" s="272"/>
      <c r="RV70" s="272"/>
      <c r="RW70" s="272"/>
      <c r="RX70" s="272"/>
      <c r="RY70" s="272"/>
      <c r="RZ70" s="272"/>
      <c r="SA70" s="272"/>
      <c r="SB70" s="272"/>
      <c r="SC70" s="272"/>
      <c r="SD70" s="272"/>
      <c r="SE70" s="272"/>
      <c r="SF70" s="272"/>
      <c r="SG70" s="272"/>
      <c r="SH70" s="272"/>
      <c r="SI70" s="272"/>
      <c r="SJ70" s="272"/>
      <c r="SK70" s="272"/>
      <c r="SL70" s="272"/>
      <c r="SM70" s="272"/>
      <c r="SN70" s="272"/>
      <c r="SO70" s="272"/>
      <c r="SP70" s="272"/>
      <c r="SQ70" s="272"/>
      <c r="SR70" s="272"/>
      <c r="SS70" s="272"/>
      <c r="ST70" s="272"/>
      <c r="SU70" s="272"/>
      <c r="SV70" s="272"/>
      <c r="SW70" s="272"/>
      <c r="SX70" s="272"/>
      <c r="SY70" s="272"/>
      <c r="SZ70" s="272"/>
      <c r="TA70" s="272"/>
      <c r="TB70" s="272"/>
      <c r="TC70" s="272"/>
      <c r="TD70" s="272"/>
      <c r="TE70" s="272"/>
      <c r="TF70" s="272"/>
      <c r="TG70" s="272"/>
      <c r="TH70" s="272"/>
      <c r="TI70" s="272"/>
      <c r="TJ70" s="272"/>
      <c r="TK70" s="272"/>
      <c r="TL70" s="272"/>
      <c r="TM70" s="272"/>
      <c r="TN70" s="272"/>
      <c r="TO70" s="272"/>
      <c r="TP70" s="272"/>
      <c r="TQ70" s="272"/>
      <c r="TR70" s="272"/>
      <c r="TS70" s="272"/>
      <c r="TT70" s="272"/>
      <c r="TU70" s="272"/>
      <c r="TV70" s="272"/>
      <c r="TW70" s="272"/>
      <c r="TX70" s="272"/>
      <c r="TY70" s="272"/>
      <c r="TZ70" s="272"/>
      <c r="UA70" s="272"/>
      <c r="UB70" s="272"/>
      <c r="UC70" s="272"/>
      <c r="UD70" s="272"/>
      <c r="UE70" s="272"/>
      <c r="UF70" s="272"/>
      <c r="UG70" s="272"/>
      <c r="UH70" s="272"/>
      <c r="UI70" s="272"/>
      <c r="UJ70" s="272"/>
      <c r="UK70" s="272"/>
      <c r="UL70" s="272"/>
      <c r="UM70" s="272"/>
      <c r="UN70" s="272"/>
      <c r="UO70" s="272"/>
      <c r="UP70" s="272"/>
      <c r="UQ70" s="272"/>
      <c r="UR70" s="272"/>
      <c r="US70" s="272"/>
      <c r="UT70" s="272"/>
      <c r="UU70" s="272"/>
      <c r="UV70" s="272"/>
      <c r="UW70" s="272"/>
      <c r="UX70" s="272"/>
      <c r="UY70" s="272"/>
      <c r="UZ70" s="272"/>
      <c r="VA70" s="272"/>
      <c r="VB70" s="272"/>
      <c r="VC70" s="272"/>
      <c r="VD70" s="272"/>
      <c r="VE70" s="272"/>
      <c r="VF70" s="272"/>
      <c r="VG70" s="272"/>
      <c r="VH70" s="272"/>
      <c r="VI70" s="272"/>
      <c r="VJ70" s="272"/>
      <c r="VK70" s="272"/>
      <c r="VL70" s="272"/>
      <c r="VM70" s="272"/>
      <c r="VN70" s="272"/>
      <c r="VO70" s="272"/>
      <c r="VP70" s="272"/>
      <c r="VQ70" s="272"/>
      <c r="VR70" s="272"/>
      <c r="VS70" s="272"/>
      <c r="VT70" s="272"/>
      <c r="VU70" s="272"/>
      <c r="VV70" s="272"/>
      <c r="VW70" s="272"/>
      <c r="VX70" s="272"/>
      <c r="VY70" s="272"/>
      <c r="VZ70" s="272"/>
      <c r="WA70" s="272"/>
      <c r="WB70" s="272"/>
      <c r="WC70" s="272"/>
      <c r="WD70" s="272"/>
      <c r="WE70" s="272"/>
      <c r="WF70" s="272"/>
      <c r="WG70" s="272"/>
      <c r="WH70" s="272"/>
      <c r="WI70" s="272"/>
      <c r="WJ70" s="272"/>
      <c r="WK70" s="272"/>
      <c r="WL70" s="272"/>
      <c r="WM70" s="272"/>
      <c r="WN70" s="272"/>
      <c r="WO70" s="272"/>
      <c r="WP70" s="272"/>
      <c r="WQ70" s="272"/>
      <c r="WR70" s="272"/>
      <c r="WS70" s="272"/>
      <c r="WT70" s="272"/>
      <c r="WU70" s="272"/>
      <c r="WV70" s="272"/>
      <c r="WW70" s="272"/>
      <c r="WX70" s="272"/>
      <c r="WY70" s="272"/>
      <c r="WZ70" s="272"/>
      <c r="XA70" s="272"/>
      <c r="XB70" s="272"/>
      <c r="XC70" s="272"/>
      <c r="XD70" s="272"/>
      <c r="XE70" s="272"/>
      <c r="XF70" s="272"/>
      <c r="XG70" s="272"/>
      <c r="XH70" s="272"/>
      <c r="XI70" s="272"/>
      <c r="XJ70" s="272"/>
      <c r="XK70" s="272"/>
      <c r="XL70" s="272"/>
      <c r="XM70" s="272"/>
      <c r="XN70" s="272"/>
      <c r="XO70" s="272"/>
      <c r="XP70" s="272"/>
      <c r="XQ70" s="272"/>
      <c r="XR70" s="272"/>
      <c r="XS70" s="272"/>
      <c r="XT70" s="272"/>
      <c r="XU70" s="272"/>
      <c r="XV70" s="272"/>
      <c r="XW70" s="272"/>
      <c r="XX70" s="272"/>
      <c r="XY70" s="272"/>
      <c r="XZ70" s="272"/>
      <c r="YA70" s="272"/>
      <c r="YB70" s="272"/>
      <c r="YC70" s="272"/>
      <c r="YD70" s="272"/>
      <c r="YE70" s="272"/>
      <c r="YF70" s="272"/>
      <c r="YG70" s="272"/>
      <c r="YH70" s="272"/>
      <c r="YI70" s="272"/>
      <c r="YJ70" s="272"/>
      <c r="YK70" s="272"/>
      <c r="YL70" s="272"/>
      <c r="YM70" s="272"/>
      <c r="YN70" s="272"/>
      <c r="YO70" s="272"/>
      <c r="YP70" s="272"/>
      <c r="YQ70" s="272"/>
      <c r="YR70" s="272"/>
      <c r="YS70" s="272"/>
      <c r="YT70" s="272"/>
      <c r="YU70" s="272"/>
      <c r="YV70" s="272"/>
      <c r="YW70" s="272"/>
      <c r="YX70" s="272"/>
      <c r="YY70" s="272"/>
      <c r="YZ70" s="272"/>
      <c r="ZA70" s="272"/>
      <c r="ZB70" s="272"/>
      <c r="ZC70" s="272"/>
      <c r="ZD70" s="272"/>
      <c r="ZE70" s="272"/>
      <c r="ZF70" s="272"/>
      <c r="ZG70" s="272"/>
      <c r="ZH70" s="272"/>
      <c r="ZI70" s="272"/>
      <c r="ZJ70" s="272"/>
      <c r="ZK70" s="272"/>
      <c r="ZL70" s="272"/>
      <c r="ZM70" s="272"/>
      <c r="ZN70" s="272"/>
      <c r="ZO70" s="272"/>
      <c r="ZP70" s="272"/>
      <c r="ZQ70" s="272"/>
      <c r="ZR70" s="272"/>
      <c r="ZS70" s="272"/>
      <c r="ZT70" s="272"/>
    </row>
    <row r="71" spans="1:8" ht="39" thickBot="1">
      <c r="A71" s="3" t="s">
        <v>8</v>
      </c>
      <c r="B71" s="4"/>
      <c r="C71" s="4"/>
      <c r="D71" s="4"/>
      <c r="E71" s="96"/>
      <c r="F71" s="4"/>
      <c r="G71" s="4"/>
      <c r="H71" s="4"/>
    </row>
    <row r="72" spans="1:696" s="61" customFormat="1" ht="15">
      <c r="A72" s="606" t="s">
        <v>9</v>
      </c>
      <c r="B72" s="608" t="s">
        <v>30</v>
      </c>
      <c r="C72" s="608" t="s">
        <v>52</v>
      </c>
      <c r="D72" s="605"/>
      <c r="E72" s="640"/>
      <c r="F72" s="618"/>
      <c r="G72" s="628"/>
      <c r="H72" s="628"/>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E72" s="272"/>
      <c r="CF72" s="272"/>
      <c r="CG72" s="272"/>
      <c r="CH72" s="272"/>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2"/>
      <c r="DF72" s="272"/>
      <c r="DG72" s="272"/>
      <c r="DH72" s="272"/>
      <c r="DI72" s="272"/>
      <c r="DJ72" s="272"/>
      <c r="DK72" s="272"/>
      <c r="DL72" s="272"/>
      <c r="DM72" s="272"/>
      <c r="DN72" s="272"/>
      <c r="DO72" s="272"/>
      <c r="DP72" s="272"/>
      <c r="DQ72" s="272"/>
      <c r="DR72" s="272"/>
      <c r="DS72" s="272"/>
      <c r="DT72" s="272"/>
      <c r="DU72" s="272"/>
      <c r="DV72" s="272"/>
      <c r="DW72" s="272"/>
      <c r="DX72" s="272"/>
      <c r="DY72" s="272"/>
      <c r="DZ72" s="272"/>
      <c r="EA72" s="272"/>
      <c r="EB72" s="272"/>
      <c r="EC72" s="272"/>
      <c r="ED72" s="272"/>
      <c r="EE72" s="272"/>
      <c r="EF72" s="272"/>
      <c r="EG72" s="272"/>
      <c r="EH72" s="272"/>
      <c r="EI72" s="272"/>
      <c r="EJ72" s="272"/>
      <c r="EK72" s="272"/>
      <c r="EL72" s="272"/>
      <c r="EM72" s="272"/>
      <c r="EN72" s="272"/>
      <c r="EO72" s="272"/>
      <c r="EP72" s="272"/>
      <c r="EQ72" s="272"/>
      <c r="ER72" s="272"/>
      <c r="ES72" s="272"/>
      <c r="ET72" s="272"/>
      <c r="EU72" s="272"/>
      <c r="EV72" s="272"/>
      <c r="EW72" s="272"/>
      <c r="EX72" s="272"/>
      <c r="EY72" s="272"/>
      <c r="EZ72" s="272"/>
      <c r="FA72" s="272"/>
      <c r="FB72" s="272"/>
      <c r="FC72" s="272"/>
      <c r="FD72" s="272"/>
      <c r="FE72" s="272"/>
      <c r="FF72" s="272"/>
      <c r="FG72" s="272"/>
      <c r="FH72" s="272"/>
      <c r="FI72" s="272"/>
      <c r="FJ72" s="272"/>
      <c r="FK72" s="272"/>
      <c r="FL72" s="272"/>
      <c r="FM72" s="272"/>
      <c r="FN72" s="272"/>
      <c r="FO72" s="272"/>
      <c r="FP72" s="272"/>
      <c r="FQ72" s="272"/>
      <c r="FR72" s="272"/>
      <c r="FS72" s="272"/>
      <c r="FT72" s="272"/>
      <c r="FU72" s="272"/>
      <c r="FV72" s="272"/>
      <c r="FW72" s="272"/>
      <c r="FX72" s="272"/>
      <c r="FY72" s="272"/>
      <c r="FZ72" s="272"/>
      <c r="GA72" s="272"/>
      <c r="GB72" s="272"/>
      <c r="GC72" s="272"/>
      <c r="GD72" s="272"/>
      <c r="GE72" s="272"/>
      <c r="GF72" s="272"/>
      <c r="GG72" s="272"/>
      <c r="GH72" s="272"/>
      <c r="GI72" s="272"/>
      <c r="GJ72" s="272"/>
      <c r="GK72" s="272"/>
      <c r="GL72" s="272"/>
      <c r="GM72" s="272"/>
      <c r="GN72" s="272"/>
      <c r="GO72" s="272"/>
      <c r="GP72" s="272"/>
      <c r="GQ72" s="272"/>
      <c r="GR72" s="272"/>
      <c r="GS72" s="272"/>
      <c r="GT72" s="272"/>
      <c r="GU72" s="272"/>
      <c r="GV72" s="272"/>
      <c r="GW72" s="272"/>
      <c r="GX72" s="272"/>
      <c r="GY72" s="272"/>
      <c r="GZ72" s="272"/>
      <c r="HA72" s="272"/>
      <c r="HB72" s="272"/>
      <c r="HC72" s="272"/>
      <c r="HD72" s="272"/>
      <c r="HE72" s="272"/>
      <c r="HF72" s="272"/>
      <c r="HG72" s="272"/>
      <c r="HH72" s="272"/>
      <c r="HI72" s="272"/>
      <c r="HJ72" s="272"/>
      <c r="HK72" s="272"/>
      <c r="HL72" s="272"/>
      <c r="HM72" s="272"/>
      <c r="HN72" s="272"/>
      <c r="HO72" s="272"/>
      <c r="HP72" s="272"/>
      <c r="HQ72" s="272"/>
      <c r="HR72" s="272"/>
      <c r="HS72" s="272"/>
      <c r="HT72" s="272"/>
      <c r="HU72" s="272"/>
      <c r="HV72" s="272"/>
      <c r="HW72" s="272"/>
      <c r="HX72" s="272"/>
      <c r="HY72" s="272"/>
      <c r="HZ72" s="272"/>
      <c r="IA72" s="272"/>
      <c r="IB72" s="272"/>
      <c r="IC72" s="272"/>
      <c r="ID72" s="272"/>
      <c r="IE72" s="272"/>
      <c r="IF72" s="272"/>
      <c r="IG72" s="272"/>
      <c r="IH72" s="272"/>
      <c r="II72" s="272"/>
      <c r="IJ72" s="272"/>
      <c r="IK72" s="272"/>
      <c r="IL72" s="272"/>
      <c r="IM72" s="272"/>
      <c r="IN72" s="272"/>
      <c r="IO72" s="272"/>
      <c r="IP72" s="272"/>
      <c r="IQ72" s="272"/>
      <c r="IR72" s="272"/>
      <c r="IS72" s="272"/>
      <c r="IT72" s="272"/>
      <c r="IU72" s="272"/>
      <c r="IV72" s="272"/>
      <c r="IW72" s="272"/>
      <c r="IX72" s="272"/>
      <c r="IY72" s="272"/>
      <c r="IZ72" s="272"/>
      <c r="JA72" s="272"/>
      <c r="JB72" s="272"/>
      <c r="JC72" s="272"/>
      <c r="JD72" s="272"/>
      <c r="JE72" s="272"/>
      <c r="JF72" s="272"/>
      <c r="JG72" s="272"/>
      <c r="JH72" s="272"/>
      <c r="JI72" s="272"/>
      <c r="JJ72" s="272"/>
      <c r="JK72" s="272"/>
      <c r="JL72" s="272"/>
      <c r="JM72" s="272"/>
      <c r="JN72" s="272"/>
      <c r="JO72" s="272"/>
      <c r="JP72" s="272"/>
      <c r="JQ72" s="272"/>
      <c r="JR72" s="272"/>
      <c r="JS72" s="272"/>
      <c r="JT72" s="272"/>
      <c r="JU72" s="272"/>
      <c r="JV72" s="272"/>
      <c r="JW72" s="272"/>
      <c r="JX72" s="272"/>
      <c r="JY72" s="272"/>
      <c r="JZ72" s="272"/>
      <c r="KA72" s="272"/>
      <c r="KB72" s="272"/>
      <c r="KC72" s="272"/>
      <c r="KD72" s="272"/>
      <c r="KE72" s="272"/>
      <c r="KF72" s="272"/>
      <c r="KG72" s="272"/>
      <c r="KH72" s="272"/>
      <c r="KI72" s="272"/>
      <c r="KJ72" s="272"/>
      <c r="KK72" s="272"/>
      <c r="KL72" s="272"/>
      <c r="KM72" s="272"/>
      <c r="KN72" s="272"/>
      <c r="KO72" s="272"/>
      <c r="KP72" s="272"/>
      <c r="KQ72" s="272"/>
      <c r="KR72" s="272"/>
      <c r="KS72" s="272"/>
      <c r="KT72" s="272"/>
      <c r="KU72" s="272"/>
      <c r="KV72" s="272"/>
      <c r="KW72" s="272"/>
      <c r="KX72" s="272"/>
      <c r="KY72" s="272"/>
      <c r="KZ72" s="272"/>
      <c r="LA72" s="272"/>
      <c r="LB72" s="272"/>
      <c r="LC72" s="272"/>
      <c r="LD72" s="272"/>
      <c r="LE72" s="272"/>
      <c r="LF72" s="272"/>
      <c r="LG72" s="272"/>
      <c r="LH72" s="272"/>
      <c r="LI72" s="272"/>
      <c r="LJ72" s="272"/>
      <c r="LK72" s="272"/>
      <c r="LL72" s="272"/>
      <c r="LM72" s="272"/>
      <c r="LN72" s="272"/>
      <c r="LO72" s="272"/>
      <c r="LP72" s="272"/>
      <c r="LQ72" s="272"/>
      <c r="LR72" s="272"/>
      <c r="LS72" s="272"/>
      <c r="LT72" s="272"/>
      <c r="LU72" s="272"/>
      <c r="LV72" s="272"/>
      <c r="LW72" s="272"/>
      <c r="LX72" s="272"/>
      <c r="LY72" s="272"/>
      <c r="LZ72" s="272"/>
      <c r="MA72" s="272"/>
      <c r="MB72" s="272"/>
      <c r="MC72" s="272"/>
      <c r="MD72" s="272"/>
      <c r="ME72" s="272"/>
      <c r="MF72" s="272"/>
      <c r="MG72" s="272"/>
      <c r="MH72" s="272"/>
      <c r="MI72" s="272"/>
      <c r="MJ72" s="272"/>
      <c r="MK72" s="272"/>
      <c r="ML72" s="272"/>
      <c r="MM72" s="272"/>
      <c r="MN72" s="272"/>
      <c r="MO72" s="272"/>
      <c r="MP72" s="272"/>
      <c r="MQ72" s="272"/>
      <c r="MR72" s="272"/>
      <c r="MS72" s="272"/>
      <c r="MT72" s="272"/>
      <c r="MU72" s="272"/>
      <c r="MV72" s="272"/>
      <c r="MW72" s="272"/>
      <c r="MX72" s="272"/>
      <c r="MY72" s="272"/>
      <c r="MZ72" s="272"/>
      <c r="NA72" s="272"/>
      <c r="NB72" s="272"/>
      <c r="NC72" s="272"/>
      <c r="ND72" s="272"/>
      <c r="NE72" s="272"/>
      <c r="NF72" s="272"/>
      <c r="NG72" s="272"/>
      <c r="NH72" s="272"/>
      <c r="NI72" s="272"/>
      <c r="NJ72" s="272"/>
      <c r="NK72" s="272"/>
      <c r="NL72" s="272"/>
      <c r="NM72" s="272"/>
      <c r="NN72" s="272"/>
      <c r="NO72" s="272"/>
      <c r="NP72" s="272"/>
      <c r="NQ72" s="272"/>
      <c r="NR72" s="272"/>
      <c r="NS72" s="272"/>
      <c r="NT72" s="272"/>
      <c r="NU72" s="272"/>
      <c r="NV72" s="272"/>
      <c r="NW72" s="272"/>
      <c r="NX72" s="272"/>
      <c r="NY72" s="272"/>
      <c r="NZ72" s="272"/>
      <c r="OA72" s="272"/>
      <c r="OB72" s="272"/>
      <c r="OC72" s="272"/>
      <c r="OD72" s="272"/>
      <c r="OE72" s="272"/>
      <c r="OF72" s="272"/>
      <c r="OG72" s="272"/>
      <c r="OH72" s="272"/>
      <c r="OI72" s="272"/>
      <c r="OJ72" s="272"/>
      <c r="OK72" s="272"/>
      <c r="OL72" s="272"/>
      <c r="OM72" s="272"/>
      <c r="ON72" s="272"/>
      <c r="OO72" s="272"/>
      <c r="OP72" s="272"/>
      <c r="OQ72" s="272"/>
      <c r="OR72" s="272"/>
      <c r="OS72" s="272"/>
      <c r="OT72" s="272"/>
      <c r="OU72" s="272"/>
      <c r="OV72" s="272"/>
      <c r="OW72" s="272"/>
      <c r="OX72" s="272"/>
      <c r="OY72" s="272"/>
      <c r="OZ72" s="272"/>
      <c r="PA72" s="272"/>
      <c r="PB72" s="272"/>
      <c r="PC72" s="272"/>
      <c r="PD72" s="272"/>
      <c r="PE72" s="272"/>
      <c r="PF72" s="272"/>
      <c r="PG72" s="272"/>
      <c r="PH72" s="272"/>
      <c r="PI72" s="272"/>
      <c r="PJ72" s="272"/>
      <c r="PK72" s="272"/>
      <c r="PL72" s="272"/>
      <c r="PM72" s="272"/>
      <c r="PN72" s="272"/>
      <c r="PO72" s="272"/>
      <c r="PP72" s="272"/>
      <c r="PQ72" s="272"/>
      <c r="PR72" s="272"/>
      <c r="PS72" s="272"/>
      <c r="PT72" s="272"/>
      <c r="PU72" s="272"/>
      <c r="PV72" s="272"/>
      <c r="PW72" s="272"/>
      <c r="PX72" s="272"/>
      <c r="PY72" s="272"/>
      <c r="PZ72" s="272"/>
      <c r="QA72" s="272"/>
      <c r="QB72" s="272"/>
      <c r="QC72" s="272"/>
      <c r="QD72" s="272"/>
      <c r="QE72" s="272"/>
      <c r="QF72" s="272"/>
      <c r="QG72" s="272"/>
      <c r="QH72" s="272"/>
      <c r="QI72" s="272"/>
      <c r="QJ72" s="272"/>
      <c r="QK72" s="272"/>
      <c r="QL72" s="272"/>
      <c r="QM72" s="272"/>
      <c r="QN72" s="272"/>
      <c r="QO72" s="272"/>
      <c r="QP72" s="272"/>
      <c r="QQ72" s="272"/>
      <c r="QR72" s="272"/>
      <c r="QS72" s="272"/>
      <c r="QT72" s="272"/>
      <c r="QU72" s="272"/>
      <c r="QV72" s="272"/>
      <c r="QW72" s="272"/>
      <c r="QX72" s="272"/>
      <c r="QY72" s="272"/>
      <c r="QZ72" s="272"/>
      <c r="RA72" s="272"/>
      <c r="RB72" s="272"/>
      <c r="RC72" s="272"/>
      <c r="RD72" s="272"/>
      <c r="RE72" s="272"/>
      <c r="RF72" s="272"/>
      <c r="RG72" s="272"/>
      <c r="RH72" s="272"/>
      <c r="RI72" s="272"/>
      <c r="RJ72" s="272"/>
      <c r="RK72" s="272"/>
      <c r="RL72" s="272"/>
      <c r="RM72" s="272"/>
      <c r="RN72" s="272"/>
      <c r="RO72" s="272"/>
      <c r="RP72" s="272"/>
      <c r="RQ72" s="272"/>
      <c r="RR72" s="272"/>
      <c r="RS72" s="272"/>
      <c r="RT72" s="272"/>
      <c r="RU72" s="272"/>
      <c r="RV72" s="272"/>
      <c r="RW72" s="272"/>
      <c r="RX72" s="272"/>
      <c r="RY72" s="272"/>
      <c r="RZ72" s="272"/>
      <c r="SA72" s="272"/>
      <c r="SB72" s="272"/>
      <c r="SC72" s="272"/>
      <c r="SD72" s="272"/>
      <c r="SE72" s="272"/>
      <c r="SF72" s="272"/>
      <c r="SG72" s="272"/>
      <c r="SH72" s="272"/>
      <c r="SI72" s="272"/>
      <c r="SJ72" s="272"/>
      <c r="SK72" s="272"/>
      <c r="SL72" s="272"/>
      <c r="SM72" s="272"/>
      <c r="SN72" s="272"/>
      <c r="SO72" s="272"/>
      <c r="SP72" s="272"/>
      <c r="SQ72" s="272"/>
      <c r="SR72" s="272"/>
      <c r="SS72" s="272"/>
      <c r="ST72" s="272"/>
      <c r="SU72" s="272"/>
      <c r="SV72" s="272"/>
      <c r="SW72" s="272"/>
      <c r="SX72" s="272"/>
      <c r="SY72" s="272"/>
      <c r="SZ72" s="272"/>
      <c r="TA72" s="272"/>
      <c r="TB72" s="272"/>
      <c r="TC72" s="272"/>
      <c r="TD72" s="272"/>
      <c r="TE72" s="272"/>
      <c r="TF72" s="272"/>
      <c r="TG72" s="272"/>
      <c r="TH72" s="272"/>
      <c r="TI72" s="272"/>
      <c r="TJ72" s="272"/>
      <c r="TK72" s="272"/>
      <c r="TL72" s="272"/>
      <c r="TM72" s="272"/>
      <c r="TN72" s="272"/>
      <c r="TO72" s="272"/>
      <c r="TP72" s="272"/>
      <c r="TQ72" s="272"/>
      <c r="TR72" s="272"/>
      <c r="TS72" s="272"/>
      <c r="TT72" s="272"/>
      <c r="TU72" s="272"/>
      <c r="TV72" s="272"/>
      <c r="TW72" s="272"/>
      <c r="TX72" s="272"/>
      <c r="TY72" s="272"/>
      <c r="TZ72" s="272"/>
      <c r="UA72" s="272"/>
      <c r="UB72" s="272"/>
      <c r="UC72" s="272"/>
      <c r="UD72" s="272"/>
      <c r="UE72" s="272"/>
      <c r="UF72" s="272"/>
      <c r="UG72" s="272"/>
      <c r="UH72" s="272"/>
      <c r="UI72" s="272"/>
      <c r="UJ72" s="272"/>
      <c r="UK72" s="272"/>
      <c r="UL72" s="272"/>
      <c r="UM72" s="272"/>
      <c r="UN72" s="272"/>
      <c r="UO72" s="272"/>
      <c r="UP72" s="272"/>
      <c r="UQ72" s="272"/>
      <c r="UR72" s="272"/>
      <c r="US72" s="272"/>
      <c r="UT72" s="272"/>
      <c r="UU72" s="272"/>
      <c r="UV72" s="272"/>
      <c r="UW72" s="272"/>
      <c r="UX72" s="272"/>
      <c r="UY72" s="272"/>
      <c r="UZ72" s="272"/>
      <c r="VA72" s="272"/>
      <c r="VB72" s="272"/>
      <c r="VC72" s="272"/>
      <c r="VD72" s="272"/>
      <c r="VE72" s="272"/>
      <c r="VF72" s="272"/>
      <c r="VG72" s="272"/>
      <c r="VH72" s="272"/>
      <c r="VI72" s="272"/>
      <c r="VJ72" s="272"/>
      <c r="VK72" s="272"/>
      <c r="VL72" s="272"/>
      <c r="VM72" s="272"/>
      <c r="VN72" s="272"/>
      <c r="VO72" s="272"/>
      <c r="VP72" s="272"/>
      <c r="VQ72" s="272"/>
      <c r="VR72" s="272"/>
      <c r="VS72" s="272"/>
      <c r="VT72" s="272"/>
      <c r="VU72" s="272"/>
      <c r="VV72" s="272"/>
      <c r="VW72" s="272"/>
      <c r="VX72" s="272"/>
      <c r="VY72" s="272"/>
      <c r="VZ72" s="272"/>
      <c r="WA72" s="272"/>
      <c r="WB72" s="272"/>
      <c r="WC72" s="272"/>
      <c r="WD72" s="272"/>
      <c r="WE72" s="272"/>
      <c r="WF72" s="272"/>
      <c r="WG72" s="272"/>
      <c r="WH72" s="272"/>
      <c r="WI72" s="272"/>
      <c r="WJ72" s="272"/>
      <c r="WK72" s="272"/>
      <c r="WL72" s="272"/>
      <c r="WM72" s="272"/>
      <c r="WN72" s="272"/>
      <c r="WO72" s="272"/>
      <c r="WP72" s="272"/>
      <c r="WQ72" s="272"/>
      <c r="WR72" s="272"/>
      <c r="WS72" s="272"/>
      <c r="WT72" s="272"/>
      <c r="WU72" s="272"/>
      <c r="WV72" s="272"/>
      <c r="WW72" s="272"/>
      <c r="WX72" s="272"/>
      <c r="WY72" s="272"/>
      <c r="WZ72" s="272"/>
      <c r="XA72" s="272"/>
      <c r="XB72" s="272"/>
      <c r="XC72" s="272"/>
      <c r="XD72" s="272"/>
      <c r="XE72" s="272"/>
      <c r="XF72" s="272"/>
      <c r="XG72" s="272"/>
      <c r="XH72" s="272"/>
      <c r="XI72" s="272"/>
      <c r="XJ72" s="272"/>
      <c r="XK72" s="272"/>
      <c r="XL72" s="272"/>
      <c r="XM72" s="272"/>
      <c r="XN72" s="272"/>
      <c r="XO72" s="272"/>
      <c r="XP72" s="272"/>
      <c r="XQ72" s="272"/>
      <c r="XR72" s="272"/>
      <c r="XS72" s="272"/>
      <c r="XT72" s="272"/>
      <c r="XU72" s="272"/>
      <c r="XV72" s="272"/>
      <c r="XW72" s="272"/>
      <c r="XX72" s="272"/>
      <c r="XY72" s="272"/>
      <c r="XZ72" s="272"/>
      <c r="YA72" s="272"/>
      <c r="YB72" s="272"/>
      <c r="YC72" s="272"/>
      <c r="YD72" s="272"/>
      <c r="YE72" s="272"/>
      <c r="YF72" s="272"/>
      <c r="YG72" s="272"/>
      <c r="YH72" s="272"/>
      <c r="YI72" s="272"/>
      <c r="YJ72" s="272"/>
      <c r="YK72" s="272"/>
      <c r="YL72" s="272"/>
      <c r="YM72" s="272"/>
      <c r="YN72" s="272"/>
      <c r="YO72" s="272"/>
      <c r="YP72" s="272"/>
      <c r="YQ72" s="272"/>
      <c r="YR72" s="272"/>
      <c r="YS72" s="272"/>
      <c r="YT72" s="272"/>
      <c r="YU72" s="272"/>
      <c r="YV72" s="272"/>
      <c r="YW72" s="272"/>
      <c r="YX72" s="272"/>
      <c r="YY72" s="272"/>
      <c r="YZ72" s="272"/>
      <c r="ZA72" s="272"/>
      <c r="ZB72" s="272"/>
      <c r="ZC72" s="272"/>
      <c r="ZD72" s="272"/>
      <c r="ZE72" s="272"/>
      <c r="ZF72" s="272"/>
      <c r="ZG72" s="272"/>
      <c r="ZH72" s="272"/>
      <c r="ZI72" s="272"/>
      <c r="ZJ72" s="272"/>
      <c r="ZK72" s="272"/>
      <c r="ZL72" s="272"/>
      <c r="ZM72" s="272"/>
      <c r="ZN72" s="272"/>
      <c r="ZO72" s="272"/>
      <c r="ZP72" s="272"/>
      <c r="ZQ72" s="272"/>
      <c r="ZR72" s="272"/>
      <c r="ZS72" s="272"/>
      <c r="ZT72" s="272"/>
    </row>
    <row r="73" spans="1:696" s="86" customFormat="1" ht="53.25" customHeight="1">
      <c r="A73" s="607"/>
      <c r="B73" s="597"/>
      <c r="C73" s="597"/>
      <c r="D73" s="600"/>
      <c r="E73" s="619"/>
      <c r="F73" s="619"/>
      <c r="G73" s="626"/>
      <c r="H73" s="626"/>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272"/>
      <c r="EA73" s="272"/>
      <c r="EB73" s="272"/>
      <c r="EC73" s="272"/>
      <c r="ED73" s="272"/>
      <c r="EE73" s="272"/>
      <c r="EF73" s="272"/>
      <c r="EG73" s="272"/>
      <c r="EH73" s="272"/>
      <c r="EI73" s="272"/>
      <c r="EJ73" s="272"/>
      <c r="EK73" s="272"/>
      <c r="EL73" s="272"/>
      <c r="EM73" s="272"/>
      <c r="EN73" s="272"/>
      <c r="EO73" s="272"/>
      <c r="EP73" s="272"/>
      <c r="EQ73" s="272"/>
      <c r="ER73" s="272"/>
      <c r="ES73" s="272"/>
      <c r="ET73" s="272"/>
      <c r="EU73" s="272"/>
      <c r="EV73" s="272"/>
      <c r="EW73" s="272"/>
      <c r="EX73" s="272"/>
      <c r="EY73" s="272"/>
      <c r="EZ73" s="272"/>
      <c r="FA73" s="272"/>
      <c r="FB73" s="272"/>
      <c r="FC73" s="272"/>
      <c r="FD73" s="272"/>
      <c r="FE73" s="272"/>
      <c r="FF73" s="272"/>
      <c r="FG73" s="272"/>
      <c r="FH73" s="272"/>
      <c r="FI73" s="272"/>
      <c r="FJ73" s="272"/>
      <c r="FK73" s="272"/>
      <c r="FL73" s="272"/>
      <c r="FM73" s="272"/>
      <c r="FN73" s="272"/>
      <c r="FO73" s="272"/>
      <c r="FP73" s="272"/>
      <c r="FQ73" s="272"/>
      <c r="FR73" s="272"/>
      <c r="FS73" s="272"/>
      <c r="FT73" s="272"/>
      <c r="FU73" s="272"/>
      <c r="FV73" s="272"/>
      <c r="FW73" s="272"/>
      <c r="FX73" s="272"/>
      <c r="FY73" s="272"/>
      <c r="FZ73" s="272"/>
      <c r="GA73" s="272"/>
      <c r="GB73" s="272"/>
      <c r="GC73" s="272"/>
      <c r="GD73" s="272"/>
      <c r="GE73" s="272"/>
      <c r="GF73" s="272"/>
      <c r="GG73" s="272"/>
      <c r="GH73" s="272"/>
      <c r="GI73" s="272"/>
      <c r="GJ73" s="272"/>
      <c r="GK73" s="272"/>
      <c r="GL73" s="272"/>
      <c r="GM73" s="272"/>
      <c r="GN73" s="272"/>
      <c r="GO73" s="272"/>
      <c r="GP73" s="272"/>
      <c r="GQ73" s="272"/>
      <c r="GR73" s="272"/>
      <c r="GS73" s="272"/>
      <c r="GT73" s="272"/>
      <c r="GU73" s="272"/>
      <c r="GV73" s="272"/>
      <c r="GW73" s="272"/>
      <c r="GX73" s="272"/>
      <c r="GY73" s="272"/>
      <c r="GZ73" s="272"/>
      <c r="HA73" s="272"/>
      <c r="HB73" s="272"/>
      <c r="HC73" s="272"/>
      <c r="HD73" s="272"/>
      <c r="HE73" s="272"/>
      <c r="HF73" s="272"/>
      <c r="HG73" s="272"/>
      <c r="HH73" s="272"/>
      <c r="HI73" s="272"/>
      <c r="HJ73" s="272"/>
      <c r="HK73" s="272"/>
      <c r="HL73" s="272"/>
      <c r="HM73" s="272"/>
      <c r="HN73" s="272"/>
      <c r="HO73" s="272"/>
      <c r="HP73" s="272"/>
      <c r="HQ73" s="272"/>
      <c r="HR73" s="272"/>
      <c r="HS73" s="272"/>
      <c r="HT73" s="272"/>
      <c r="HU73" s="272"/>
      <c r="HV73" s="272"/>
      <c r="HW73" s="272"/>
      <c r="HX73" s="272"/>
      <c r="HY73" s="272"/>
      <c r="HZ73" s="272"/>
      <c r="IA73" s="272"/>
      <c r="IB73" s="272"/>
      <c r="IC73" s="272"/>
      <c r="ID73" s="272"/>
      <c r="IE73" s="272"/>
      <c r="IF73" s="272"/>
      <c r="IG73" s="272"/>
      <c r="IH73" s="272"/>
      <c r="II73" s="272"/>
      <c r="IJ73" s="272"/>
      <c r="IK73" s="272"/>
      <c r="IL73" s="272"/>
      <c r="IM73" s="272"/>
      <c r="IN73" s="272"/>
      <c r="IO73" s="272"/>
      <c r="IP73" s="272"/>
      <c r="IQ73" s="272"/>
      <c r="IR73" s="272"/>
      <c r="IS73" s="272"/>
      <c r="IT73" s="272"/>
      <c r="IU73" s="272"/>
      <c r="IV73" s="272"/>
      <c r="IW73" s="272"/>
      <c r="IX73" s="272"/>
      <c r="IY73" s="272"/>
      <c r="IZ73" s="272"/>
      <c r="JA73" s="272"/>
      <c r="JB73" s="272"/>
      <c r="JC73" s="272"/>
      <c r="JD73" s="272"/>
      <c r="JE73" s="272"/>
      <c r="JF73" s="272"/>
      <c r="JG73" s="272"/>
      <c r="JH73" s="272"/>
      <c r="JI73" s="272"/>
      <c r="JJ73" s="272"/>
      <c r="JK73" s="272"/>
      <c r="JL73" s="272"/>
      <c r="JM73" s="272"/>
      <c r="JN73" s="272"/>
      <c r="JO73" s="272"/>
      <c r="JP73" s="272"/>
      <c r="JQ73" s="272"/>
      <c r="JR73" s="272"/>
      <c r="JS73" s="272"/>
      <c r="JT73" s="272"/>
      <c r="JU73" s="272"/>
      <c r="JV73" s="272"/>
      <c r="JW73" s="272"/>
      <c r="JX73" s="272"/>
      <c r="JY73" s="272"/>
      <c r="JZ73" s="272"/>
      <c r="KA73" s="272"/>
      <c r="KB73" s="272"/>
      <c r="KC73" s="272"/>
      <c r="KD73" s="272"/>
      <c r="KE73" s="272"/>
      <c r="KF73" s="272"/>
      <c r="KG73" s="272"/>
      <c r="KH73" s="272"/>
      <c r="KI73" s="272"/>
      <c r="KJ73" s="272"/>
      <c r="KK73" s="272"/>
      <c r="KL73" s="272"/>
      <c r="KM73" s="272"/>
      <c r="KN73" s="272"/>
      <c r="KO73" s="272"/>
      <c r="KP73" s="272"/>
      <c r="KQ73" s="272"/>
      <c r="KR73" s="272"/>
      <c r="KS73" s="272"/>
      <c r="KT73" s="272"/>
      <c r="KU73" s="272"/>
      <c r="KV73" s="272"/>
      <c r="KW73" s="272"/>
      <c r="KX73" s="272"/>
      <c r="KY73" s="272"/>
      <c r="KZ73" s="272"/>
      <c r="LA73" s="272"/>
      <c r="LB73" s="272"/>
      <c r="LC73" s="272"/>
      <c r="LD73" s="272"/>
      <c r="LE73" s="272"/>
      <c r="LF73" s="272"/>
      <c r="LG73" s="272"/>
      <c r="LH73" s="272"/>
      <c r="LI73" s="272"/>
      <c r="LJ73" s="272"/>
      <c r="LK73" s="272"/>
      <c r="LL73" s="272"/>
      <c r="LM73" s="272"/>
      <c r="LN73" s="272"/>
      <c r="LO73" s="272"/>
      <c r="LP73" s="272"/>
      <c r="LQ73" s="272"/>
      <c r="LR73" s="272"/>
      <c r="LS73" s="272"/>
      <c r="LT73" s="272"/>
      <c r="LU73" s="272"/>
      <c r="LV73" s="272"/>
      <c r="LW73" s="272"/>
      <c r="LX73" s="272"/>
      <c r="LY73" s="272"/>
      <c r="LZ73" s="272"/>
      <c r="MA73" s="272"/>
      <c r="MB73" s="272"/>
      <c r="MC73" s="272"/>
      <c r="MD73" s="272"/>
      <c r="ME73" s="272"/>
      <c r="MF73" s="272"/>
      <c r="MG73" s="272"/>
      <c r="MH73" s="272"/>
      <c r="MI73" s="272"/>
      <c r="MJ73" s="272"/>
      <c r="MK73" s="272"/>
      <c r="ML73" s="272"/>
      <c r="MM73" s="272"/>
      <c r="MN73" s="272"/>
      <c r="MO73" s="272"/>
      <c r="MP73" s="272"/>
      <c r="MQ73" s="272"/>
      <c r="MR73" s="272"/>
      <c r="MS73" s="272"/>
      <c r="MT73" s="272"/>
      <c r="MU73" s="272"/>
      <c r="MV73" s="272"/>
      <c r="MW73" s="272"/>
      <c r="MX73" s="272"/>
      <c r="MY73" s="272"/>
      <c r="MZ73" s="272"/>
      <c r="NA73" s="272"/>
      <c r="NB73" s="272"/>
      <c r="NC73" s="272"/>
      <c r="ND73" s="272"/>
      <c r="NE73" s="272"/>
      <c r="NF73" s="272"/>
      <c r="NG73" s="272"/>
      <c r="NH73" s="272"/>
      <c r="NI73" s="272"/>
      <c r="NJ73" s="272"/>
      <c r="NK73" s="272"/>
      <c r="NL73" s="272"/>
      <c r="NM73" s="272"/>
      <c r="NN73" s="272"/>
      <c r="NO73" s="272"/>
      <c r="NP73" s="272"/>
      <c r="NQ73" s="272"/>
      <c r="NR73" s="272"/>
      <c r="NS73" s="272"/>
      <c r="NT73" s="272"/>
      <c r="NU73" s="272"/>
      <c r="NV73" s="272"/>
      <c r="NW73" s="272"/>
      <c r="NX73" s="272"/>
      <c r="NY73" s="272"/>
      <c r="NZ73" s="272"/>
      <c r="OA73" s="272"/>
      <c r="OB73" s="272"/>
      <c r="OC73" s="272"/>
      <c r="OD73" s="272"/>
      <c r="OE73" s="272"/>
      <c r="OF73" s="272"/>
      <c r="OG73" s="272"/>
      <c r="OH73" s="272"/>
      <c r="OI73" s="272"/>
      <c r="OJ73" s="272"/>
      <c r="OK73" s="272"/>
      <c r="OL73" s="272"/>
      <c r="OM73" s="272"/>
      <c r="ON73" s="272"/>
      <c r="OO73" s="272"/>
      <c r="OP73" s="272"/>
      <c r="OQ73" s="272"/>
      <c r="OR73" s="272"/>
      <c r="OS73" s="272"/>
      <c r="OT73" s="272"/>
      <c r="OU73" s="272"/>
      <c r="OV73" s="272"/>
      <c r="OW73" s="272"/>
      <c r="OX73" s="272"/>
      <c r="OY73" s="272"/>
      <c r="OZ73" s="272"/>
      <c r="PA73" s="272"/>
      <c r="PB73" s="272"/>
      <c r="PC73" s="272"/>
      <c r="PD73" s="272"/>
      <c r="PE73" s="272"/>
      <c r="PF73" s="272"/>
      <c r="PG73" s="272"/>
      <c r="PH73" s="272"/>
      <c r="PI73" s="272"/>
      <c r="PJ73" s="272"/>
      <c r="PK73" s="272"/>
      <c r="PL73" s="272"/>
      <c r="PM73" s="272"/>
      <c r="PN73" s="272"/>
      <c r="PO73" s="272"/>
      <c r="PP73" s="272"/>
      <c r="PQ73" s="272"/>
      <c r="PR73" s="272"/>
      <c r="PS73" s="272"/>
      <c r="PT73" s="272"/>
      <c r="PU73" s="272"/>
      <c r="PV73" s="272"/>
      <c r="PW73" s="272"/>
      <c r="PX73" s="272"/>
      <c r="PY73" s="272"/>
      <c r="PZ73" s="272"/>
      <c r="QA73" s="272"/>
      <c r="QB73" s="272"/>
      <c r="QC73" s="272"/>
      <c r="QD73" s="272"/>
      <c r="QE73" s="272"/>
      <c r="QF73" s="272"/>
      <c r="QG73" s="272"/>
      <c r="QH73" s="272"/>
      <c r="QI73" s="272"/>
      <c r="QJ73" s="272"/>
      <c r="QK73" s="272"/>
      <c r="QL73" s="272"/>
      <c r="QM73" s="272"/>
      <c r="QN73" s="272"/>
      <c r="QO73" s="272"/>
      <c r="QP73" s="272"/>
      <c r="QQ73" s="272"/>
      <c r="QR73" s="272"/>
      <c r="QS73" s="272"/>
      <c r="QT73" s="272"/>
      <c r="QU73" s="272"/>
      <c r="QV73" s="272"/>
      <c r="QW73" s="272"/>
      <c r="QX73" s="272"/>
      <c r="QY73" s="272"/>
      <c r="QZ73" s="272"/>
      <c r="RA73" s="272"/>
      <c r="RB73" s="272"/>
      <c r="RC73" s="272"/>
      <c r="RD73" s="272"/>
      <c r="RE73" s="272"/>
      <c r="RF73" s="272"/>
      <c r="RG73" s="272"/>
      <c r="RH73" s="272"/>
      <c r="RI73" s="272"/>
      <c r="RJ73" s="272"/>
      <c r="RK73" s="272"/>
      <c r="RL73" s="272"/>
      <c r="RM73" s="272"/>
      <c r="RN73" s="272"/>
      <c r="RO73" s="272"/>
      <c r="RP73" s="272"/>
      <c r="RQ73" s="272"/>
      <c r="RR73" s="272"/>
      <c r="RS73" s="272"/>
      <c r="RT73" s="272"/>
      <c r="RU73" s="272"/>
      <c r="RV73" s="272"/>
      <c r="RW73" s="272"/>
      <c r="RX73" s="272"/>
      <c r="RY73" s="272"/>
      <c r="RZ73" s="272"/>
      <c r="SA73" s="272"/>
      <c r="SB73" s="272"/>
      <c r="SC73" s="272"/>
      <c r="SD73" s="272"/>
      <c r="SE73" s="272"/>
      <c r="SF73" s="272"/>
      <c r="SG73" s="272"/>
      <c r="SH73" s="272"/>
      <c r="SI73" s="272"/>
      <c r="SJ73" s="272"/>
      <c r="SK73" s="272"/>
      <c r="SL73" s="272"/>
      <c r="SM73" s="272"/>
      <c r="SN73" s="272"/>
      <c r="SO73" s="272"/>
      <c r="SP73" s="272"/>
      <c r="SQ73" s="272"/>
      <c r="SR73" s="272"/>
      <c r="SS73" s="272"/>
      <c r="ST73" s="272"/>
      <c r="SU73" s="272"/>
      <c r="SV73" s="272"/>
      <c r="SW73" s="272"/>
      <c r="SX73" s="272"/>
      <c r="SY73" s="272"/>
      <c r="SZ73" s="272"/>
      <c r="TA73" s="272"/>
      <c r="TB73" s="272"/>
      <c r="TC73" s="272"/>
      <c r="TD73" s="272"/>
      <c r="TE73" s="272"/>
      <c r="TF73" s="272"/>
      <c r="TG73" s="272"/>
      <c r="TH73" s="272"/>
      <c r="TI73" s="272"/>
      <c r="TJ73" s="272"/>
      <c r="TK73" s="272"/>
      <c r="TL73" s="272"/>
      <c r="TM73" s="272"/>
      <c r="TN73" s="272"/>
      <c r="TO73" s="272"/>
      <c r="TP73" s="272"/>
      <c r="TQ73" s="272"/>
      <c r="TR73" s="272"/>
      <c r="TS73" s="272"/>
      <c r="TT73" s="272"/>
      <c r="TU73" s="272"/>
      <c r="TV73" s="272"/>
      <c r="TW73" s="272"/>
      <c r="TX73" s="272"/>
      <c r="TY73" s="272"/>
      <c r="TZ73" s="272"/>
      <c r="UA73" s="272"/>
      <c r="UB73" s="272"/>
      <c r="UC73" s="272"/>
      <c r="UD73" s="272"/>
      <c r="UE73" s="272"/>
      <c r="UF73" s="272"/>
      <c r="UG73" s="272"/>
      <c r="UH73" s="272"/>
      <c r="UI73" s="272"/>
      <c r="UJ73" s="272"/>
      <c r="UK73" s="272"/>
      <c r="UL73" s="272"/>
      <c r="UM73" s="272"/>
      <c r="UN73" s="272"/>
      <c r="UO73" s="272"/>
      <c r="UP73" s="272"/>
      <c r="UQ73" s="272"/>
      <c r="UR73" s="272"/>
      <c r="US73" s="272"/>
      <c r="UT73" s="272"/>
      <c r="UU73" s="272"/>
      <c r="UV73" s="272"/>
      <c r="UW73" s="272"/>
      <c r="UX73" s="272"/>
      <c r="UY73" s="272"/>
      <c r="UZ73" s="272"/>
      <c r="VA73" s="272"/>
      <c r="VB73" s="272"/>
      <c r="VC73" s="272"/>
      <c r="VD73" s="272"/>
      <c r="VE73" s="272"/>
      <c r="VF73" s="272"/>
      <c r="VG73" s="272"/>
      <c r="VH73" s="272"/>
      <c r="VI73" s="272"/>
      <c r="VJ73" s="272"/>
      <c r="VK73" s="272"/>
      <c r="VL73" s="272"/>
      <c r="VM73" s="272"/>
      <c r="VN73" s="272"/>
      <c r="VO73" s="272"/>
      <c r="VP73" s="272"/>
      <c r="VQ73" s="272"/>
      <c r="VR73" s="272"/>
      <c r="VS73" s="272"/>
      <c r="VT73" s="272"/>
      <c r="VU73" s="272"/>
      <c r="VV73" s="272"/>
      <c r="VW73" s="272"/>
      <c r="VX73" s="272"/>
      <c r="VY73" s="272"/>
      <c r="VZ73" s="272"/>
      <c r="WA73" s="272"/>
      <c r="WB73" s="272"/>
      <c r="WC73" s="272"/>
      <c r="WD73" s="272"/>
      <c r="WE73" s="272"/>
      <c r="WF73" s="272"/>
      <c r="WG73" s="272"/>
      <c r="WH73" s="272"/>
      <c r="WI73" s="272"/>
      <c r="WJ73" s="272"/>
      <c r="WK73" s="272"/>
      <c r="WL73" s="272"/>
      <c r="WM73" s="272"/>
      <c r="WN73" s="272"/>
      <c r="WO73" s="272"/>
      <c r="WP73" s="272"/>
      <c r="WQ73" s="272"/>
      <c r="WR73" s="272"/>
      <c r="WS73" s="272"/>
      <c r="WT73" s="272"/>
      <c r="WU73" s="272"/>
      <c r="WV73" s="272"/>
      <c r="WW73" s="272"/>
      <c r="WX73" s="272"/>
      <c r="WY73" s="272"/>
      <c r="WZ73" s="272"/>
      <c r="XA73" s="272"/>
      <c r="XB73" s="272"/>
      <c r="XC73" s="272"/>
      <c r="XD73" s="272"/>
      <c r="XE73" s="272"/>
      <c r="XF73" s="272"/>
      <c r="XG73" s="272"/>
      <c r="XH73" s="272"/>
      <c r="XI73" s="272"/>
      <c r="XJ73" s="272"/>
      <c r="XK73" s="272"/>
      <c r="XL73" s="272"/>
      <c r="XM73" s="272"/>
      <c r="XN73" s="272"/>
      <c r="XO73" s="272"/>
      <c r="XP73" s="272"/>
      <c r="XQ73" s="272"/>
      <c r="XR73" s="272"/>
      <c r="XS73" s="272"/>
      <c r="XT73" s="272"/>
      <c r="XU73" s="272"/>
      <c r="XV73" s="272"/>
      <c r="XW73" s="272"/>
      <c r="XX73" s="272"/>
      <c r="XY73" s="272"/>
      <c r="XZ73" s="272"/>
      <c r="YA73" s="272"/>
      <c r="YB73" s="272"/>
      <c r="YC73" s="272"/>
      <c r="YD73" s="272"/>
      <c r="YE73" s="272"/>
      <c r="YF73" s="272"/>
      <c r="YG73" s="272"/>
      <c r="YH73" s="272"/>
      <c r="YI73" s="272"/>
      <c r="YJ73" s="272"/>
      <c r="YK73" s="272"/>
      <c r="YL73" s="272"/>
      <c r="YM73" s="272"/>
      <c r="YN73" s="272"/>
      <c r="YO73" s="272"/>
      <c r="YP73" s="272"/>
      <c r="YQ73" s="272"/>
      <c r="YR73" s="272"/>
      <c r="YS73" s="272"/>
      <c r="YT73" s="272"/>
      <c r="YU73" s="272"/>
      <c r="YV73" s="272"/>
      <c r="YW73" s="272"/>
      <c r="YX73" s="272"/>
      <c r="YY73" s="272"/>
      <c r="YZ73" s="272"/>
      <c r="ZA73" s="272"/>
      <c r="ZB73" s="272"/>
      <c r="ZC73" s="272"/>
      <c r="ZD73" s="272"/>
      <c r="ZE73" s="272"/>
      <c r="ZF73" s="272"/>
      <c r="ZG73" s="272"/>
      <c r="ZH73" s="272"/>
      <c r="ZI73" s="272"/>
      <c r="ZJ73" s="272"/>
      <c r="ZK73" s="272"/>
      <c r="ZL73" s="272"/>
      <c r="ZM73" s="272"/>
      <c r="ZN73" s="272"/>
      <c r="ZO73" s="272"/>
      <c r="ZP73" s="272"/>
      <c r="ZQ73" s="272"/>
      <c r="ZR73" s="272"/>
      <c r="ZS73" s="272"/>
      <c r="ZT73" s="272"/>
    </row>
    <row r="74" spans="1:696" s="86" customFormat="1" ht="14.25" customHeight="1">
      <c r="A74" s="607"/>
      <c r="B74" s="597"/>
      <c r="C74" s="598"/>
      <c r="D74" s="601"/>
      <c r="E74" s="620"/>
      <c r="F74" s="620"/>
      <c r="G74" s="627"/>
      <c r="H74" s="627"/>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c r="EC74" s="272"/>
      <c r="ED74" s="272"/>
      <c r="EE74" s="272"/>
      <c r="EF74" s="272"/>
      <c r="EG74" s="272"/>
      <c r="EH74" s="272"/>
      <c r="EI74" s="272"/>
      <c r="EJ74" s="272"/>
      <c r="EK74" s="272"/>
      <c r="EL74" s="272"/>
      <c r="EM74" s="272"/>
      <c r="EN74" s="272"/>
      <c r="EO74" s="272"/>
      <c r="EP74" s="272"/>
      <c r="EQ74" s="272"/>
      <c r="ER74" s="272"/>
      <c r="ES74" s="272"/>
      <c r="ET74" s="272"/>
      <c r="EU74" s="272"/>
      <c r="EV74" s="272"/>
      <c r="EW74" s="272"/>
      <c r="EX74" s="272"/>
      <c r="EY74" s="272"/>
      <c r="EZ74" s="272"/>
      <c r="FA74" s="272"/>
      <c r="FB74" s="272"/>
      <c r="FC74" s="272"/>
      <c r="FD74" s="272"/>
      <c r="FE74" s="272"/>
      <c r="FF74" s="272"/>
      <c r="FG74" s="272"/>
      <c r="FH74" s="272"/>
      <c r="FI74" s="272"/>
      <c r="FJ74" s="272"/>
      <c r="FK74" s="272"/>
      <c r="FL74" s="272"/>
      <c r="FM74" s="272"/>
      <c r="FN74" s="272"/>
      <c r="FO74" s="272"/>
      <c r="FP74" s="272"/>
      <c r="FQ74" s="272"/>
      <c r="FR74" s="272"/>
      <c r="FS74" s="272"/>
      <c r="FT74" s="272"/>
      <c r="FU74" s="272"/>
      <c r="FV74" s="272"/>
      <c r="FW74" s="272"/>
      <c r="FX74" s="272"/>
      <c r="FY74" s="272"/>
      <c r="FZ74" s="272"/>
      <c r="GA74" s="272"/>
      <c r="GB74" s="272"/>
      <c r="GC74" s="272"/>
      <c r="GD74" s="272"/>
      <c r="GE74" s="272"/>
      <c r="GF74" s="272"/>
      <c r="GG74" s="272"/>
      <c r="GH74" s="272"/>
      <c r="GI74" s="272"/>
      <c r="GJ74" s="272"/>
      <c r="GK74" s="272"/>
      <c r="GL74" s="272"/>
      <c r="GM74" s="272"/>
      <c r="GN74" s="272"/>
      <c r="GO74" s="272"/>
      <c r="GP74" s="272"/>
      <c r="GQ74" s="272"/>
      <c r="GR74" s="272"/>
      <c r="GS74" s="272"/>
      <c r="GT74" s="272"/>
      <c r="GU74" s="272"/>
      <c r="GV74" s="272"/>
      <c r="GW74" s="272"/>
      <c r="GX74" s="272"/>
      <c r="GY74" s="272"/>
      <c r="GZ74" s="272"/>
      <c r="HA74" s="272"/>
      <c r="HB74" s="272"/>
      <c r="HC74" s="272"/>
      <c r="HD74" s="272"/>
      <c r="HE74" s="272"/>
      <c r="HF74" s="272"/>
      <c r="HG74" s="272"/>
      <c r="HH74" s="272"/>
      <c r="HI74" s="272"/>
      <c r="HJ74" s="272"/>
      <c r="HK74" s="272"/>
      <c r="HL74" s="272"/>
      <c r="HM74" s="272"/>
      <c r="HN74" s="272"/>
      <c r="HO74" s="272"/>
      <c r="HP74" s="272"/>
      <c r="HQ74" s="272"/>
      <c r="HR74" s="272"/>
      <c r="HS74" s="272"/>
      <c r="HT74" s="272"/>
      <c r="HU74" s="272"/>
      <c r="HV74" s="272"/>
      <c r="HW74" s="272"/>
      <c r="HX74" s="272"/>
      <c r="HY74" s="272"/>
      <c r="HZ74" s="272"/>
      <c r="IA74" s="272"/>
      <c r="IB74" s="272"/>
      <c r="IC74" s="272"/>
      <c r="ID74" s="272"/>
      <c r="IE74" s="272"/>
      <c r="IF74" s="272"/>
      <c r="IG74" s="272"/>
      <c r="IH74" s="272"/>
      <c r="II74" s="272"/>
      <c r="IJ74" s="272"/>
      <c r="IK74" s="272"/>
      <c r="IL74" s="272"/>
      <c r="IM74" s="272"/>
      <c r="IN74" s="272"/>
      <c r="IO74" s="272"/>
      <c r="IP74" s="272"/>
      <c r="IQ74" s="272"/>
      <c r="IR74" s="272"/>
      <c r="IS74" s="272"/>
      <c r="IT74" s="272"/>
      <c r="IU74" s="272"/>
      <c r="IV74" s="272"/>
      <c r="IW74" s="272"/>
      <c r="IX74" s="272"/>
      <c r="IY74" s="272"/>
      <c r="IZ74" s="272"/>
      <c r="JA74" s="272"/>
      <c r="JB74" s="272"/>
      <c r="JC74" s="272"/>
      <c r="JD74" s="272"/>
      <c r="JE74" s="272"/>
      <c r="JF74" s="272"/>
      <c r="JG74" s="272"/>
      <c r="JH74" s="272"/>
      <c r="JI74" s="272"/>
      <c r="JJ74" s="272"/>
      <c r="JK74" s="272"/>
      <c r="JL74" s="272"/>
      <c r="JM74" s="272"/>
      <c r="JN74" s="272"/>
      <c r="JO74" s="272"/>
      <c r="JP74" s="272"/>
      <c r="JQ74" s="272"/>
      <c r="JR74" s="272"/>
      <c r="JS74" s="272"/>
      <c r="JT74" s="272"/>
      <c r="JU74" s="272"/>
      <c r="JV74" s="272"/>
      <c r="JW74" s="272"/>
      <c r="JX74" s="272"/>
      <c r="JY74" s="272"/>
      <c r="JZ74" s="272"/>
      <c r="KA74" s="272"/>
      <c r="KB74" s="272"/>
      <c r="KC74" s="272"/>
      <c r="KD74" s="272"/>
      <c r="KE74" s="272"/>
      <c r="KF74" s="272"/>
      <c r="KG74" s="272"/>
      <c r="KH74" s="272"/>
      <c r="KI74" s="272"/>
      <c r="KJ74" s="272"/>
      <c r="KK74" s="272"/>
      <c r="KL74" s="272"/>
      <c r="KM74" s="272"/>
      <c r="KN74" s="272"/>
      <c r="KO74" s="272"/>
      <c r="KP74" s="272"/>
      <c r="KQ74" s="272"/>
      <c r="KR74" s="272"/>
      <c r="KS74" s="272"/>
      <c r="KT74" s="272"/>
      <c r="KU74" s="272"/>
      <c r="KV74" s="272"/>
      <c r="KW74" s="272"/>
      <c r="KX74" s="272"/>
      <c r="KY74" s="272"/>
      <c r="KZ74" s="272"/>
      <c r="LA74" s="272"/>
      <c r="LB74" s="272"/>
      <c r="LC74" s="272"/>
      <c r="LD74" s="272"/>
      <c r="LE74" s="272"/>
      <c r="LF74" s="272"/>
      <c r="LG74" s="272"/>
      <c r="LH74" s="272"/>
      <c r="LI74" s="272"/>
      <c r="LJ74" s="272"/>
      <c r="LK74" s="272"/>
      <c r="LL74" s="272"/>
      <c r="LM74" s="272"/>
      <c r="LN74" s="272"/>
      <c r="LO74" s="272"/>
      <c r="LP74" s="272"/>
      <c r="LQ74" s="272"/>
      <c r="LR74" s="272"/>
      <c r="LS74" s="272"/>
      <c r="LT74" s="272"/>
      <c r="LU74" s="272"/>
      <c r="LV74" s="272"/>
      <c r="LW74" s="272"/>
      <c r="LX74" s="272"/>
      <c r="LY74" s="272"/>
      <c r="LZ74" s="272"/>
      <c r="MA74" s="272"/>
      <c r="MB74" s="272"/>
      <c r="MC74" s="272"/>
      <c r="MD74" s="272"/>
      <c r="ME74" s="272"/>
      <c r="MF74" s="272"/>
      <c r="MG74" s="272"/>
      <c r="MH74" s="272"/>
      <c r="MI74" s="272"/>
      <c r="MJ74" s="272"/>
      <c r="MK74" s="272"/>
      <c r="ML74" s="272"/>
      <c r="MM74" s="272"/>
      <c r="MN74" s="272"/>
      <c r="MO74" s="272"/>
      <c r="MP74" s="272"/>
      <c r="MQ74" s="272"/>
      <c r="MR74" s="272"/>
      <c r="MS74" s="272"/>
      <c r="MT74" s="272"/>
      <c r="MU74" s="272"/>
      <c r="MV74" s="272"/>
      <c r="MW74" s="272"/>
      <c r="MX74" s="272"/>
      <c r="MY74" s="272"/>
      <c r="MZ74" s="272"/>
      <c r="NA74" s="272"/>
      <c r="NB74" s="272"/>
      <c r="NC74" s="272"/>
      <c r="ND74" s="272"/>
      <c r="NE74" s="272"/>
      <c r="NF74" s="272"/>
      <c r="NG74" s="272"/>
      <c r="NH74" s="272"/>
      <c r="NI74" s="272"/>
      <c r="NJ74" s="272"/>
      <c r="NK74" s="272"/>
      <c r="NL74" s="272"/>
      <c r="NM74" s="272"/>
      <c r="NN74" s="272"/>
      <c r="NO74" s="272"/>
      <c r="NP74" s="272"/>
      <c r="NQ74" s="272"/>
      <c r="NR74" s="272"/>
      <c r="NS74" s="272"/>
      <c r="NT74" s="272"/>
      <c r="NU74" s="272"/>
      <c r="NV74" s="272"/>
      <c r="NW74" s="272"/>
      <c r="NX74" s="272"/>
      <c r="NY74" s="272"/>
      <c r="NZ74" s="272"/>
      <c r="OA74" s="272"/>
      <c r="OB74" s="272"/>
      <c r="OC74" s="272"/>
      <c r="OD74" s="272"/>
      <c r="OE74" s="272"/>
      <c r="OF74" s="272"/>
      <c r="OG74" s="272"/>
      <c r="OH74" s="272"/>
      <c r="OI74" s="272"/>
      <c r="OJ74" s="272"/>
      <c r="OK74" s="272"/>
      <c r="OL74" s="272"/>
      <c r="OM74" s="272"/>
      <c r="ON74" s="272"/>
      <c r="OO74" s="272"/>
      <c r="OP74" s="272"/>
      <c r="OQ74" s="272"/>
      <c r="OR74" s="272"/>
      <c r="OS74" s="272"/>
      <c r="OT74" s="272"/>
      <c r="OU74" s="272"/>
      <c r="OV74" s="272"/>
      <c r="OW74" s="272"/>
      <c r="OX74" s="272"/>
      <c r="OY74" s="272"/>
      <c r="OZ74" s="272"/>
      <c r="PA74" s="272"/>
      <c r="PB74" s="272"/>
      <c r="PC74" s="272"/>
      <c r="PD74" s="272"/>
      <c r="PE74" s="272"/>
      <c r="PF74" s="272"/>
      <c r="PG74" s="272"/>
      <c r="PH74" s="272"/>
      <c r="PI74" s="272"/>
      <c r="PJ74" s="272"/>
      <c r="PK74" s="272"/>
      <c r="PL74" s="272"/>
      <c r="PM74" s="272"/>
      <c r="PN74" s="272"/>
      <c r="PO74" s="272"/>
      <c r="PP74" s="272"/>
      <c r="PQ74" s="272"/>
      <c r="PR74" s="272"/>
      <c r="PS74" s="272"/>
      <c r="PT74" s="272"/>
      <c r="PU74" s="272"/>
      <c r="PV74" s="272"/>
      <c r="PW74" s="272"/>
      <c r="PX74" s="272"/>
      <c r="PY74" s="272"/>
      <c r="PZ74" s="272"/>
      <c r="QA74" s="272"/>
      <c r="QB74" s="272"/>
      <c r="QC74" s="272"/>
      <c r="QD74" s="272"/>
      <c r="QE74" s="272"/>
      <c r="QF74" s="272"/>
      <c r="QG74" s="272"/>
      <c r="QH74" s="272"/>
      <c r="QI74" s="272"/>
      <c r="QJ74" s="272"/>
      <c r="QK74" s="272"/>
      <c r="QL74" s="272"/>
      <c r="QM74" s="272"/>
      <c r="QN74" s="272"/>
      <c r="QO74" s="272"/>
      <c r="QP74" s="272"/>
      <c r="QQ74" s="272"/>
      <c r="QR74" s="272"/>
      <c r="QS74" s="272"/>
      <c r="QT74" s="272"/>
      <c r="QU74" s="272"/>
      <c r="QV74" s="272"/>
      <c r="QW74" s="272"/>
      <c r="QX74" s="272"/>
      <c r="QY74" s="272"/>
      <c r="QZ74" s="272"/>
      <c r="RA74" s="272"/>
      <c r="RB74" s="272"/>
      <c r="RC74" s="272"/>
      <c r="RD74" s="272"/>
      <c r="RE74" s="272"/>
      <c r="RF74" s="272"/>
      <c r="RG74" s="272"/>
      <c r="RH74" s="272"/>
      <c r="RI74" s="272"/>
      <c r="RJ74" s="272"/>
      <c r="RK74" s="272"/>
      <c r="RL74" s="272"/>
      <c r="RM74" s="272"/>
      <c r="RN74" s="272"/>
      <c r="RO74" s="272"/>
      <c r="RP74" s="272"/>
      <c r="RQ74" s="272"/>
      <c r="RR74" s="272"/>
      <c r="RS74" s="272"/>
      <c r="RT74" s="272"/>
      <c r="RU74" s="272"/>
      <c r="RV74" s="272"/>
      <c r="RW74" s="272"/>
      <c r="RX74" s="272"/>
      <c r="RY74" s="272"/>
      <c r="RZ74" s="272"/>
      <c r="SA74" s="272"/>
      <c r="SB74" s="272"/>
      <c r="SC74" s="272"/>
      <c r="SD74" s="272"/>
      <c r="SE74" s="272"/>
      <c r="SF74" s="272"/>
      <c r="SG74" s="272"/>
      <c r="SH74" s="272"/>
      <c r="SI74" s="272"/>
      <c r="SJ74" s="272"/>
      <c r="SK74" s="272"/>
      <c r="SL74" s="272"/>
      <c r="SM74" s="272"/>
      <c r="SN74" s="272"/>
      <c r="SO74" s="272"/>
      <c r="SP74" s="272"/>
      <c r="SQ74" s="272"/>
      <c r="SR74" s="272"/>
      <c r="SS74" s="272"/>
      <c r="ST74" s="272"/>
      <c r="SU74" s="272"/>
      <c r="SV74" s="272"/>
      <c r="SW74" s="272"/>
      <c r="SX74" s="272"/>
      <c r="SY74" s="272"/>
      <c r="SZ74" s="272"/>
      <c r="TA74" s="272"/>
      <c r="TB74" s="272"/>
      <c r="TC74" s="272"/>
      <c r="TD74" s="272"/>
      <c r="TE74" s="272"/>
      <c r="TF74" s="272"/>
      <c r="TG74" s="272"/>
      <c r="TH74" s="272"/>
      <c r="TI74" s="272"/>
      <c r="TJ74" s="272"/>
      <c r="TK74" s="272"/>
      <c r="TL74" s="272"/>
      <c r="TM74" s="272"/>
      <c r="TN74" s="272"/>
      <c r="TO74" s="272"/>
      <c r="TP74" s="272"/>
      <c r="TQ74" s="272"/>
      <c r="TR74" s="272"/>
      <c r="TS74" s="272"/>
      <c r="TT74" s="272"/>
      <c r="TU74" s="272"/>
      <c r="TV74" s="272"/>
      <c r="TW74" s="272"/>
      <c r="TX74" s="272"/>
      <c r="TY74" s="272"/>
      <c r="TZ74" s="272"/>
      <c r="UA74" s="272"/>
      <c r="UB74" s="272"/>
      <c r="UC74" s="272"/>
      <c r="UD74" s="272"/>
      <c r="UE74" s="272"/>
      <c r="UF74" s="272"/>
      <c r="UG74" s="272"/>
      <c r="UH74" s="272"/>
      <c r="UI74" s="272"/>
      <c r="UJ74" s="272"/>
      <c r="UK74" s="272"/>
      <c r="UL74" s="272"/>
      <c r="UM74" s="272"/>
      <c r="UN74" s="272"/>
      <c r="UO74" s="272"/>
      <c r="UP74" s="272"/>
      <c r="UQ74" s="272"/>
      <c r="UR74" s="272"/>
      <c r="US74" s="272"/>
      <c r="UT74" s="272"/>
      <c r="UU74" s="272"/>
      <c r="UV74" s="272"/>
      <c r="UW74" s="272"/>
      <c r="UX74" s="272"/>
      <c r="UY74" s="272"/>
      <c r="UZ74" s="272"/>
      <c r="VA74" s="272"/>
      <c r="VB74" s="272"/>
      <c r="VC74" s="272"/>
      <c r="VD74" s="272"/>
      <c r="VE74" s="272"/>
      <c r="VF74" s="272"/>
      <c r="VG74" s="272"/>
      <c r="VH74" s="272"/>
      <c r="VI74" s="272"/>
      <c r="VJ74" s="272"/>
      <c r="VK74" s="272"/>
      <c r="VL74" s="272"/>
      <c r="VM74" s="272"/>
      <c r="VN74" s="272"/>
      <c r="VO74" s="272"/>
      <c r="VP74" s="272"/>
      <c r="VQ74" s="272"/>
      <c r="VR74" s="272"/>
      <c r="VS74" s="272"/>
      <c r="VT74" s="272"/>
      <c r="VU74" s="272"/>
      <c r="VV74" s="272"/>
      <c r="VW74" s="272"/>
      <c r="VX74" s="272"/>
      <c r="VY74" s="272"/>
      <c r="VZ74" s="272"/>
      <c r="WA74" s="272"/>
      <c r="WB74" s="272"/>
      <c r="WC74" s="272"/>
      <c r="WD74" s="272"/>
      <c r="WE74" s="272"/>
      <c r="WF74" s="272"/>
      <c r="WG74" s="272"/>
      <c r="WH74" s="272"/>
      <c r="WI74" s="272"/>
      <c r="WJ74" s="272"/>
      <c r="WK74" s="272"/>
      <c r="WL74" s="272"/>
      <c r="WM74" s="272"/>
      <c r="WN74" s="272"/>
      <c r="WO74" s="272"/>
      <c r="WP74" s="272"/>
      <c r="WQ74" s="272"/>
      <c r="WR74" s="272"/>
      <c r="WS74" s="272"/>
      <c r="WT74" s="272"/>
      <c r="WU74" s="272"/>
      <c r="WV74" s="272"/>
      <c r="WW74" s="272"/>
      <c r="WX74" s="272"/>
      <c r="WY74" s="272"/>
      <c r="WZ74" s="272"/>
      <c r="XA74" s="272"/>
      <c r="XB74" s="272"/>
      <c r="XC74" s="272"/>
      <c r="XD74" s="272"/>
      <c r="XE74" s="272"/>
      <c r="XF74" s="272"/>
      <c r="XG74" s="272"/>
      <c r="XH74" s="272"/>
      <c r="XI74" s="272"/>
      <c r="XJ74" s="272"/>
      <c r="XK74" s="272"/>
      <c r="XL74" s="272"/>
      <c r="XM74" s="272"/>
      <c r="XN74" s="272"/>
      <c r="XO74" s="272"/>
      <c r="XP74" s="272"/>
      <c r="XQ74" s="272"/>
      <c r="XR74" s="272"/>
      <c r="XS74" s="272"/>
      <c r="XT74" s="272"/>
      <c r="XU74" s="272"/>
      <c r="XV74" s="272"/>
      <c r="XW74" s="272"/>
      <c r="XX74" s="272"/>
      <c r="XY74" s="272"/>
      <c r="XZ74" s="272"/>
      <c r="YA74" s="272"/>
      <c r="YB74" s="272"/>
      <c r="YC74" s="272"/>
      <c r="YD74" s="272"/>
      <c r="YE74" s="272"/>
      <c r="YF74" s="272"/>
      <c r="YG74" s="272"/>
      <c r="YH74" s="272"/>
      <c r="YI74" s="272"/>
      <c r="YJ74" s="272"/>
      <c r="YK74" s="272"/>
      <c r="YL74" s="272"/>
      <c r="YM74" s="272"/>
      <c r="YN74" s="272"/>
      <c r="YO74" s="272"/>
      <c r="YP74" s="272"/>
      <c r="YQ74" s="272"/>
      <c r="YR74" s="272"/>
      <c r="YS74" s="272"/>
      <c r="YT74" s="272"/>
      <c r="YU74" s="272"/>
      <c r="YV74" s="272"/>
      <c r="YW74" s="272"/>
      <c r="YX74" s="272"/>
      <c r="YY74" s="272"/>
      <c r="YZ74" s="272"/>
      <c r="ZA74" s="272"/>
      <c r="ZB74" s="272"/>
      <c r="ZC74" s="272"/>
      <c r="ZD74" s="272"/>
      <c r="ZE74" s="272"/>
      <c r="ZF74" s="272"/>
      <c r="ZG74" s="272"/>
      <c r="ZH74" s="272"/>
      <c r="ZI74" s="272"/>
      <c r="ZJ74" s="272"/>
      <c r="ZK74" s="272"/>
      <c r="ZL74" s="272"/>
      <c r="ZM74" s="272"/>
      <c r="ZN74" s="272"/>
      <c r="ZO74" s="272"/>
      <c r="ZP74" s="272"/>
      <c r="ZQ74" s="272"/>
      <c r="ZR74" s="272"/>
      <c r="ZS74" s="272"/>
      <c r="ZT74" s="272"/>
    </row>
    <row r="75" spans="1:696" s="19" customFormat="1" ht="15">
      <c r="A75" s="607"/>
      <c r="B75" s="597"/>
      <c r="C75" s="55" t="s">
        <v>53</v>
      </c>
      <c r="D75" s="55"/>
      <c r="E75" s="57"/>
      <c r="F75" s="57"/>
      <c r="G75" s="263"/>
      <c r="H75" s="263"/>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c r="CE75" s="272"/>
      <c r="CF75" s="272"/>
      <c r="CG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272"/>
      <c r="FO75" s="272"/>
      <c r="FP75" s="272"/>
      <c r="FQ75" s="272"/>
      <c r="FR75" s="272"/>
      <c r="FS75" s="272"/>
      <c r="FT75" s="272"/>
      <c r="FU75" s="272"/>
      <c r="FV75" s="272"/>
      <c r="FW75" s="272"/>
      <c r="FX75" s="272"/>
      <c r="FY75" s="272"/>
      <c r="FZ75" s="272"/>
      <c r="GA75" s="272"/>
      <c r="GB75" s="272"/>
      <c r="GC75" s="272"/>
      <c r="GD75" s="272"/>
      <c r="GE75" s="272"/>
      <c r="GF75" s="272"/>
      <c r="GG75" s="272"/>
      <c r="GH75" s="272"/>
      <c r="GI75" s="272"/>
      <c r="GJ75" s="272"/>
      <c r="GK75" s="272"/>
      <c r="GL75" s="272"/>
      <c r="GM75" s="272"/>
      <c r="GN75" s="272"/>
      <c r="GO75" s="272"/>
      <c r="GP75" s="272"/>
      <c r="GQ75" s="272"/>
      <c r="GR75" s="272"/>
      <c r="GS75" s="272"/>
      <c r="GT75" s="272"/>
      <c r="GU75" s="272"/>
      <c r="GV75" s="272"/>
      <c r="GW75" s="272"/>
      <c r="GX75" s="272"/>
      <c r="GY75" s="272"/>
      <c r="GZ75" s="272"/>
      <c r="HA75" s="272"/>
      <c r="HB75" s="272"/>
      <c r="HC75" s="272"/>
      <c r="HD75" s="272"/>
      <c r="HE75" s="272"/>
      <c r="HF75" s="272"/>
      <c r="HG75" s="272"/>
      <c r="HH75" s="272"/>
      <c r="HI75" s="272"/>
      <c r="HJ75" s="272"/>
      <c r="HK75" s="272"/>
      <c r="HL75" s="272"/>
      <c r="HM75" s="272"/>
      <c r="HN75" s="272"/>
      <c r="HO75" s="272"/>
      <c r="HP75" s="272"/>
      <c r="HQ75" s="272"/>
      <c r="HR75" s="272"/>
      <c r="HS75" s="272"/>
      <c r="HT75" s="272"/>
      <c r="HU75" s="272"/>
      <c r="HV75" s="272"/>
      <c r="HW75" s="272"/>
      <c r="HX75" s="272"/>
      <c r="HY75" s="272"/>
      <c r="HZ75" s="272"/>
      <c r="IA75" s="272"/>
      <c r="IB75" s="272"/>
      <c r="IC75" s="272"/>
      <c r="ID75" s="272"/>
      <c r="IE75" s="272"/>
      <c r="IF75" s="272"/>
      <c r="IG75" s="272"/>
      <c r="IH75" s="272"/>
      <c r="II75" s="272"/>
      <c r="IJ75" s="272"/>
      <c r="IK75" s="272"/>
      <c r="IL75" s="272"/>
      <c r="IM75" s="272"/>
      <c r="IN75" s="272"/>
      <c r="IO75" s="272"/>
      <c r="IP75" s="272"/>
      <c r="IQ75" s="272"/>
      <c r="IR75" s="272"/>
      <c r="IS75" s="272"/>
      <c r="IT75" s="272"/>
      <c r="IU75" s="272"/>
      <c r="IV75" s="272"/>
      <c r="IW75" s="272"/>
      <c r="IX75" s="272"/>
      <c r="IY75" s="272"/>
      <c r="IZ75" s="272"/>
      <c r="JA75" s="272"/>
      <c r="JB75" s="272"/>
      <c r="JC75" s="272"/>
      <c r="JD75" s="272"/>
      <c r="JE75" s="272"/>
      <c r="JF75" s="272"/>
      <c r="JG75" s="272"/>
      <c r="JH75" s="272"/>
      <c r="JI75" s="272"/>
      <c r="JJ75" s="272"/>
      <c r="JK75" s="272"/>
      <c r="JL75" s="272"/>
      <c r="JM75" s="272"/>
      <c r="JN75" s="272"/>
      <c r="JO75" s="272"/>
      <c r="JP75" s="272"/>
      <c r="JQ75" s="272"/>
      <c r="JR75" s="272"/>
      <c r="JS75" s="272"/>
      <c r="JT75" s="272"/>
      <c r="JU75" s="272"/>
      <c r="JV75" s="272"/>
      <c r="JW75" s="272"/>
      <c r="JX75" s="272"/>
      <c r="JY75" s="272"/>
      <c r="JZ75" s="272"/>
      <c r="KA75" s="272"/>
      <c r="KB75" s="272"/>
      <c r="KC75" s="272"/>
      <c r="KD75" s="272"/>
      <c r="KE75" s="272"/>
      <c r="KF75" s="272"/>
      <c r="KG75" s="272"/>
      <c r="KH75" s="272"/>
      <c r="KI75" s="272"/>
      <c r="KJ75" s="272"/>
      <c r="KK75" s="272"/>
      <c r="KL75" s="272"/>
      <c r="KM75" s="272"/>
      <c r="KN75" s="272"/>
      <c r="KO75" s="272"/>
      <c r="KP75" s="272"/>
      <c r="KQ75" s="272"/>
      <c r="KR75" s="272"/>
      <c r="KS75" s="272"/>
      <c r="KT75" s="272"/>
      <c r="KU75" s="272"/>
      <c r="KV75" s="272"/>
      <c r="KW75" s="272"/>
      <c r="KX75" s="272"/>
      <c r="KY75" s="272"/>
      <c r="KZ75" s="272"/>
      <c r="LA75" s="272"/>
      <c r="LB75" s="272"/>
      <c r="LC75" s="272"/>
      <c r="LD75" s="272"/>
      <c r="LE75" s="272"/>
      <c r="LF75" s="272"/>
      <c r="LG75" s="272"/>
      <c r="LH75" s="272"/>
      <c r="LI75" s="272"/>
      <c r="LJ75" s="272"/>
      <c r="LK75" s="272"/>
      <c r="LL75" s="272"/>
      <c r="LM75" s="272"/>
      <c r="LN75" s="272"/>
      <c r="LO75" s="272"/>
      <c r="LP75" s="272"/>
      <c r="LQ75" s="272"/>
      <c r="LR75" s="272"/>
      <c r="LS75" s="272"/>
      <c r="LT75" s="272"/>
      <c r="LU75" s="272"/>
      <c r="LV75" s="272"/>
      <c r="LW75" s="272"/>
      <c r="LX75" s="272"/>
      <c r="LY75" s="272"/>
      <c r="LZ75" s="272"/>
      <c r="MA75" s="272"/>
      <c r="MB75" s="272"/>
      <c r="MC75" s="272"/>
      <c r="MD75" s="272"/>
      <c r="ME75" s="272"/>
      <c r="MF75" s="272"/>
      <c r="MG75" s="272"/>
      <c r="MH75" s="272"/>
      <c r="MI75" s="272"/>
      <c r="MJ75" s="272"/>
      <c r="MK75" s="272"/>
      <c r="ML75" s="272"/>
      <c r="MM75" s="272"/>
      <c r="MN75" s="272"/>
      <c r="MO75" s="272"/>
      <c r="MP75" s="272"/>
      <c r="MQ75" s="272"/>
      <c r="MR75" s="272"/>
      <c r="MS75" s="272"/>
      <c r="MT75" s="272"/>
      <c r="MU75" s="272"/>
      <c r="MV75" s="272"/>
      <c r="MW75" s="272"/>
      <c r="MX75" s="272"/>
      <c r="MY75" s="272"/>
      <c r="MZ75" s="272"/>
      <c r="NA75" s="272"/>
      <c r="NB75" s="272"/>
      <c r="NC75" s="272"/>
      <c r="ND75" s="272"/>
      <c r="NE75" s="272"/>
      <c r="NF75" s="272"/>
      <c r="NG75" s="272"/>
      <c r="NH75" s="272"/>
      <c r="NI75" s="272"/>
      <c r="NJ75" s="272"/>
      <c r="NK75" s="272"/>
      <c r="NL75" s="272"/>
      <c r="NM75" s="272"/>
      <c r="NN75" s="272"/>
      <c r="NO75" s="272"/>
      <c r="NP75" s="272"/>
      <c r="NQ75" s="272"/>
      <c r="NR75" s="272"/>
      <c r="NS75" s="272"/>
      <c r="NT75" s="272"/>
      <c r="NU75" s="272"/>
      <c r="NV75" s="272"/>
      <c r="NW75" s="272"/>
      <c r="NX75" s="272"/>
      <c r="NY75" s="272"/>
      <c r="NZ75" s="272"/>
      <c r="OA75" s="272"/>
      <c r="OB75" s="272"/>
      <c r="OC75" s="272"/>
      <c r="OD75" s="272"/>
      <c r="OE75" s="272"/>
      <c r="OF75" s="272"/>
      <c r="OG75" s="272"/>
      <c r="OH75" s="272"/>
      <c r="OI75" s="272"/>
      <c r="OJ75" s="272"/>
      <c r="OK75" s="272"/>
      <c r="OL75" s="272"/>
      <c r="OM75" s="272"/>
      <c r="ON75" s="272"/>
      <c r="OO75" s="272"/>
      <c r="OP75" s="272"/>
      <c r="OQ75" s="272"/>
      <c r="OR75" s="272"/>
      <c r="OS75" s="272"/>
      <c r="OT75" s="272"/>
      <c r="OU75" s="272"/>
      <c r="OV75" s="272"/>
      <c r="OW75" s="272"/>
      <c r="OX75" s="272"/>
      <c r="OY75" s="272"/>
      <c r="OZ75" s="272"/>
      <c r="PA75" s="272"/>
      <c r="PB75" s="272"/>
      <c r="PC75" s="272"/>
      <c r="PD75" s="272"/>
      <c r="PE75" s="272"/>
      <c r="PF75" s="272"/>
      <c r="PG75" s="272"/>
      <c r="PH75" s="272"/>
      <c r="PI75" s="272"/>
      <c r="PJ75" s="272"/>
      <c r="PK75" s="272"/>
      <c r="PL75" s="272"/>
      <c r="PM75" s="272"/>
      <c r="PN75" s="272"/>
      <c r="PO75" s="272"/>
      <c r="PP75" s="272"/>
      <c r="PQ75" s="272"/>
      <c r="PR75" s="272"/>
      <c r="PS75" s="272"/>
      <c r="PT75" s="272"/>
      <c r="PU75" s="272"/>
      <c r="PV75" s="272"/>
      <c r="PW75" s="272"/>
      <c r="PX75" s="272"/>
      <c r="PY75" s="272"/>
      <c r="PZ75" s="272"/>
      <c r="QA75" s="272"/>
      <c r="QB75" s="272"/>
      <c r="QC75" s="272"/>
      <c r="QD75" s="272"/>
      <c r="QE75" s="272"/>
      <c r="QF75" s="272"/>
      <c r="QG75" s="272"/>
      <c r="QH75" s="272"/>
      <c r="QI75" s="272"/>
      <c r="QJ75" s="272"/>
      <c r="QK75" s="272"/>
      <c r="QL75" s="272"/>
      <c r="QM75" s="272"/>
      <c r="QN75" s="272"/>
      <c r="QO75" s="272"/>
      <c r="QP75" s="272"/>
      <c r="QQ75" s="272"/>
      <c r="QR75" s="272"/>
      <c r="QS75" s="272"/>
      <c r="QT75" s="272"/>
      <c r="QU75" s="272"/>
      <c r="QV75" s="272"/>
      <c r="QW75" s="272"/>
      <c r="QX75" s="272"/>
      <c r="QY75" s="272"/>
      <c r="QZ75" s="272"/>
      <c r="RA75" s="272"/>
      <c r="RB75" s="272"/>
      <c r="RC75" s="272"/>
      <c r="RD75" s="272"/>
      <c r="RE75" s="272"/>
      <c r="RF75" s="272"/>
      <c r="RG75" s="272"/>
      <c r="RH75" s="272"/>
      <c r="RI75" s="272"/>
      <c r="RJ75" s="272"/>
      <c r="RK75" s="272"/>
      <c r="RL75" s="272"/>
      <c r="RM75" s="272"/>
      <c r="RN75" s="272"/>
      <c r="RO75" s="272"/>
      <c r="RP75" s="272"/>
      <c r="RQ75" s="272"/>
      <c r="RR75" s="272"/>
      <c r="RS75" s="272"/>
      <c r="RT75" s="272"/>
      <c r="RU75" s="272"/>
      <c r="RV75" s="272"/>
      <c r="RW75" s="272"/>
      <c r="RX75" s="272"/>
      <c r="RY75" s="272"/>
      <c r="RZ75" s="272"/>
      <c r="SA75" s="272"/>
      <c r="SB75" s="272"/>
      <c r="SC75" s="272"/>
      <c r="SD75" s="272"/>
      <c r="SE75" s="272"/>
      <c r="SF75" s="272"/>
      <c r="SG75" s="272"/>
      <c r="SH75" s="272"/>
      <c r="SI75" s="272"/>
      <c r="SJ75" s="272"/>
      <c r="SK75" s="272"/>
      <c r="SL75" s="272"/>
      <c r="SM75" s="272"/>
      <c r="SN75" s="272"/>
      <c r="SO75" s="272"/>
      <c r="SP75" s="272"/>
      <c r="SQ75" s="272"/>
      <c r="SR75" s="272"/>
      <c r="SS75" s="272"/>
      <c r="ST75" s="272"/>
      <c r="SU75" s="272"/>
      <c r="SV75" s="272"/>
      <c r="SW75" s="272"/>
      <c r="SX75" s="272"/>
      <c r="SY75" s="272"/>
      <c r="SZ75" s="272"/>
      <c r="TA75" s="272"/>
      <c r="TB75" s="272"/>
      <c r="TC75" s="272"/>
      <c r="TD75" s="272"/>
      <c r="TE75" s="272"/>
      <c r="TF75" s="272"/>
      <c r="TG75" s="272"/>
      <c r="TH75" s="272"/>
      <c r="TI75" s="272"/>
      <c r="TJ75" s="272"/>
      <c r="TK75" s="272"/>
      <c r="TL75" s="272"/>
      <c r="TM75" s="272"/>
      <c r="TN75" s="272"/>
      <c r="TO75" s="272"/>
      <c r="TP75" s="272"/>
      <c r="TQ75" s="272"/>
      <c r="TR75" s="272"/>
      <c r="TS75" s="272"/>
      <c r="TT75" s="272"/>
      <c r="TU75" s="272"/>
      <c r="TV75" s="272"/>
      <c r="TW75" s="272"/>
      <c r="TX75" s="272"/>
      <c r="TY75" s="272"/>
      <c r="TZ75" s="272"/>
      <c r="UA75" s="272"/>
      <c r="UB75" s="272"/>
      <c r="UC75" s="272"/>
      <c r="UD75" s="272"/>
      <c r="UE75" s="272"/>
      <c r="UF75" s="272"/>
      <c r="UG75" s="272"/>
      <c r="UH75" s="272"/>
      <c r="UI75" s="272"/>
      <c r="UJ75" s="272"/>
      <c r="UK75" s="272"/>
      <c r="UL75" s="272"/>
      <c r="UM75" s="272"/>
      <c r="UN75" s="272"/>
      <c r="UO75" s="272"/>
      <c r="UP75" s="272"/>
      <c r="UQ75" s="272"/>
      <c r="UR75" s="272"/>
      <c r="US75" s="272"/>
      <c r="UT75" s="272"/>
      <c r="UU75" s="272"/>
      <c r="UV75" s="272"/>
      <c r="UW75" s="272"/>
      <c r="UX75" s="272"/>
      <c r="UY75" s="272"/>
      <c r="UZ75" s="272"/>
      <c r="VA75" s="272"/>
      <c r="VB75" s="272"/>
      <c r="VC75" s="272"/>
      <c r="VD75" s="272"/>
      <c r="VE75" s="272"/>
      <c r="VF75" s="272"/>
      <c r="VG75" s="272"/>
      <c r="VH75" s="272"/>
      <c r="VI75" s="272"/>
      <c r="VJ75" s="272"/>
      <c r="VK75" s="272"/>
      <c r="VL75" s="272"/>
      <c r="VM75" s="272"/>
      <c r="VN75" s="272"/>
      <c r="VO75" s="272"/>
      <c r="VP75" s="272"/>
      <c r="VQ75" s="272"/>
      <c r="VR75" s="272"/>
      <c r="VS75" s="272"/>
      <c r="VT75" s="272"/>
      <c r="VU75" s="272"/>
      <c r="VV75" s="272"/>
      <c r="VW75" s="272"/>
      <c r="VX75" s="272"/>
      <c r="VY75" s="272"/>
      <c r="VZ75" s="272"/>
      <c r="WA75" s="272"/>
      <c r="WB75" s="272"/>
      <c r="WC75" s="272"/>
      <c r="WD75" s="272"/>
      <c r="WE75" s="272"/>
      <c r="WF75" s="272"/>
      <c r="WG75" s="272"/>
      <c r="WH75" s="272"/>
      <c r="WI75" s="272"/>
      <c r="WJ75" s="272"/>
      <c r="WK75" s="272"/>
      <c r="WL75" s="272"/>
      <c r="WM75" s="272"/>
      <c r="WN75" s="272"/>
      <c r="WO75" s="272"/>
      <c r="WP75" s="272"/>
      <c r="WQ75" s="272"/>
      <c r="WR75" s="272"/>
      <c r="WS75" s="272"/>
      <c r="WT75" s="272"/>
      <c r="WU75" s="272"/>
      <c r="WV75" s="272"/>
      <c r="WW75" s="272"/>
      <c r="WX75" s="272"/>
      <c r="WY75" s="272"/>
      <c r="WZ75" s="272"/>
      <c r="XA75" s="272"/>
      <c r="XB75" s="272"/>
      <c r="XC75" s="272"/>
      <c r="XD75" s="272"/>
      <c r="XE75" s="272"/>
      <c r="XF75" s="272"/>
      <c r="XG75" s="272"/>
      <c r="XH75" s="272"/>
      <c r="XI75" s="272"/>
      <c r="XJ75" s="272"/>
      <c r="XK75" s="272"/>
      <c r="XL75" s="272"/>
      <c r="XM75" s="272"/>
      <c r="XN75" s="272"/>
      <c r="XO75" s="272"/>
      <c r="XP75" s="272"/>
      <c r="XQ75" s="272"/>
      <c r="XR75" s="272"/>
      <c r="XS75" s="272"/>
      <c r="XT75" s="272"/>
      <c r="XU75" s="272"/>
      <c r="XV75" s="272"/>
      <c r="XW75" s="272"/>
      <c r="XX75" s="272"/>
      <c r="XY75" s="272"/>
      <c r="XZ75" s="272"/>
      <c r="YA75" s="272"/>
      <c r="YB75" s="272"/>
      <c r="YC75" s="272"/>
      <c r="YD75" s="272"/>
      <c r="YE75" s="272"/>
      <c r="YF75" s="272"/>
      <c r="YG75" s="272"/>
      <c r="YH75" s="272"/>
      <c r="YI75" s="272"/>
      <c r="YJ75" s="272"/>
      <c r="YK75" s="272"/>
      <c r="YL75" s="272"/>
      <c r="YM75" s="272"/>
      <c r="YN75" s="272"/>
      <c r="YO75" s="272"/>
      <c r="YP75" s="272"/>
      <c r="YQ75" s="272"/>
      <c r="YR75" s="272"/>
      <c r="YS75" s="272"/>
      <c r="YT75" s="272"/>
      <c r="YU75" s="272"/>
      <c r="YV75" s="272"/>
      <c r="YW75" s="272"/>
      <c r="YX75" s="272"/>
      <c r="YY75" s="272"/>
      <c r="YZ75" s="272"/>
      <c r="ZA75" s="272"/>
      <c r="ZB75" s="272"/>
      <c r="ZC75" s="272"/>
      <c r="ZD75" s="272"/>
      <c r="ZE75" s="272"/>
      <c r="ZF75" s="272"/>
      <c r="ZG75" s="272"/>
      <c r="ZH75" s="272"/>
      <c r="ZI75" s="272"/>
      <c r="ZJ75" s="272"/>
      <c r="ZK75" s="272"/>
      <c r="ZL75" s="272"/>
      <c r="ZM75" s="272"/>
      <c r="ZN75" s="272"/>
      <c r="ZO75" s="272"/>
      <c r="ZP75" s="272"/>
      <c r="ZQ75" s="272"/>
      <c r="ZR75" s="272"/>
      <c r="ZS75" s="272"/>
      <c r="ZT75" s="272"/>
    </row>
    <row r="76" spans="1:696" s="62" customFormat="1" ht="13.5" thickBot="1">
      <c r="A76" s="617"/>
      <c r="B76" s="609"/>
      <c r="C76" s="28" t="s">
        <v>54</v>
      </c>
      <c r="D76" s="513"/>
      <c r="E76" s="534"/>
      <c r="F76" s="514"/>
      <c r="G76" s="515"/>
      <c r="H76" s="515"/>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2"/>
      <c r="CD76" s="272"/>
      <c r="CE76" s="272"/>
      <c r="CF76" s="272"/>
      <c r="CG76" s="272"/>
      <c r="CH76" s="272"/>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2"/>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c r="ET76" s="272"/>
      <c r="EU76" s="272"/>
      <c r="EV76" s="272"/>
      <c r="EW76" s="272"/>
      <c r="EX76" s="272"/>
      <c r="EY76" s="272"/>
      <c r="EZ76" s="272"/>
      <c r="FA76" s="272"/>
      <c r="FB76" s="272"/>
      <c r="FC76" s="272"/>
      <c r="FD76" s="272"/>
      <c r="FE76" s="272"/>
      <c r="FF76" s="272"/>
      <c r="FG76" s="272"/>
      <c r="FH76" s="272"/>
      <c r="FI76" s="272"/>
      <c r="FJ76" s="272"/>
      <c r="FK76" s="272"/>
      <c r="FL76" s="272"/>
      <c r="FM76" s="272"/>
      <c r="FN76" s="272"/>
      <c r="FO76" s="272"/>
      <c r="FP76" s="272"/>
      <c r="FQ76" s="272"/>
      <c r="FR76" s="272"/>
      <c r="FS76" s="272"/>
      <c r="FT76" s="272"/>
      <c r="FU76" s="272"/>
      <c r="FV76" s="272"/>
      <c r="FW76" s="272"/>
      <c r="FX76" s="272"/>
      <c r="FY76" s="272"/>
      <c r="FZ76" s="272"/>
      <c r="GA76" s="272"/>
      <c r="GB76" s="272"/>
      <c r="GC76" s="272"/>
      <c r="GD76" s="272"/>
      <c r="GE76" s="272"/>
      <c r="GF76" s="272"/>
      <c r="GG76" s="272"/>
      <c r="GH76" s="272"/>
      <c r="GI76" s="272"/>
      <c r="GJ76" s="272"/>
      <c r="GK76" s="272"/>
      <c r="GL76" s="272"/>
      <c r="GM76" s="272"/>
      <c r="GN76" s="272"/>
      <c r="GO76" s="272"/>
      <c r="GP76" s="272"/>
      <c r="GQ76" s="272"/>
      <c r="GR76" s="272"/>
      <c r="GS76" s="272"/>
      <c r="GT76" s="272"/>
      <c r="GU76" s="272"/>
      <c r="GV76" s="272"/>
      <c r="GW76" s="272"/>
      <c r="GX76" s="272"/>
      <c r="GY76" s="272"/>
      <c r="GZ76" s="272"/>
      <c r="HA76" s="272"/>
      <c r="HB76" s="272"/>
      <c r="HC76" s="272"/>
      <c r="HD76" s="272"/>
      <c r="HE76" s="272"/>
      <c r="HF76" s="272"/>
      <c r="HG76" s="272"/>
      <c r="HH76" s="272"/>
      <c r="HI76" s="272"/>
      <c r="HJ76" s="272"/>
      <c r="HK76" s="272"/>
      <c r="HL76" s="272"/>
      <c r="HM76" s="272"/>
      <c r="HN76" s="272"/>
      <c r="HO76" s="272"/>
      <c r="HP76" s="272"/>
      <c r="HQ76" s="272"/>
      <c r="HR76" s="272"/>
      <c r="HS76" s="272"/>
      <c r="HT76" s="272"/>
      <c r="HU76" s="272"/>
      <c r="HV76" s="272"/>
      <c r="HW76" s="272"/>
      <c r="HX76" s="272"/>
      <c r="HY76" s="272"/>
      <c r="HZ76" s="272"/>
      <c r="IA76" s="272"/>
      <c r="IB76" s="272"/>
      <c r="IC76" s="272"/>
      <c r="ID76" s="272"/>
      <c r="IE76" s="272"/>
      <c r="IF76" s="272"/>
      <c r="IG76" s="272"/>
      <c r="IH76" s="272"/>
      <c r="II76" s="272"/>
      <c r="IJ76" s="272"/>
      <c r="IK76" s="272"/>
      <c r="IL76" s="272"/>
      <c r="IM76" s="272"/>
      <c r="IN76" s="272"/>
      <c r="IO76" s="272"/>
      <c r="IP76" s="272"/>
      <c r="IQ76" s="272"/>
      <c r="IR76" s="272"/>
      <c r="IS76" s="272"/>
      <c r="IT76" s="272"/>
      <c r="IU76" s="272"/>
      <c r="IV76" s="272"/>
      <c r="IW76" s="272"/>
      <c r="IX76" s="272"/>
      <c r="IY76" s="272"/>
      <c r="IZ76" s="272"/>
      <c r="JA76" s="272"/>
      <c r="JB76" s="272"/>
      <c r="JC76" s="272"/>
      <c r="JD76" s="272"/>
      <c r="JE76" s="272"/>
      <c r="JF76" s="272"/>
      <c r="JG76" s="272"/>
      <c r="JH76" s="272"/>
      <c r="JI76" s="272"/>
      <c r="JJ76" s="272"/>
      <c r="JK76" s="272"/>
      <c r="JL76" s="272"/>
      <c r="JM76" s="272"/>
      <c r="JN76" s="272"/>
      <c r="JO76" s="272"/>
      <c r="JP76" s="272"/>
      <c r="JQ76" s="272"/>
      <c r="JR76" s="272"/>
      <c r="JS76" s="272"/>
      <c r="JT76" s="272"/>
      <c r="JU76" s="272"/>
      <c r="JV76" s="272"/>
      <c r="JW76" s="272"/>
      <c r="JX76" s="272"/>
      <c r="JY76" s="272"/>
      <c r="JZ76" s="272"/>
      <c r="KA76" s="272"/>
      <c r="KB76" s="272"/>
      <c r="KC76" s="272"/>
      <c r="KD76" s="272"/>
      <c r="KE76" s="272"/>
      <c r="KF76" s="272"/>
      <c r="KG76" s="272"/>
      <c r="KH76" s="272"/>
      <c r="KI76" s="272"/>
      <c r="KJ76" s="272"/>
      <c r="KK76" s="272"/>
      <c r="KL76" s="272"/>
      <c r="KM76" s="272"/>
      <c r="KN76" s="272"/>
      <c r="KO76" s="272"/>
      <c r="KP76" s="272"/>
      <c r="KQ76" s="272"/>
      <c r="KR76" s="272"/>
      <c r="KS76" s="272"/>
      <c r="KT76" s="272"/>
      <c r="KU76" s="272"/>
      <c r="KV76" s="272"/>
      <c r="KW76" s="272"/>
      <c r="KX76" s="272"/>
      <c r="KY76" s="272"/>
      <c r="KZ76" s="272"/>
      <c r="LA76" s="272"/>
      <c r="LB76" s="272"/>
      <c r="LC76" s="272"/>
      <c r="LD76" s="272"/>
      <c r="LE76" s="272"/>
      <c r="LF76" s="272"/>
      <c r="LG76" s="272"/>
      <c r="LH76" s="272"/>
      <c r="LI76" s="272"/>
      <c r="LJ76" s="272"/>
      <c r="LK76" s="272"/>
      <c r="LL76" s="272"/>
      <c r="LM76" s="272"/>
      <c r="LN76" s="272"/>
      <c r="LO76" s="272"/>
      <c r="LP76" s="272"/>
      <c r="LQ76" s="272"/>
      <c r="LR76" s="272"/>
      <c r="LS76" s="272"/>
      <c r="LT76" s="272"/>
      <c r="LU76" s="272"/>
      <c r="LV76" s="272"/>
      <c r="LW76" s="272"/>
      <c r="LX76" s="272"/>
      <c r="LY76" s="272"/>
      <c r="LZ76" s="272"/>
      <c r="MA76" s="272"/>
      <c r="MB76" s="272"/>
      <c r="MC76" s="272"/>
      <c r="MD76" s="272"/>
      <c r="ME76" s="272"/>
      <c r="MF76" s="272"/>
      <c r="MG76" s="272"/>
      <c r="MH76" s="272"/>
      <c r="MI76" s="272"/>
      <c r="MJ76" s="272"/>
      <c r="MK76" s="272"/>
      <c r="ML76" s="272"/>
      <c r="MM76" s="272"/>
      <c r="MN76" s="272"/>
      <c r="MO76" s="272"/>
      <c r="MP76" s="272"/>
      <c r="MQ76" s="272"/>
      <c r="MR76" s="272"/>
      <c r="MS76" s="272"/>
      <c r="MT76" s="272"/>
      <c r="MU76" s="272"/>
      <c r="MV76" s="272"/>
      <c r="MW76" s="272"/>
      <c r="MX76" s="272"/>
      <c r="MY76" s="272"/>
      <c r="MZ76" s="272"/>
      <c r="NA76" s="272"/>
      <c r="NB76" s="272"/>
      <c r="NC76" s="272"/>
      <c r="ND76" s="272"/>
      <c r="NE76" s="272"/>
      <c r="NF76" s="272"/>
      <c r="NG76" s="272"/>
      <c r="NH76" s="272"/>
      <c r="NI76" s="272"/>
      <c r="NJ76" s="272"/>
      <c r="NK76" s="272"/>
      <c r="NL76" s="272"/>
      <c r="NM76" s="272"/>
      <c r="NN76" s="272"/>
      <c r="NO76" s="272"/>
      <c r="NP76" s="272"/>
      <c r="NQ76" s="272"/>
      <c r="NR76" s="272"/>
      <c r="NS76" s="272"/>
      <c r="NT76" s="272"/>
      <c r="NU76" s="272"/>
      <c r="NV76" s="272"/>
      <c r="NW76" s="272"/>
      <c r="NX76" s="272"/>
      <c r="NY76" s="272"/>
      <c r="NZ76" s="272"/>
      <c r="OA76" s="272"/>
      <c r="OB76" s="272"/>
      <c r="OC76" s="272"/>
      <c r="OD76" s="272"/>
      <c r="OE76" s="272"/>
      <c r="OF76" s="272"/>
      <c r="OG76" s="272"/>
      <c r="OH76" s="272"/>
      <c r="OI76" s="272"/>
      <c r="OJ76" s="272"/>
      <c r="OK76" s="272"/>
      <c r="OL76" s="272"/>
      <c r="OM76" s="272"/>
      <c r="ON76" s="272"/>
      <c r="OO76" s="272"/>
      <c r="OP76" s="272"/>
      <c r="OQ76" s="272"/>
      <c r="OR76" s="272"/>
      <c r="OS76" s="272"/>
      <c r="OT76" s="272"/>
      <c r="OU76" s="272"/>
      <c r="OV76" s="272"/>
      <c r="OW76" s="272"/>
      <c r="OX76" s="272"/>
      <c r="OY76" s="272"/>
      <c r="OZ76" s="272"/>
      <c r="PA76" s="272"/>
      <c r="PB76" s="272"/>
      <c r="PC76" s="272"/>
      <c r="PD76" s="272"/>
      <c r="PE76" s="272"/>
      <c r="PF76" s="272"/>
      <c r="PG76" s="272"/>
      <c r="PH76" s="272"/>
      <c r="PI76" s="272"/>
      <c r="PJ76" s="272"/>
      <c r="PK76" s="272"/>
      <c r="PL76" s="272"/>
      <c r="PM76" s="272"/>
      <c r="PN76" s="272"/>
      <c r="PO76" s="272"/>
      <c r="PP76" s="272"/>
      <c r="PQ76" s="272"/>
      <c r="PR76" s="272"/>
      <c r="PS76" s="272"/>
      <c r="PT76" s="272"/>
      <c r="PU76" s="272"/>
      <c r="PV76" s="272"/>
      <c r="PW76" s="272"/>
      <c r="PX76" s="272"/>
      <c r="PY76" s="272"/>
      <c r="PZ76" s="272"/>
      <c r="QA76" s="272"/>
      <c r="QB76" s="272"/>
      <c r="QC76" s="272"/>
      <c r="QD76" s="272"/>
      <c r="QE76" s="272"/>
      <c r="QF76" s="272"/>
      <c r="QG76" s="272"/>
      <c r="QH76" s="272"/>
      <c r="QI76" s="272"/>
      <c r="QJ76" s="272"/>
      <c r="QK76" s="272"/>
      <c r="QL76" s="272"/>
      <c r="QM76" s="272"/>
      <c r="QN76" s="272"/>
      <c r="QO76" s="272"/>
      <c r="QP76" s="272"/>
      <c r="QQ76" s="272"/>
      <c r="QR76" s="272"/>
      <c r="QS76" s="272"/>
      <c r="QT76" s="272"/>
      <c r="QU76" s="272"/>
      <c r="QV76" s="272"/>
      <c r="QW76" s="272"/>
      <c r="QX76" s="272"/>
      <c r="QY76" s="272"/>
      <c r="QZ76" s="272"/>
      <c r="RA76" s="272"/>
      <c r="RB76" s="272"/>
      <c r="RC76" s="272"/>
      <c r="RD76" s="272"/>
      <c r="RE76" s="272"/>
      <c r="RF76" s="272"/>
      <c r="RG76" s="272"/>
      <c r="RH76" s="272"/>
      <c r="RI76" s="272"/>
      <c r="RJ76" s="272"/>
      <c r="RK76" s="272"/>
      <c r="RL76" s="272"/>
      <c r="RM76" s="272"/>
      <c r="RN76" s="272"/>
      <c r="RO76" s="272"/>
      <c r="RP76" s="272"/>
      <c r="RQ76" s="272"/>
      <c r="RR76" s="272"/>
      <c r="RS76" s="272"/>
      <c r="RT76" s="272"/>
      <c r="RU76" s="272"/>
      <c r="RV76" s="272"/>
      <c r="RW76" s="272"/>
      <c r="RX76" s="272"/>
      <c r="RY76" s="272"/>
      <c r="RZ76" s="272"/>
      <c r="SA76" s="272"/>
      <c r="SB76" s="272"/>
      <c r="SC76" s="272"/>
      <c r="SD76" s="272"/>
      <c r="SE76" s="272"/>
      <c r="SF76" s="272"/>
      <c r="SG76" s="272"/>
      <c r="SH76" s="272"/>
      <c r="SI76" s="272"/>
      <c r="SJ76" s="272"/>
      <c r="SK76" s="272"/>
      <c r="SL76" s="272"/>
      <c r="SM76" s="272"/>
      <c r="SN76" s="272"/>
      <c r="SO76" s="272"/>
      <c r="SP76" s="272"/>
      <c r="SQ76" s="272"/>
      <c r="SR76" s="272"/>
      <c r="SS76" s="272"/>
      <c r="ST76" s="272"/>
      <c r="SU76" s="272"/>
      <c r="SV76" s="272"/>
      <c r="SW76" s="272"/>
      <c r="SX76" s="272"/>
      <c r="SY76" s="272"/>
      <c r="SZ76" s="272"/>
      <c r="TA76" s="272"/>
      <c r="TB76" s="272"/>
      <c r="TC76" s="272"/>
      <c r="TD76" s="272"/>
      <c r="TE76" s="272"/>
      <c r="TF76" s="272"/>
      <c r="TG76" s="272"/>
      <c r="TH76" s="272"/>
      <c r="TI76" s="272"/>
      <c r="TJ76" s="272"/>
      <c r="TK76" s="272"/>
      <c r="TL76" s="272"/>
      <c r="TM76" s="272"/>
      <c r="TN76" s="272"/>
      <c r="TO76" s="272"/>
      <c r="TP76" s="272"/>
      <c r="TQ76" s="272"/>
      <c r="TR76" s="272"/>
      <c r="TS76" s="272"/>
      <c r="TT76" s="272"/>
      <c r="TU76" s="272"/>
      <c r="TV76" s="272"/>
      <c r="TW76" s="272"/>
      <c r="TX76" s="272"/>
      <c r="TY76" s="272"/>
      <c r="TZ76" s="272"/>
      <c r="UA76" s="272"/>
      <c r="UB76" s="272"/>
      <c r="UC76" s="272"/>
      <c r="UD76" s="272"/>
      <c r="UE76" s="272"/>
      <c r="UF76" s="272"/>
      <c r="UG76" s="272"/>
      <c r="UH76" s="272"/>
      <c r="UI76" s="272"/>
      <c r="UJ76" s="272"/>
      <c r="UK76" s="272"/>
      <c r="UL76" s="272"/>
      <c r="UM76" s="272"/>
      <c r="UN76" s="272"/>
      <c r="UO76" s="272"/>
      <c r="UP76" s="272"/>
      <c r="UQ76" s="272"/>
      <c r="UR76" s="272"/>
      <c r="US76" s="272"/>
      <c r="UT76" s="272"/>
      <c r="UU76" s="272"/>
      <c r="UV76" s="272"/>
      <c r="UW76" s="272"/>
      <c r="UX76" s="272"/>
      <c r="UY76" s="272"/>
      <c r="UZ76" s="272"/>
      <c r="VA76" s="272"/>
      <c r="VB76" s="272"/>
      <c r="VC76" s="272"/>
      <c r="VD76" s="272"/>
      <c r="VE76" s="272"/>
      <c r="VF76" s="272"/>
      <c r="VG76" s="272"/>
      <c r="VH76" s="272"/>
      <c r="VI76" s="272"/>
      <c r="VJ76" s="272"/>
      <c r="VK76" s="272"/>
      <c r="VL76" s="272"/>
      <c r="VM76" s="272"/>
      <c r="VN76" s="272"/>
      <c r="VO76" s="272"/>
      <c r="VP76" s="272"/>
      <c r="VQ76" s="272"/>
      <c r="VR76" s="272"/>
      <c r="VS76" s="272"/>
      <c r="VT76" s="272"/>
      <c r="VU76" s="272"/>
      <c r="VV76" s="272"/>
      <c r="VW76" s="272"/>
      <c r="VX76" s="272"/>
      <c r="VY76" s="272"/>
      <c r="VZ76" s="272"/>
      <c r="WA76" s="272"/>
      <c r="WB76" s="272"/>
      <c r="WC76" s="272"/>
      <c r="WD76" s="272"/>
      <c r="WE76" s="272"/>
      <c r="WF76" s="272"/>
      <c r="WG76" s="272"/>
      <c r="WH76" s="272"/>
      <c r="WI76" s="272"/>
      <c r="WJ76" s="272"/>
      <c r="WK76" s="272"/>
      <c r="WL76" s="272"/>
      <c r="WM76" s="272"/>
      <c r="WN76" s="272"/>
      <c r="WO76" s="272"/>
      <c r="WP76" s="272"/>
      <c r="WQ76" s="272"/>
      <c r="WR76" s="272"/>
      <c r="WS76" s="272"/>
      <c r="WT76" s="272"/>
      <c r="WU76" s="272"/>
      <c r="WV76" s="272"/>
      <c r="WW76" s="272"/>
      <c r="WX76" s="272"/>
      <c r="WY76" s="272"/>
      <c r="WZ76" s="272"/>
      <c r="XA76" s="272"/>
      <c r="XB76" s="272"/>
      <c r="XC76" s="272"/>
      <c r="XD76" s="272"/>
      <c r="XE76" s="272"/>
      <c r="XF76" s="272"/>
      <c r="XG76" s="272"/>
      <c r="XH76" s="272"/>
      <c r="XI76" s="272"/>
      <c r="XJ76" s="272"/>
      <c r="XK76" s="272"/>
      <c r="XL76" s="272"/>
      <c r="XM76" s="272"/>
      <c r="XN76" s="272"/>
      <c r="XO76" s="272"/>
      <c r="XP76" s="272"/>
      <c r="XQ76" s="272"/>
      <c r="XR76" s="272"/>
      <c r="XS76" s="272"/>
      <c r="XT76" s="272"/>
      <c r="XU76" s="272"/>
      <c r="XV76" s="272"/>
      <c r="XW76" s="272"/>
      <c r="XX76" s="272"/>
      <c r="XY76" s="272"/>
      <c r="XZ76" s="272"/>
      <c r="YA76" s="272"/>
      <c r="YB76" s="272"/>
      <c r="YC76" s="272"/>
      <c r="YD76" s="272"/>
      <c r="YE76" s="272"/>
      <c r="YF76" s="272"/>
      <c r="YG76" s="272"/>
      <c r="YH76" s="272"/>
      <c r="YI76" s="272"/>
      <c r="YJ76" s="272"/>
      <c r="YK76" s="272"/>
      <c r="YL76" s="272"/>
      <c r="YM76" s="272"/>
      <c r="YN76" s="272"/>
      <c r="YO76" s="272"/>
      <c r="YP76" s="272"/>
      <c r="YQ76" s="272"/>
      <c r="YR76" s="272"/>
      <c r="YS76" s="272"/>
      <c r="YT76" s="272"/>
      <c r="YU76" s="272"/>
      <c r="YV76" s="272"/>
      <c r="YW76" s="272"/>
      <c r="YX76" s="272"/>
      <c r="YY76" s="272"/>
      <c r="YZ76" s="272"/>
      <c r="ZA76" s="272"/>
      <c r="ZB76" s="272"/>
      <c r="ZC76" s="272"/>
      <c r="ZD76" s="272"/>
      <c r="ZE76" s="272"/>
      <c r="ZF76" s="272"/>
      <c r="ZG76" s="272"/>
      <c r="ZH76" s="272"/>
      <c r="ZI76" s="272"/>
      <c r="ZJ76" s="272"/>
      <c r="ZK76" s="272"/>
      <c r="ZL76" s="272"/>
      <c r="ZM76" s="272"/>
      <c r="ZN76" s="272"/>
      <c r="ZO76" s="272"/>
      <c r="ZP76" s="272"/>
      <c r="ZQ76" s="272"/>
      <c r="ZR76" s="272"/>
      <c r="ZS76" s="272"/>
      <c r="ZT76" s="272"/>
    </row>
    <row r="77" spans="1:696" s="61" customFormat="1" ht="127.5">
      <c r="A77" s="88" t="s">
        <v>10</v>
      </c>
      <c r="B77" s="87" t="s">
        <v>66</v>
      </c>
      <c r="C77" s="26" t="s">
        <v>52</v>
      </c>
      <c r="D77" s="501"/>
      <c r="E77" s="543"/>
      <c r="F77" s="518"/>
      <c r="G77" s="519"/>
      <c r="H77" s="519"/>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2"/>
      <c r="BU77" s="272"/>
      <c r="BV77" s="272"/>
      <c r="BW77" s="272"/>
      <c r="BX77" s="272"/>
      <c r="BY77" s="272"/>
      <c r="BZ77" s="272"/>
      <c r="CA77" s="272"/>
      <c r="CB77" s="272"/>
      <c r="CC77" s="272"/>
      <c r="CD77" s="272"/>
      <c r="CE77" s="272"/>
      <c r="CF77" s="272"/>
      <c r="CG77" s="272"/>
      <c r="CH77" s="272"/>
      <c r="CI77" s="272"/>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2"/>
      <c r="DF77" s="272"/>
      <c r="DG77" s="272"/>
      <c r="DH77" s="272"/>
      <c r="DI77" s="272"/>
      <c r="DJ77" s="272"/>
      <c r="DK77" s="272"/>
      <c r="DL77" s="272"/>
      <c r="DM77" s="272"/>
      <c r="DN77" s="272"/>
      <c r="DO77" s="272"/>
      <c r="DP77" s="272"/>
      <c r="DQ77" s="272"/>
      <c r="DR77" s="272"/>
      <c r="DS77" s="272"/>
      <c r="DT77" s="272"/>
      <c r="DU77" s="272"/>
      <c r="DV77" s="272"/>
      <c r="DW77" s="272"/>
      <c r="DX77" s="272"/>
      <c r="DY77" s="272"/>
      <c r="DZ77" s="272"/>
      <c r="EA77" s="272"/>
      <c r="EB77" s="272"/>
      <c r="EC77" s="272"/>
      <c r="ED77" s="272"/>
      <c r="EE77" s="272"/>
      <c r="EF77" s="272"/>
      <c r="EG77" s="272"/>
      <c r="EH77" s="272"/>
      <c r="EI77" s="272"/>
      <c r="EJ77" s="272"/>
      <c r="EK77" s="272"/>
      <c r="EL77" s="272"/>
      <c r="EM77" s="272"/>
      <c r="EN77" s="272"/>
      <c r="EO77" s="272"/>
      <c r="EP77" s="272"/>
      <c r="EQ77" s="272"/>
      <c r="ER77" s="272"/>
      <c r="ES77" s="272"/>
      <c r="ET77" s="272"/>
      <c r="EU77" s="272"/>
      <c r="EV77" s="272"/>
      <c r="EW77" s="272"/>
      <c r="EX77" s="272"/>
      <c r="EY77" s="272"/>
      <c r="EZ77" s="272"/>
      <c r="FA77" s="272"/>
      <c r="FB77" s="272"/>
      <c r="FC77" s="272"/>
      <c r="FD77" s="272"/>
      <c r="FE77" s="272"/>
      <c r="FF77" s="272"/>
      <c r="FG77" s="272"/>
      <c r="FH77" s="272"/>
      <c r="FI77" s="272"/>
      <c r="FJ77" s="272"/>
      <c r="FK77" s="272"/>
      <c r="FL77" s="272"/>
      <c r="FM77" s="272"/>
      <c r="FN77" s="272"/>
      <c r="FO77" s="272"/>
      <c r="FP77" s="272"/>
      <c r="FQ77" s="272"/>
      <c r="FR77" s="272"/>
      <c r="FS77" s="272"/>
      <c r="FT77" s="272"/>
      <c r="FU77" s="272"/>
      <c r="FV77" s="272"/>
      <c r="FW77" s="272"/>
      <c r="FX77" s="272"/>
      <c r="FY77" s="272"/>
      <c r="FZ77" s="272"/>
      <c r="GA77" s="272"/>
      <c r="GB77" s="272"/>
      <c r="GC77" s="272"/>
      <c r="GD77" s="272"/>
      <c r="GE77" s="272"/>
      <c r="GF77" s="272"/>
      <c r="GG77" s="272"/>
      <c r="GH77" s="272"/>
      <c r="GI77" s="272"/>
      <c r="GJ77" s="272"/>
      <c r="GK77" s="272"/>
      <c r="GL77" s="272"/>
      <c r="GM77" s="272"/>
      <c r="GN77" s="272"/>
      <c r="GO77" s="272"/>
      <c r="GP77" s="272"/>
      <c r="GQ77" s="272"/>
      <c r="GR77" s="272"/>
      <c r="GS77" s="272"/>
      <c r="GT77" s="272"/>
      <c r="GU77" s="272"/>
      <c r="GV77" s="272"/>
      <c r="GW77" s="272"/>
      <c r="GX77" s="272"/>
      <c r="GY77" s="272"/>
      <c r="GZ77" s="272"/>
      <c r="HA77" s="272"/>
      <c r="HB77" s="272"/>
      <c r="HC77" s="272"/>
      <c r="HD77" s="272"/>
      <c r="HE77" s="272"/>
      <c r="HF77" s="272"/>
      <c r="HG77" s="272"/>
      <c r="HH77" s="272"/>
      <c r="HI77" s="272"/>
      <c r="HJ77" s="272"/>
      <c r="HK77" s="272"/>
      <c r="HL77" s="272"/>
      <c r="HM77" s="272"/>
      <c r="HN77" s="272"/>
      <c r="HO77" s="272"/>
      <c r="HP77" s="272"/>
      <c r="HQ77" s="272"/>
      <c r="HR77" s="272"/>
      <c r="HS77" s="272"/>
      <c r="HT77" s="272"/>
      <c r="HU77" s="272"/>
      <c r="HV77" s="272"/>
      <c r="HW77" s="272"/>
      <c r="HX77" s="272"/>
      <c r="HY77" s="272"/>
      <c r="HZ77" s="272"/>
      <c r="IA77" s="272"/>
      <c r="IB77" s="272"/>
      <c r="IC77" s="272"/>
      <c r="ID77" s="272"/>
      <c r="IE77" s="272"/>
      <c r="IF77" s="272"/>
      <c r="IG77" s="272"/>
      <c r="IH77" s="272"/>
      <c r="II77" s="272"/>
      <c r="IJ77" s="272"/>
      <c r="IK77" s="272"/>
      <c r="IL77" s="272"/>
      <c r="IM77" s="272"/>
      <c r="IN77" s="272"/>
      <c r="IO77" s="272"/>
      <c r="IP77" s="272"/>
      <c r="IQ77" s="272"/>
      <c r="IR77" s="272"/>
      <c r="IS77" s="272"/>
      <c r="IT77" s="272"/>
      <c r="IU77" s="272"/>
      <c r="IV77" s="272"/>
      <c r="IW77" s="272"/>
      <c r="IX77" s="272"/>
      <c r="IY77" s="272"/>
      <c r="IZ77" s="272"/>
      <c r="JA77" s="272"/>
      <c r="JB77" s="272"/>
      <c r="JC77" s="272"/>
      <c r="JD77" s="272"/>
      <c r="JE77" s="272"/>
      <c r="JF77" s="272"/>
      <c r="JG77" s="272"/>
      <c r="JH77" s="272"/>
      <c r="JI77" s="272"/>
      <c r="JJ77" s="272"/>
      <c r="JK77" s="272"/>
      <c r="JL77" s="272"/>
      <c r="JM77" s="272"/>
      <c r="JN77" s="272"/>
      <c r="JO77" s="272"/>
      <c r="JP77" s="272"/>
      <c r="JQ77" s="272"/>
      <c r="JR77" s="272"/>
      <c r="JS77" s="272"/>
      <c r="JT77" s="272"/>
      <c r="JU77" s="272"/>
      <c r="JV77" s="272"/>
      <c r="JW77" s="272"/>
      <c r="JX77" s="272"/>
      <c r="JY77" s="272"/>
      <c r="JZ77" s="272"/>
      <c r="KA77" s="272"/>
      <c r="KB77" s="272"/>
      <c r="KC77" s="272"/>
      <c r="KD77" s="272"/>
      <c r="KE77" s="272"/>
      <c r="KF77" s="272"/>
      <c r="KG77" s="272"/>
      <c r="KH77" s="272"/>
      <c r="KI77" s="272"/>
      <c r="KJ77" s="272"/>
      <c r="KK77" s="272"/>
      <c r="KL77" s="272"/>
      <c r="KM77" s="272"/>
      <c r="KN77" s="272"/>
      <c r="KO77" s="272"/>
      <c r="KP77" s="272"/>
      <c r="KQ77" s="272"/>
      <c r="KR77" s="272"/>
      <c r="KS77" s="272"/>
      <c r="KT77" s="272"/>
      <c r="KU77" s="272"/>
      <c r="KV77" s="272"/>
      <c r="KW77" s="272"/>
      <c r="KX77" s="272"/>
      <c r="KY77" s="272"/>
      <c r="KZ77" s="272"/>
      <c r="LA77" s="272"/>
      <c r="LB77" s="272"/>
      <c r="LC77" s="272"/>
      <c r="LD77" s="272"/>
      <c r="LE77" s="272"/>
      <c r="LF77" s="272"/>
      <c r="LG77" s="272"/>
      <c r="LH77" s="272"/>
      <c r="LI77" s="272"/>
      <c r="LJ77" s="272"/>
      <c r="LK77" s="272"/>
      <c r="LL77" s="272"/>
      <c r="LM77" s="272"/>
      <c r="LN77" s="272"/>
      <c r="LO77" s="272"/>
      <c r="LP77" s="272"/>
      <c r="LQ77" s="272"/>
      <c r="LR77" s="272"/>
      <c r="LS77" s="272"/>
      <c r="LT77" s="272"/>
      <c r="LU77" s="272"/>
      <c r="LV77" s="272"/>
      <c r="LW77" s="272"/>
      <c r="LX77" s="272"/>
      <c r="LY77" s="272"/>
      <c r="LZ77" s="272"/>
      <c r="MA77" s="272"/>
      <c r="MB77" s="272"/>
      <c r="MC77" s="272"/>
      <c r="MD77" s="272"/>
      <c r="ME77" s="272"/>
      <c r="MF77" s="272"/>
      <c r="MG77" s="272"/>
      <c r="MH77" s="272"/>
      <c r="MI77" s="272"/>
      <c r="MJ77" s="272"/>
      <c r="MK77" s="272"/>
      <c r="ML77" s="272"/>
      <c r="MM77" s="272"/>
      <c r="MN77" s="272"/>
      <c r="MO77" s="272"/>
      <c r="MP77" s="272"/>
      <c r="MQ77" s="272"/>
      <c r="MR77" s="272"/>
      <c r="MS77" s="272"/>
      <c r="MT77" s="272"/>
      <c r="MU77" s="272"/>
      <c r="MV77" s="272"/>
      <c r="MW77" s="272"/>
      <c r="MX77" s="272"/>
      <c r="MY77" s="272"/>
      <c r="MZ77" s="272"/>
      <c r="NA77" s="272"/>
      <c r="NB77" s="272"/>
      <c r="NC77" s="272"/>
      <c r="ND77" s="272"/>
      <c r="NE77" s="272"/>
      <c r="NF77" s="272"/>
      <c r="NG77" s="272"/>
      <c r="NH77" s="272"/>
      <c r="NI77" s="272"/>
      <c r="NJ77" s="272"/>
      <c r="NK77" s="272"/>
      <c r="NL77" s="272"/>
      <c r="NM77" s="272"/>
      <c r="NN77" s="272"/>
      <c r="NO77" s="272"/>
      <c r="NP77" s="272"/>
      <c r="NQ77" s="272"/>
      <c r="NR77" s="272"/>
      <c r="NS77" s="272"/>
      <c r="NT77" s="272"/>
      <c r="NU77" s="272"/>
      <c r="NV77" s="272"/>
      <c r="NW77" s="272"/>
      <c r="NX77" s="272"/>
      <c r="NY77" s="272"/>
      <c r="NZ77" s="272"/>
      <c r="OA77" s="272"/>
      <c r="OB77" s="272"/>
      <c r="OC77" s="272"/>
      <c r="OD77" s="272"/>
      <c r="OE77" s="272"/>
      <c r="OF77" s="272"/>
      <c r="OG77" s="272"/>
      <c r="OH77" s="272"/>
      <c r="OI77" s="272"/>
      <c r="OJ77" s="272"/>
      <c r="OK77" s="272"/>
      <c r="OL77" s="272"/>
      <c r="OM77" s="272"/>
      <c r="ON77" s="272"/>
      <c r="OO77" s="272"/>
      <c r="OP77" s="272"/>
      <c r="OQ77" s="272"/>
      <c r="OR77" s="272"/>
      <c r="OS77" s="272"/>
      <c r="OT77" s="272"/>
      <c r="OU77" s="272"/>
      <c r="OV77" s="272"/>
      <c r="OW77" s="272"/>
      <c r="OX77" s="272"/>
      <c r="OY77" s="272"/>
      <c r="OZ77" s="272"/>
      <c r="PA77" s="272"/>
      <c r="PB77" s="272"/>
      <c r="PC77" s="272"/>
      <c r="PD77" s="272"/>
      <c r="PE77" s="272"/>
      <c r="PF77" s="272"/>
      <c r="PG77" s="272"/>
      <c r="PH77" s="272"/>
      <c r="PI77" s="272"/>
      <c r="PJ77" s="272"/>
      <c r="PK77" s="272"/>
      <c r="PL77" s="272"/>
      <c r="PM77" s="272"/>
      <c r="PN77" s="272"/>
      <c r="PO77" s="272"/>
      <c r="PP77" s="272"/>
      <c r="PQ77" s="272"/>
      <c r="PR77" s="272"/>
      <c r="PS77" s="272"/>
      <c r="PT77" s="272"/>
      <c r="PU77" s="272"/>
      <c r="PV77" s="272"/>
      <c r="PW77" s="272"/>
      <c r="PX77" s="272"/>
      <c r="PY77" s="272"/>
      <c r="PZ77" s="272"/>
      <c r="QA77" s="272"/>
      <c r="QB77" s="272"/>
      <c r="QC77" s="272"/>
      <c r="QD77" s="272"/>
      <c r="QE77" s="272"/>
      <c r="QF77" s="272"/>
      <c r="QG77" s="272"/>
      <c r="QH77" s="272"/>
      <c r="QI77" s="272"/>
      <c r="QJ77" s="272"/>
      <c r="QK77" s="272"/>
      <c r="QL77" s="272"/>
      <c r="QM77" s="272"/>
      <c r="QN77" s="272"/>
      <c r="QO77" s="272"/>
      <c r="QP77" s="272"/>
      <c r="QQ77" s="272"/>
      <c r="QR77" s="272"/>
      <c r="QS77" s="272"/>
      <c r="QT77" s="272"/>
      <c r="QU77" s="272"/>
      <c r="QV77" s="272"/>
      <c r="QW77" s="272"/>
      <c r="QX77" s="272"/>
      <c r="QY77" s="272"/>
      <c r="QZ77" s="272"/>
      <c r="RA77" s="272"/>
      <c r="RB77" s="272"/>
      <c r="RC77" s="272"/>
      <c r="RD77" s="272"/>
      <c r="RE77" s="272"/>
      <c r="RF77" s="272"/>
      <c r="RG77" s="272"/>
      <c r="RH77" s="272"/>
      <c r="RI77" s="272"/>
      <c r="RJ77" s="272"/>
      <c r="RK77" s="272"/>
      <c r="RL77" s="272"/>
      <c r="RM77" s="272"/>
      <c r="RN77" s="272"/>
      <c r="RO77" s="272"/>
      <c r="RP77" s="272"/>
      <c r="RQ77" s="272"/>
      <c r="RR77" s="272"/>
      <c r="RS77" s="272"/>
      <c r="RT77" s="272"/>
      <c r="RU77" s="272"/>
      <c r="RV77" s="272"/>
      <c r="RW77" s="272"/>
      <c r="RX77" s="272"/>
      <c r="RY77" s="272"/>
      <c r="RZ77" s="272"/>
      <c r="SA77" s="272"/>
      <c r="SB77" s="272"/>
      <c r="SC77" s="272"/>
      <c r="SD77" s="272"/>
      <c r="SE77" s="272"/>
      <c r="SF77" s="272"/>
      <c r="SG77" s="272"/>
      <c r="SH77" s="272"/>
      <c r="SI77" s="272"/>
      <c r="SJ77" s="272"/>
      <c r="SK77" s="272"/>
      <c r="SL77" s="272"/>
      <c r="SM77" s="272"/>
      <c r="SN77" s="272"/>
      <c r="SO77" s="272"/>
      <c r="SP77" s="272"/>
      <c r="SQ77" s="272"/>
      <c r="SR77" s="272"/>
      <c r="SS77" s="272"/>
      <c r="ST77" s="272"/>
      <c r="SU77" s="272"/>
      <c r="SV77" s="272"/>
      <c r="SW77" s="272"/>
      <c r="SX77" s="272"/>
      <c r="SY77" s="272"/>
      <c r="SZ77" s="272"/>
      <c r="TA77" s="272"/>
      <c r="TB77" s="272"/>
      <c r="TC77" s="272"/>
      <c r="TD77" s="272"/>
      <c r="TE77" s="272"/>
      <c r="TF77" s="272"/>
      <c r="TG77" s="272"/>
      <c r="TH77" s="272"/>
      <c r="TI77" s="272"/>
      <c r="TJ77" s="272"/>
      <c r="TK77" s="272"/>
      <c r="TL77" s="272"/>
      <c r="TM77" s="272"/>
      <c r="TN77" s="272"/>
      <c r="TO77" s="272"/>
      <c r="TP77" s="272"/>
      <c r="TQ77" s="272"/>
      <c r="TR77" s="272"/>
      <c r="TS77" s="272"/>
      <c r="TT77" s="272"/>
      <c r="TU77" s="272"/>
      <c r="TV77" s="272"/>
      <c r="TW77" s="272"/>
      <c r="TX77" s="272"/>
      <c r="TY77" s="272"/>
      <c r="TZ77" s="272"/>
      <c r="UA77" s="272"/>
      <c r="UB77" s="272"/>
      <c r="UC77" s="272"/>
      <c r="UD77" s="272"/>
      <c r="UE77" s="272"/>
      <c r="UF77" s="272"/>
      <c r="UG77" s="272"/>
      <c r="UH77" s="272"/>
      <c r="UI77" s="272"/>
      <c r="UJ77" s="272"/>
      <c r="UK77" s="272"/>
      <c r="UL77" s="272"/>
      <c r="UM77" s="272"/>
      <c r="UN77" s="272"/>
      <c r="UO77" s="272"/>
      <c r="UP77" s="272"/>
      <c r="UQ77" s="272"/>
      <c r="UR77" s="272"/>
      <c r="US77" s="272"/>
      <c r="UT77" s="272"/>
      <c r="UU77" s="272"/>
      <c r="UV77" s="272"/>
      <c r="UW77" s="272"/>
      <c r="UX77" s="272"/>
      <c r="UY77" s="272"/>
      <c r="UZ77" s="272"/>
      <c r="VA77" s="272"/>
      <c r="VB77" s="272"/>
      <c r="VC77" s="272"/>
      <c r="VD77" s="272"/>
      <c r="VE77" s="272"/>
      <c r="VF77" s="272"/>
      <c r="VG77" s="272"/>
      <c r="VH77" s="272"/>
      <c r="VI77" s="272"/>
      <c r="VJ77" s="272"/>
      <c r="VK77" s="272"/>
      <c r="VL77" s="272"/>
      <c r="VM77" s="272"/>
      <c r="VN77" s="272"/>
      <c r="VO77" s="272"/>
      <c r="VP77" s="272"/>
      <c r="VQ77" s="272"/>
      <c r="VR77" s="272"/>
      <c r="VS77" s="272"/>
      <c r="VT77" s="272"/>
      <c r="VU77" s="272"/>
      <c r="VV77" s="272"/>
      <c r="VW77" s="272"/>
      <c r="VX77" s="272"/>
      <c r="VY77" s="272"/>
      <c r="VZ77" s="272"/>
      <c r="WA77" s="272"/>
      <c r="WB77" s="272"/>
      <c r="WC77" s="272"/>
      <c r="WD77" s="272"/>
      <c r="WE77" s="272"/>
      <c r="WF77" s="272"/>
      <c r="WG77" s="272"/>
      <c r="WH77" s="272"/>
      <c r="WI77" s="272"/>
      <c r="WJ77" s="272"/>
      <c r="WK77" s="272"/>
      <c r="WL77" s="272"/>
      <c r="WM77" s="272"/>
      <c r="WN77" s="272"/>
      <c r="WO77" s="272"/>
      <c r="WP77" s="272"/>
      <c r="WQ77" s="272"/>
      <c r="WR77" s="272"/>
      <c r="WS77" s="272"/>
      <c r="WT77" s="272"/>
      <c r="WU77" s="272"/>
      <c r="WV77" s="272"/>
      <c r="WW77" s="272"/>
      <c r="WX77" s="272"/>
      <c r="WY77" s="272"/>
      <c r="WZ77" s="272"/>
      <c r="XA77" s="272"/>
      <c r="XB77" s="272"/>
      <c r="XC77" s="272"/>
      <c r="XD77" s="272"/>
      <c r="XE77" s="272"/>
      <c r="XF77" s="272"/>
      <c r="XG77" s="272"/>
      <c r="XH77" s="272"/>
      <c r="XI77" s="272"/>
      <c r="XJ77" s="272"/>
      <c r="XK77" s="272"/>
      <c r="XL77" s="272"/>
      <c r="XM77" s="272"/>
      <c r="XN77" s="272"/>
      <c r="XO77" s="272"/>
      <c r="XP77" s="272"/>
      <c r="XQ77" s="272"/>
      <c r="XR77" s="272"/>
      <c r="XS77" s="272"/>
      <c r="XT77" s="272"/>
      <c r="XU77" s="272"/>
      <c r="XV77" s="272"/>
      <c r="XW77" s="272"/>
      <c r="XX77" s="272"/>
      <c r="XY77" s="272"/>
      <c r="XZ77" s="272"/>
      <c r="YA77" s="272"/>
      <c r="YB77" s="272"/>
      <c r="YC77" s="272"/>
      <c r="YD77" s="272"/>
      <c r="YE77" s="272"/>
      <c r="YF77" s="272"/>
      <c r="YG77" s="272"/>
      <c r="YH77" s="272"/>
      <c r="YI77" s="272"/>
      <c r="YJ77" s="272"/>
      <c r="YK77" s="272"/>
      <c r="YL77" s="272"/>
      <c r="YM77" s="272"/>
      <c r="YN77" s="272"/>
      <c r="YO77" s="272"/>
      <c r="YP77" s="272"/>
      <c r="YQ77" s="272"/>
      <c r="YR77" s="272"/>
      <c r="YS77" s="272"/>
      <c r="YT77" s="272"/>
      <c r="YU77" s="272"/>
      <c r="YV77" s="272"/>
      <c r="YW77" s="272"/>
      <c r="YX77" s="272"/>
      <c r="YY77" s="272"/>
      <c r="YZ77" s="272"/>
      <c r="ZA77" s="272"/>
      <c r="ZB77" s="272"/>
      <c r="ZC77" s="272"/>
      <c r="ZD77" s="272"/>
      <c r="ZE77" s="272"/>
      <c r="ZF77" s="272"/>
      <c r="ZG77" s="272"/>
      <c r="ZH77" s="272"/>
      <c r="ZI77" s="272"/>
      <c r="ZJ77" s="272"/>
      <c r="ZK77" s="272"/>
      <c r="ZL77" s="272"/>
      <c r="ZM77" s="272"/>
      <c r="ZN77" s="272"/>
      <c r="ZO77" s="272"/>
      <c r="ZP77" s="272"/>
      <c r="ZQ77" s="272"/>
      <c r="ZR77" s="272"/>
      <c r="ZS77" s="272"/>
      <c r="ZT77" s="272"/>
    </row>
    <row r="78" spans="1:696" s="19" customFormat="1" ht="15">
      <c r="A78" s="49"/>
      <c r="B78" s="44"/>
      <c r="C78" s="55" t="s">
        <v>53</v>
      </c>
      <c r="D78" s="55"/>
      <c r="E78" s="56"/>
      <c r="F78" s="56"/>
      <c r="G78" s="265"/>
      <c r="H78" s="265"/>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272"/>
      <c r="GB78" s="272"/>
      <c r="GC78" s="27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c r="HE78" s="272"/>
      <c r="HF78" s="272"/>
      <c r="HG78" s="272"/>
      <c r="HH78" s="272"/>
      <c r="HI78" s="272"/>
      <c r="HJ78" s="272"/>
      <c r="HK78" s="272"/>
      <c r="HL78" s="272"/>
      <c r="HM78" s="272"/>
      <c r="HN78" s="272"/>
      <c r="HO78" s="272"/>
      <c r="HP78" s="272"/>
      <c r="HQ78" s="272"/>
      <c r="HR78" s="272"/>
      <c r="HS78" s="272"/>
      <c r="HT78" s="272"/>
      <c r="HU78" s="272"/>
      <c r="HV78" s="272"/>
      <c r="HW78" s="272"/>
      <c r="HX78" s="272"/>
      <c r="HY78" s="272"/>
      <c r="HZ78" s="272"/>
      <c r="IA78" s="272"/>
      <c r="IB78" s="272"/>
      <c r="IC78" s="272"/>
      <c r="ID78" s="272"/>
      <c r="IE78" s="272"/>
      <c r="IF78" s="272"/>
      <c r="IG78" s="272"/>
      <c r="IH78" s="272"/>
      <c r="II78" s="272"/>
      <c r="IJ78" s="272"/>
      <c r="IK78" s="272"/>
      <c r="IL78" s="272"/>
      <c r="IM78" s="272"/>
      <c r="IN78" s="272"/>
      <c r="IO78" s="272"/>
      <c r="IP78" s="272"/>
      <c r="IQ78" s="272"/>
      <c r="IR78" s="272"/>
      <c r="IS78" s="272"/>
      <c r="IT78" s="272"/>
      <c r="IU78" s="272"/>
      <c r="IV78" s="272"/>
      <c r="IW78" s="272"/>
      <c r="IX78" s="272"/>
      <c r="IY78" s="272"/>
      <c r="IZ78" s="272"/>
      <c r="JA78" s="272"/>
      <c r="JB78" s="272"/>
      <c r="JC78" s="272"/>
      <c r="JD78" s="272"/>
      <c r="JE78" s="272"/>
      <c r="JF78" s="272"/>
      <c r="JG78" s="272"/>
      <c r="JH78" s="272"/>
      <c r="JI78" s="272"/>
      <c r="JJ78" s="272"/>
      <c r="JK78" s="272"/>
      <c r="JL78" s="272"/>
      <c r="JM78" s="272"/>
      <c r="JN78" s="272"/>
      <c r="JO78" s="272"/>
      <c r="JP78" s="272"/>
      <c r="JQ78" s="272"/>
      <c r="JR78" s="272"/>
      <c r="JS78" s="272"/>
      <c r="JT78" s="272"/>
      <c r="JU78" s="272"/>
      <c r="JV78" s="272"/>
      <c r="JW78" s="272"/>
      <c r="JX78" s="272"/>
      <c r="JY78" s="272"/>
      <c r="JZ78" s="272"/>
      <c r="KA78" s="272"/>
      <c r="KB78" s="272"/>
      <c r="KC78" s="272"/>
      <c r="KD78" s="272"/>
      <c r="KE78" s="272"/>
      <c r="KF78" s="272"/>
      <c r="KG78" s="272"/>
      <c r="KH78" s="272"/>
      <c r="KI78" s="272"/>
      <c r="KJ78" s="272"/>
      <c r="KK78" s="272"/>
      <c r="KL78" s="272"/>
      <c r="KM78" s="272"/>
      <c r="KN78" s="272"/>
      <c r="KO78" s="272"/>
      <c r="KP78" s="272"/>
      <c r="KQ78" s="272"/>
      <c r="KR78" s="272"/>
      <c r="KS78" s="272"/>
      <c r="KT78" s="272"/>
      <c r="KU78" s="272"/>
      <c r="KV78" s="272"/>
      <c r="KW78" s="272"/>
      <c r="KX78" s="272"/>
      <c r="KY78" s="272"/>
      <c r="KZ78" s="272"/>
      <c r="LA78" s="272"/>
      <c r="LB78" s="272"/>
      <c r="LC78" s="272"/>
      <c r="LD78" s="272"/>
      <c r="LE78" s="272"/>
      <c r="LF78" s="272"/>
      <c r="LG78" s="272"/>
      <c r="LH78" s="272"/>
      <c r="LI78" s="272"/>
      <c r="LJ78" s="272"/>
      <c r="LK78" s="272"/>
      <c r="LL78" s="272"/>
      <c r="LM78" s="272"/>
      <c r="LN78" s="272"/>
      <c r="LO78" s="272"/>
      <c r="LP78" s="272"/>
      <c r="LQ78" s="272"/>
      <c r="LR78" s="272"/>
      <c r="LS78" s="272"/>
      <c r="LT78" s="272"/>
      <c r="LU78" s="272"/>
      <c r="LV78" s="272"/>
      <c r="LW78" s="272"/>
      <c r="LX78" s="272"/>
      <c r="LY78" s="272"/>
      <c r="LZ78" s="272"/>
      <c r="MA78" s="272"/>
      <c r="MB78" s="272"/>
      <c r="MC78" s="272"/>
      <c r="MD78" s="272"/>
      <c r="ME78" s="272"/>
      <c r="MF78" s="272"/>
      <c r="MG78" s="272"/>
      <c r="MH78" s="272"/>
      <c r="MI78" s="272"/>
      <c r="MJ78" s="272"/>
      <c r="MK78" s="272"/>
      <c r="ML78" s="272"/>
      <c r="MM78" s="272"/>
      <c r="MN78" s="272"/>
      <c r="MO78" s="272"/>
      <c r="MP78" s="272"/>
      <c r="MQ78" s="272"/>
      <c r="MR78" s="272"/>
      <c r="MS78" s="272"/>
      <c r="MT78" s="272"/>
      <c r="MU78" s="272"/>
      <c r="MV78" s="272"/>
      <c r="MW78" s="272"/>
      <c r="MX78" s="272"/>
      <c r="MY78" s="272"/>
      <c r="MZ78" s="272"/>
      <c r="NA78" s="272"/>
      <c r="NB78" s="272"/>
      <c r="NC78" s="272"/>
      <c r="ND78" s="272"/>
      <c r="NE78" s="272"/>
      <c r="NF78" s="272"/>
      <c r="NG78" s="272"/>
      <c r="NH78" s="272"/>
      <c r="NI78" s="272"/>
      <c r="NJ78" s="272"/>
      <c r="NK78" s="272"/>
      <c r="NL78" s="272"/>
      <c r="NM78" s="272"/>
      <c r="NN78" s="272"/>
      <c r="NO78" s="272"/>
      <c r="NP78" s="272"/>
      <c r="NQ78" s="272"/>
      <c r="NR78" s="272"/>
      <c r="NS78" s="272"/>
      <c r="NT78" s="272"/>
      <c r="NU78" s="272"/>
      <c r="NV78" s="272"/>
      <c r="NW78" s="272"/>
      <c r="NX78" s="272"/>
      <c r="NY78" s="272"/>
      <c r="NZ78" s="272"/>
      <c r="OA78" s="272"/>
      <c r="OB78" s="272"/>
      <c r="OC78" s="272"/>
      <c r="OD78" s="272"/>
      <c r="OE78" s="272"/>
      <c r="OF78" s="272"/>
      <c r="OG78" s="272"/>
      <c r="OH78" s="272"/>
      <c r="OI78" s="272"/>
      <c r="OJ78" s="272"/>
      <c r="OK78" s="272"/>
      <c r="OL78" s="272"/>
      <c r="OM78" s="272"/>
      <c r="ON78" s="272"/>
      <c r="OO78" s="272"/>
      <c r="OP78" s="272"/>
      <c r="OQ78" s="272"/>
      <c r="OR78" s="272"/>
      <c r="OS78" s="272"/>
      <c r="OT78" s="272"/>
      <c r="OU78" s="272"/>
      <c r="OV78" s="272"/>
      <c r="OW78" s="272"/>
      <c r="OX78" s="272"/>
      <c r="OY78" s="272"/>
      <c r="OZ78" s="272"/>
      <c r="PA78" s="272"/>
      <c r="PB78" s="272"/>
      <c r="PC78" s="272"/>
      <c r="PD78" s="272"/>
      <c r="PE78" s="272"/>
      <c r="PF78" s="272"/>
      <c r="PG78" s="272"/>
      <c r="PH78" s="272"/>
      <c r="PI78" s="272"/>
      <c r="PJ78" s="272"/>
      <c r="PK78" s="272"/>
      <c r="PL78" s="272"/>
      <c r="PM78" s="272"/>
      <c r="PN78" s="272"/>
      <c r="PO78" s="272"/>
      <c r="PP78" s="272"/>
      <c r="PQ78" s="272"/>
      <c r="PR78" s="272"/>
      <c r="PS78" s="272"/>
      <c r="PT78" s="272"/>
      <c r="PU78" s="272"/>
      <c r="PV78" s="272"/>
      <c r="PW78" s="272"/>
      <c r="PX78" s="272"/>
      <c r="PY78" s="272"/>
      <c r="PZ78" s="272"/>
      <c r="QA78" s="272"/>
      <c r="QB78" s="272"/>
      <c r="QC78" s="272"/>
      <c r="QD78" s="272"/>
      <c r="QE78" s="272"/>
      <c r="QF78" s="272"/>
      <c r="QG78" s="272"/>
      <c r="QH78" s="272"/>
      <c r="QI78" s="272"/>
      <c r="QJ78" s="272"/>
      <c r="QK78" s="272"/>
      <c r="QL78" s="272"/>
      <c r="QM78" s="272"/>
      <c r="QN78" s="272"/>
      <c r="QO78" s="272"/>
      <c r="QP78" s="272"/>
      <c r="QQ78" s="272"/>
      <c r="QR78" s="272"/>
      <c r="QS78" s="272"/>
      <c r="QT78" s="272"/>
      <c r="QU78" s="272"/>
      <c r="QV78" s="272"/>
      <c r="QW78" s="272"/>
      <c r="QX78" s="272"/>
      <c r="QY78" s="272"/>
      <c r="QZ78" s="272"/>
      <c r="RA78" s="272"/>
      <c r="RB78" s="272"/>
      <c r="RC78" s="272"/>
      <c r="RD78" s="272"/>
      <c r="RE78" s="272"/>
      <c r="RF78" s="272"/>
      <c r="RG78" s="272"/>
      <c r="RH78" s="272"/>
      <c r="RI78" s="272"/>
      <c r="RJ78" s="272"/>
      <c r="RK78" s="272"/>
      <c r="RL78" s="272"/>
      <c r="RM78" s="272"/>
      <c r="RN78" s="272"/>
      <c r="RO78" s="272"/>
      <c r="RP78" s="272"/>
      <c r="RQ78" s="272"/>
      <c r="RR78" s="272"/>
      <c r="RS78" s="272"/>
      <c r="RT78" s="272"/>
      <c r="RU78" s="272"/>
      <c r="RV78" s="272"/>
      <c r="RW78" s="272"/>
      <c r="RX78" s="272"/>
      <c r="RY78" s="272"/>
      <c r="RZ78" s="272"/>
      <c r="SA78" s="272"/>
      <c r="SB78" s="272"/>
      <c r="SC78" s="272"/>
      <c r="SD78" s="272"/>
      <c r="SE78" s="272"/>
      <c r="SF78" s="272"/>
      <c r="SG78" s="272"/>
      <c r="SH78" s="272"/>
      <c r="SI78" s="272"/>
      <c r="SJ78" s="272"/>
      <c r="SK78" s="272"/>
      <c r="SL78" s="272"/>
      <c r="SM78" s="272"/>
      <c r="SN78" s="272"/>
      <c r="SO78" s="272"/>
      <c r="SP78" s="272"/>
      <c r="SQ78" s="272"/>
      <c r="SR78" s="272"/>
      <c r="SS78" s="272"/>
      <c r="ST78" s="272"/>
      <c r="SU78" s="272"/>
      <c r="SV78" s="272"/>
      <c r="SW78" s="272"/>
      <c r="SX78" s="272"/>
      <c r="SY78" s="272"/>
      <c r="SZ78" s="272"/>
      <c r="TA78" s="272"/>
      <c r="TB78" s="272"/>
      <c r="TC78" s="272"/>
      <c r="TD78" s="272"/>
      <c r="TE78" s="272"/>
      <c r="TF78" s="272"/>
      <c r="TG78" s="272"/>
      <c r="TH78" s="272"/>
      <c r="TI78" s="272"/>
      <c r="TJ78" s="272"/>
      <c r="TK78" s="272"/>
      <c r="TL78" s="272"/>
      <c r="TM78" s="272"/>
      <c r="TN78" s="272"/>
      <c r="TO78" s="272"/>
      <c r="TP78" s="272"/>
      <c r="TQ78" s="272"/>
      <c r="TR78" s="272"/>
      <c r="TS78" s="272"/>
      <c r="TT78" s="272"/>
      <c r="TU78" s="272"/>
      <c r="TV78" s="272"/>
      <c r="TW78" s="272"/>
      <c r="TX78" s="272"/>
      <c r="TY78" s="272"/>
      <c r="TZ78" s="272"/>
      <c r="UA78" s="272"/>
      <c r="UB78" s="272"/>
      <c r="UC78" s="272"/>
      <c r="UD78" s="272"/>
      <c r="UE78" s="272"/>
      <c r="UF78" s="272"/>
      <c r="UG78" s="272"/>
      <c r="UH78" s="272"/>
      <c r="UI78" s="272"/>
      <c r="UJ78" s="272"/>
      <c r="UK78" s="272"/>
      <c r="UL78" s="272"/>
      <c r="UM78" s="272"/>
      <c r="UN78" s="272"/>
      <c r="UO78" s="272"/>
      <c r="UP78" s="272"/>
      <c r="UQ78" s="272"/>
      <c r="UR78" s="272"/>
      <c r="US78" s="272"/>
      <c r="UT78" s="272"/>
      <c r="UU78" s="272"/>
      <c r="UV78" s="272"/>
      <c r="UW78" s="272"/>
      <c r="UX78" s="272"/>
      <c r="UY78" s="272"/>
      <c r="UZ78" s="272"/>
      <c r="VA78" s="272"/>
      <c r="VB78" s="272"/>
      <c r="VC78" s="272"/>
      <c r="VD78" s="272"/>
      <c r="VE78" s="272"/>
      <c r="VF78" s="272"/>
      <c r="VG78" s="272"/>
      <c r="VH78" s="272"/>
      <c r="VI78" s="272"/>
      <c r="VJ78" s="272"/>
      <c r="VK78" s="272"/>
      <c r="VL78" s="272"/>
      <c r="VM78" s="272"/>
      <c r="VN78" s="272"/>
      <c r="VO78" s="272"/>
      <c r="VP78" s="272"/>
      <c r="VQ78" s="272"/>
      <c r="VR78" s="272"/>
      <c r="VS78" s="272"/>
      <c r="VT78" s="272"/>
      <c r="VU78" s="272"/>
      <c r="VV78" s="272"/>
      <c r="VW78" s="272"/>
      <c r="VX78" s="272"/>
      <c r="VY78" s="272"/>
      <c r="VZ78" s="272"/>
      <c r="WA78" s="272"/>
      <c r="WB78" s="272"/>
      <c r="WC78" s="272"/>
      <c r="WD78" s="272"/>
      <c r="WE78" s="272"/>
      <c r="WF78" s="272"/>
      <c r="WG78" s="272"/>
      <c r="WH78" s="272"/>
      <c r="WI78" s="272"/>
      <c r="WJ78" s="272"/>
      <c r="WK78" s="272"/>
      <c r="WL78" s="272"/>
      <c r="WM78" s="272"/>
      <c r="WN78" s="272"/>
      <c r="WO78" s="272"/>
      <c r="WP78" s="272"/>
      <c r="WQ78" s="272"/>
      <c r="WR78" s="272"/>
      <c r="WS78" s="272"/>
      <c r="WT78" s="272"/>
      <c r="WU78" s="272"/>
      <c r="WV78" s="272"/>
      <c r="WW78" s="272"/>
      <c r="WX78" s="272"/>
      <c r="WY78" s="272"/>
      <c r="WZ78" s="272"/>
      <c r="XA78" s="272"/>
      <c r="XB78" s="272"/>
      <c r="XC78" s="272"/>
      <c r="XD78" s="272"/>
      <c r="XE78" s="272"/>
      <c r="XF78" s="272"/>
      <c r="XG78" s="272"/>
      <c r="XH78" s="272"/>
      <c r="XI78" s="272"/>
      <c r="XJ78" s="272"/>
      <c r="XK78" s="272"/>
      <c r="XL78" s="272"/>
      <c r="XM78" s="272"/>
      <c r="XN78" s="272"/>
      <c r="XO78" s="272"/>
      <c r="XP78" s="272"/>
      <c r="XQ78" s="272"/>
      <c r="XR78" s="272"/>
      <c r="XS78" s="272"/>
      <c r="XT78" s="272"/>
      <c r="XU78" s="272"/>
      <c r="XV78" s="272"/>
      <c r="XW78" s="272"/>
      <c r="XX78" s="272"/>
      <c r="XY78" s="272"/>
      <c r="XZ78" s="272"/>
      <c r="YA78" s="272"/>
      <c r="YB78" s="272"/>
      <c r="YC78" s="272"/>
      <c r="YD78" s="272"/>
      <c r="YE78" s="272"/>
      <c r="YF78" s="272"/>
      <c r="YG78" s="272"/>
      <c r="YH78" s="272"/>
      <c r="YI78" s="272"/>
      <c r="YJ78" s="272"/>
      <c r="YK78" s="272"/>
      <c r="YL78" s="272"/>
      <c r="YM78" s="272"/>
      <c r="YN78" s="272"/>
      <c r="YO78" s="272"/>
      <c r="YP78" s="272"/>
      <c r="YQ78" s="272"/>
      <c r="YR78" s="272"/>
      <c r="YS78" s="272"/>
      <c r="YT78" s="272"/>
      <c r="YU78" s="272"/>
      <c r="YV78" s="272"/>
      <c r="YW78" s="272"/>
      <c r="YX78" s="272"/>
      <c r="YY78" s="272"/>
      <c r="YZ78" s="272"/>
      <c r="ZA78" s="272"/>
      <c r="ZB78" s="272"/>
      <c r="ZC78" s="272"/>
      <c r="ZD78" s="272"/>
      <c r="ZE78" s="272"/>
      <c r="ZF78" s="272"/>
      <c r="ZG78" s="272"/>
      <c r="ZH78" s="272"/>
      <c r="ZI78" s="272"/>
      <c r="ZJ78" s="272"/>
      <c r="ZK78" s="272"/>
      <c r="ZL78" s="272"/>
      <c r="ZM78" s="272"/>
      <c r="ZN78" s="272"/>
      <c r="ZO78" s="272"/>
      <c r="ZP78" s="272"/>
      <c r="ZQ78" s="272"/>
      <c r="ZR78" s="272"/>
      <c r="ZS78" s="272"/>
      <c r="ZT78" s="272"/>
    </row>
    <row r="79" spans="1:696" s="62" customFormat="1" ht="13.5" thickBot="1">
      <c r="A79" s="50"/>
      <c r="B79" s="73"/>
      <c r="C79" s="58" t="s">
        <v>54</v>
      </c>
      <c r="D79" s="63"/>
      <c r="E79" s="59"/>
      <c r="F79" s="59"/>
      <c r="G79" s="266"/>
      <c r="H79" s="266"/>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c r="CE79" s="272"/>
      <c r="CF79" s="272"/>
      <c r="CG79" s="272"/>
      <c r="CH79" s="272"/>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272"/>
      <c r="FE79" s="272"/>
      <c r="FF79" s="272"/>
      <c r="FG79" s="272"/>
      <c r="FH79" s="272"/>
      <c r="FI79" s="272"/>
      <c r="FJ79" s="272"/>
      <c r="FK79" s="272"/>
      <c r="FL79" s="272"/>
      <c r="FM79" s="272"/>
      <c r="FN79" s="272"/>
      <c r="FO79" s="272"/>
      <c r="FP79" s="272"/>
      <c r="FQ79" s="272"/>
      <c r="FR79" s="272"/>
      <c r="FS79" s="272"/>
      <c r="FT79" s="272"/>
      <c r="FU79" s="272"/>
      <c r="FV79" s="272"/>
      <c r="FW79" s="272"/>
      <c r="FX79" s="272"/>
      <c r="FY79" s="272"/>
      <c r="FZ79" s="272"/>
      <c r="GA79" s="272"/>
      <c r="GB79" s="272"/>
      <c r="GC79" s="272"/>
      <c r="GD79" s="272"/>
      <c r="GE79" s="272"/>
      <c r="GF79" s="272"/>
      <c r="GG79" s="272"/>
      <c r="GH79" s="272"/>
      <c r="GI79" s="272"/>
      <c r="GJ79" s="272"/>
      <c r="GK79" s="272"/>
      <c r="GL79" s="272"/>
      <c r="GM79" s="272"/>
      <c r="GN79" s="272"/>
      <c r="GO79" s="272"/>
      <c r="GP79" s="272"/>
      <c r="GQ79" s="272"/>
      <c r="GR79" s="272"/>
      <c r="GS79" s="272"/>
      <c r="GT79" s="272"/>
      <c r="GU79" s="272"/>
      <c r="GV79" s="272"/>
      <c r="GW79" s="272"/>
      <c r="GX79" s="272"/>
      <c r="GY79" s="272"/>
      <c r="GZ79" s="272"/>
      <c r="HA79" s="272"/>
      <c r="HB79" s="272"/>
      <c r="HC79" s="272"/>
      <c r="HD79" s="272"/>
      <c r="HE79" s="272"/>
      <c r="HF79" s="272"/>
      <c r="HG79" s="272"/>
      <c r="HH79" s="272"/>
      <c r="HI79" s="272"/>
      <c r="HJ79" s="272"/>
      <c r="HK79" s="272"/>
      <c r="HL79" s="272"/>
      <c r="HM79" s="272"/>
      <c r="HN79" s="272"/>
      <c r="HO79" s="272"/>
      <c r="HP79" s="272"/>
      <c r="HQ79" s="272"/>
      <c r="HR79" s="272"/>
      <c r="HS79" s="272"/>
      <c r="HT79" s="272"/>
      <c r="HU79" s="272"/>
      <c r="HV79" s="272"/>
      <c r="HW79" s="272"/>
      <c r="HX79" s="272"/>
      <c r="HY79" s="272"/>
      <c r="HZ79" s="272"/>
      <c r="IA79" s="272"/>
      <c r="IB79" s="272"/>
      <c r="IC79" s="272"/>
      <c r="ID79" s="272"/>
      <c r="IE79" s="272"/>
      <c r="IF79" s="272"/>
      <c r="IG79" s="272"/>
      <c r="IH79" s="272"/>
      <c r="II79" s="272"/>
      <c r="IJ79" s="272"/>
      <c r="IK79" s="272"/>
      <c r="IL79" s="272"/>
      <c r="IM79" s="272"/>
      <c r="IN79" s="272"/>
      <c r="IO79" s="272"/>
      <c r="IP79" s="272"/>
      <c r="IQ79" s="272"/>
      <c r="IR79" s="272"/>
      <c r="IS79" s="272"/>
      <c r="IT79" s="272"/>
      <c r="IU79" s="272"/>
      <c r="IV79" s="272"/>
      <c r="IW79" s="272"/>
      <c r="IX79" s="272"/>
      <c r="IY79" s="272"/>
      <c r="IZ79" s="272"/>
      <c r="JA79" s="272"/>
      <c r="JB79" s="272"/>
      <c r="JC79" s="272"/>
      <c r="JD79" s="272"/>
      <c r="JE79" s="272"/>
      <c r="JF79" s="272"/>
      <c r="JG79" s="272"/>
      <c r="JH79" s="272"/>
      <c r="JI79" s="272"/>
      <c r="JJ79" s="272"/>
      <c r="JK79" s="272"/>
      <c r="JL79" s="272"/>
      <c r="JM79" s="272"/>
      <c r="JN79" s="272"/>
      <c r="JO79" s="272"/>
      <c r="JP79" s="272"/>
      <c r="JQ79" s="272"/>
      <c r="JR79" s="272"/>
      <c r="JS79" s="272"/>
      <c r="JT79" s="272"/>
      <c r="JU79" s="272"/>
      <c r="JV79" s="272"/>
      <c r="JW79" s="272"/>
      <c r="JX79" s="272"/>
      <c r="JY79" s="272"/>
      <c r="JZ79" s="272"/>
      <c r="KA79" s="272"/>
      <c r="KB79" s="272"/>
      <c r="KC79" s="272"/>
      <c r="KD79" s="272"/>
      <c r="KE79" s="272"/>
      <c r="KF79" s="272"/>
      <c r="KG79" s="272"/>
      <c r="KH79" s="272"/>
      <c r="KI79" s="272"/>
      <c r="KJ79" s="272"/>
      <c r="KK79" s="272"/>
      <c r="KL79" s="272"/>
      <c r="KM79" s="272"/>
      <c r="KN79" s="272"/>
      <c r="KO79" s="272"/>
      <c r="KP79" s="272"/>
      <c r="KQ79" s="272"/>
      <c r="KR79" s="272"/>
      <c r="KS79" s="272"/>
      <c r="KT79" s="272"/>
      <c r="KU79" s="272"/>
      <c r="KV79" s="272"/>
      <c r="KW79" s="272"/>
      <c r="KX79" s="272"/>
      <c r="KY79" s="272"/>
      <c r="KZ79" s="272"/>
      <c r="LA79" s="272"/>
      <c r="LB79" s="272"/>
      <c r="LC79" s="272"/>
      <c r="LD79" s="272"/>
      <c r="LE79" s="272"/>
      <c r="LF79" s="272"/>
      <c r="LG79" s="272"/>
      <c r="LH79" s="272"/>
      <c r="LI79" s="272"/>
      <c r="LJ79" s="272"/>
      <c r="LK79" s="272"/>
      <c r="LL79" s="272"/>
      <c r="LM79" s="272"/>
      <c r="LN79" s="272"/>
      <c r="LO79" s="272"/>
      <c r="LP79" s="272"/>
      <c r="LQ79" s="272"/>
      <c r="LR79" s="272"/>
      <c r="LS79" s="272"/>
      <c r="LT79" s="272"/>
      <c r="LU79" s="272"/>
      <c r="LV79" s="272"/>
      <c r="LW79" s="272"/>
      <c r="LX79" s="272"/>
      <c r="LY79" s="272"/>
      <c r="LZ79" s="272"/>
      <c r="MA79" s="272"/>
      <c r="MB79" s="272"/>
      <c r="MC79" s="272"/>
      <c r="MD79" s="272"/>
      <c r="ME79" s="272"/>
      <c r="MF79" s="272"/>
      <c r="MG79" s="272"/>
      <c r="MH79" s="272"/>
      <c r="MI79" s="272"/>
      <c r="MJ79" s="272"/>
      <c r="MK79" s="272"/>
      <c r="ML79" s="272"/>
      <c r="MM79" s="272"/>
      <c r="MN79" s="272"/>
      <c r="MO79" s="272"/>
      <c r="MP79" s="272"/>
      <c r="MQ79" s="272"/>
      <c r="MR79" s="272"/>
      <c r="MS79" s="272"/>
      <c r="MT79" s="272"/>
      <c r="MU79" s="272"/>
      <c r="MV79" s="272"/>
      <c r="MW79" s="272"/>
      <c r="MX79" s="272"/>
      <c r="MY79" s="272"/>
      <c r="MZ79" s="272"/>
      <c r="NA79" s="272"/>
      <c r="NB79" s="272"/>
      <c r="NC79" s="272"/>
      <c r="ND79" s="272"/>
      <c r="NE79" s="272"/>
      <c r="NF79" s="272"/>
      <c r="NG79" s="272"/>
      <c r="NH79" s="272"/>
      <c r="NI79" s="272"/>
      <c r="NJ79" s="272"/>
      <c r="NK79" s="272"/>
      <c r="NL79" s="272"/>
      <c r="NM79" s="272"/>
      <c r="NN79" s="272"/>
      <c r="NO79" s="272"/>
      <c r="NP79" s="272"/>
      <c r="NQ79" s="272"/>
      <c r="NR79" s="272"/>
      <c r="NS79" s="272"/>
      <c r="NT79" s="272"/>
      <c r="NU79" s="272"/>
      <c r="NV79" s="272"/>
      <c r="NW79" s="272"/>
      <c r="NX79" s="272"/>
      <c r="NY79" s="272"/>
      <c r="NZ79" s="272"/>
      <c r="OA79" s="272"/>
      <c r="OB79" s="272"/>
      <c r="OC79" s="272"/>
      <c r="OD79" s="272"/>
      <c r="OE79" s="272"/>
      <c r="OF79" s="272"/>
      <c r="OG79" s="272"/>
      <c r="OH79" s="272"/>
      <c r="OI79" s="272"/>
      <c r="OJ79" s="272"/>
      <c r="OK79" s="272"/>
      <c r="OL79" s="272"/>
      <c r="OM79" s="272"/>
      <c r="ON79" s="272"/>
      <c r="OO79" s="272"/>
      <c r="OP79" s="272"/>
      <c r="OQ79" s="272"/>
      <c r="OR79" s="272"/>
      <c r="OS79" s="272"/>
      <c r="OT79" s="272"/>
      <c r="OU79" s="272"/>
      <c r="OV79" s="272"/>
      <c r="OW79" s="272"/>
      <c r="OX79" s="272"/>
      <c r="OY79" s="272"/>
      <c r="OZ79" s="272"/>
      <c r="PA79" s="272"/>
      <c r="PB79" s="272"/>
      <c r="PC79" s="272"/>
      <c r="PD79" s="272"/>
      <c r="PE79" s="272"/>
      <c r="PF79" s="272"/>
      <c r="PG79" s="272"/>
      <c r="PH79" s="272"/>
      <c r="PI79" s="272"/>
      <c r="PJ79" s="272"/>
      <c r="PK79" s="272"/>
      <c r="PL79" s="272"/>
      <c r="PM79" s="272"/>
      <c r="PN79" s="272"/>
      <c r="PO79" s="272"/>
      <c r="PP79" s="272"/>
      <c r="PQ79" s="272"/>
      <c r="PR79" s="272"/>
      <c r="PS79" s="272"/>
      <c r="PT79" s="272"/>
      <c r="PU79" s="272"/>
      <c r="PV79" s="272"/>
      <c r="PW79" s="272"/>
      <c r="PX79" s="272"/>
      <c r="PY79" s="272"/>
      <c r="PZ79" s="272"/>
      <c r="QA79" s="272"/>
      <c r="QB79" s="272"/>
      <c r="QC79" s="272"/>
      <c r="QD79" s="272"/>
      <c r="QE79" s="272"/>
      <c r="QF79" s="272"/>
      <c r="QG79" s="272"/>
      <c r="QH79" s="272"/>
      <c r="QI79" s="272"/>
      <c r="QJ79" s="272"/>
      <c r="QK79" s="272"/>
      <c r="QL79" s="272"/>
      <c r="QM79" s="272"/>
      <c r="QN79" s="272"/>
      <c r="QO79" s="272"/>
      <c r="QP79" s="272"/>
      <c r="QQ79" s="272"/>
      <c r="QR79" s="272"/>
      <c r="QS79" s="272"/>
      <c r="QT79" s="272"/>
      <c r="QU79" s="272"/>
      <c r="QV79" s="272"/>
      <c r="QW79" s="272"/>
      <c r="QX79" s="272"/>
      <c r="QY79" s="272"/>
      <c r="QZ79" s="272"/>
      <c r="RA79" s="272"/>
      <c r="RB79" s="272"/>
      <c r="RC79" s="272"/>
      <c r="RD79" s="272"/>
      <c r="RE79" s="272"/>
      <c r="RF79" s="272"/>
      <c r="RG79" s="272"/>
      <c r="RH79" s="272"/>
      <c r="RI79" s="272"/>
      <c r="RJ79" s="272"/>
      <c r="RK79" s="272"/>
      <c r="RL79" s="272"/>
      <c r="RM79" s="272"/>
      <c r="RN79" s="272"/>
      <c r="RO79" s="272"/>
      <c r="RP79" s="272"/>
      <c r="RQ79" s="272"/>
      <c r="RR79" s="272"/>
      <c r="RS79" s="272"/>
      <c r="RT79" s="272"/>
      <c r="RU79" s="272"/>
      <c r="RV79" s="272"/>
      <c r="RW79" s="272"/>
      <c r="RX79" s="272"/>
      <c r="RY79" s="272"/>
      <c r="RZ79" s="272"/>
      <c r="SA79" s="272"/>
      <c r="SB79" s="272"/>
      <c r="SC79" s="272"/>
      <c r="SD79" s="272"/>
      <c r="SE79" s="272"/>
      <c r="SF79" s="272"/>
      <c r="SG79" s="272"/>
      <c r="SH79" s="272"/>
      <c r="SI79" s="272"/>
      <c r="SJ79" s="272"/>
      <c r="SK79" s="272"/>
      <c r="SL79" s="272"/>
      <c r="SM79" s="272"/>
      <c r="SN79" s="272"/>
      <c r="SO79" s="272"/>
      <c r="SP79" s="272"/>
      <c r="SQ79" s="272"/>
      <c r="SR79" s="272"/>
      <c r="SS79" s="272"/>
      <c r="ST79" s="272"/>
      <c r="SU79" s="272"/>
      <c r="SV79" s="272"/>
      <c r="SW79" s="272"/>
      <c r="SX79" s="272"/>
      <c r="SY79" s="272"/>
      <c r="SZ79" s="272"/>
      <c r="TA79" s="272"/>
      <c r="TB79" s="272"/>
      <c r="TC79" s="272"/>
      <c r="TD79" s="272"/>
      <c r="TE79" s="272"/>
      <c r="TF79" s="272"/>
      <c r="TG79" s="272"/>
      <c r="TH79" s="272"/>
      <c r="TI79" s="272"/>
      <c r="TJ79" s="272"/>
      <c r="TK79" s="272"/>
      <c r="TL79" s="272"/>
      <c r="TM79" s="272"/>
      <c r="TN79" s="272"/>
      <c r="TO79" s="272"/>
      <c r="TP79" s="272"/>
      <c r="TQ79" s="272"/>
      <c r="TR79" s="272"/>
      <c r="TS79" s="272"/>
      <c r="TT79" s="272"/>
      <c r="TU79" s="272"/>
      <c r="TV79" s="272"/>
      <c r="TW79" s="272"/>
      <c r="TX79" s="272"/>
      <c r="TY79" s="272"/>
      <c r="TZ79" s="272"/>
      <c r="UA79" s="272"/>
      <c r="UB79" s="272"/>
      <c r="UC79" s="272"/>
      <c r="UD79" s="272"/>
      <c r="UE79" s="272"/>
      <c r="UF79" s="272"/>
      <c r="UG79" s="272"/>
      <c r="UH79" s="272"/>
      <c r="UI79" s="272"/>
      <c r="UJ79" s="272"/>
      <c r="UK79" s="272"/>
      <c r="UL79" s="272"/>
      <c r="UM79" s="272"/>
      <c r="UN79" s="272"/>
      <c r="UO79" s="272"/>
      <c r="UP79" s="272"/>
      <c r="UQ79" s="272"/>
      <c r="UR79" s="272"/>
      <c r="US79" s="272"/>
      <c r="UT79" s="272"/>
      <c r="UU79" s="272"/>
      <c r="UV79" s="272"/>
      <c r="UW79" s="272"/>
      <c r="UX79" s="272"/>
      <c r="UY79" s="272"/>
      <c r="UZ79" s="272"/>
      <c r="VA79" s="272"/>
      <c r="VB79" s="272"/>
      <c r="VC79" s="272"/>
      <c r="VD79" s="272"/>
      <c r="VE79" s="272"/>
      <c r="VF79" s="272"/>
      <c r="VG79" s="272"/>
      <c r="VH79" s="272"/>
      <c r="VI79" s="272"/>
      <c r="VJ79" s="272"/>
      <c r="VK79" s="272"/>
      <c r="VL79" s="272"/>
      <c r="VM79" s="272"/>
      <c r="VN79" s="272"/>
      <c r="VO79" s="272"/>
      <c r="VP79" s="272"/>
      <c r="VQ79" s="272"/>
      <c r="VR79" s="272"/>
      <c r="VS79" s="272"/>
      <c r="VT79" s="272"/>
      <c r="VU79" s="272"/>
      <c r="VV79" s="272"/>
      <c r="VW79" s="272"/>
      <c r="VX79" s="272"/>
      <c r="VY79" s="272"/>
      <c r="VZ79" s="272"/>
      <c r="WA79" s="272"/>
      <c r="WB79" s="272"/>
      <c r="WC79" s="272"/>
      <c r="WD79" s="272"/>
      <c r="WE79" s="272"/>
      <c r="WF79" s="272"/>
      <c r="WG79" s="272"/>
      <c r="WH79" s="272"/>
      <c r="WI79" s="272"/>
      <c r="WJ79" s="272"/>
      <c r="WK79" s="272"/>
      <c r="WL79" s="272"/>
      <c r="WM79" s="272"/>
      <c r="WN79" s="272"/>
      <c r="WO79" s="272"/>
      <c r="WP79" s="272"/>
      <c r="WQ79" s="272"/>
      <c r="WR79" s="272"/>
      <c r="WS79" s="272"/>
      <c r="WT79" s="272"/>
      <c r="WU79" s="272"/>
      <c r="WV79" s="272"/>
      <c r="WW79" s="272"/>
      <c r="WX79" s="272"/>
      <c r="WY79" s="272"/>
      <c r="WZ79" s="272"/>
      <c r="XA79" s="272"/>
      <c r="XB79" s="272"/>
      <c r="XC79" s="272"/>
      <c r="XD79" s="272"/>
      <c r="XE79" s="272"/>
      <c r="XF79" s="272"/>
      <c r="XG79" s="272"/>
      <c r="XH79" s="272"/>
      <c r="XI79" s="272"/>
      <c r="XJ79" s="272"/>
      <c r="XK79" s="272"/>
      <c r="XL79" s="272"/>
      <c r="XM79" s="272"/>
      <c r="XN79" s="272"/>
      <c r="XO79" s="272"/>
      <c r="XP79" s="272"/>
      <c r="XQ79" s="272"/>
      <c r="XR79" s="272"/>
      <c r="XS79" s="272"/>
      <c r="XT79" s="272"/>
      <c r="XU79" s="272"/>
      <c r="XV79" s="272"/>
      <c r="XW79" s="272"/>
      <c r="XX79" s="272"/>
      <c r="XY79" s="272"/>
      <c r="XZ79" s="272"/>
      <c r="YA79" s="272"/>
      <c r="YB79" s="272"/>
      <c r="YC79" s="272"/>
      <c r="YD79" s="272"/>
      <c r="YE79" s="272"/>
      <c r="YF79" s="272"/>
      <c r="YG79" s="272"/>
      <c r="YH79" s="272"/>
      <c r="YI79" s="272"/>
      <c r="YJ79" s="272"/>
      <c r="YK79" s="272"/>
      <c r="YL79" s="272"/>
      <c r="YM79" s="272"/>
      <c r="YN79" s="272"/>
      <c r="YO79" s="272"/>
      <c r="YP79" s="272"/>
      <c r="YQ79" s="272"/>
      <c r="YR79" s="272"/>
      <c r="YS79" s="272"/>
      <c r="YT79" s="272"/>
      <c r="YU79" s="272"/>
      <c r="YV79" s="272"/>
      <c r="YW79" s="272"/>
      <c r="YX79" s="272"/>
      <c r="YY79" s="272"/>
      <c r="YZ79" s="272"/>
      <c r="ZA79" s="272"/>
      <c r="ZB79" s="272"/>
      <c r="ZC79" s="272"/>
      <c r="ZD79" s="272"/>
      <c r="ZE79" s="272"/>
      <c r="ZF79" s="272"/>
      <c r="ZG79" s="272"/>
      <c r="ZH79" s="272"/>
      <c r="ZI79" s="272"/>
      <c r="ZJ79" s="272"/>
      <c r="ZK79" s="272"/>
      <c r="ZL79" s="272"/>
      <c r="ZM79" s="272"/>
      <c r="ZN79" s="272"/>
      <c r="ZO79" s="272"/>
      <c r="ZP79" s="272"/>
      <c r="ZQ79" s="272"/>
      <c r="ZR79" s="272"/>
      <c r="ZS79" s="272"/>
      <c r="ZT79" s="272"/>
    </row>
    <row r="80" spans="1:696" s="61" customFormat="1" ht="63.75">
      <c r="A80" s="51" t="s">
        <v>11</v>
      </c>
      <c r="B80" s="87" t="s">
        <v>31</v>
      </c>
      <c r="C80" s="26" t="s">
        <v>52</v>
      </c>
      <c r="D80" s="501"/>
      <c r="E80" s="531"/>
      <c r="F80" s="502"/>
      <c r="G80" s="503"/>
      <c r="H80" s="503"/>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2"/>
      <c r="CC80" s="272"/>
      <c r="CD80" s="272"/>
      <c r="CE80" s="272"/>
      <c r="CF80" s="272"/>
      <c r="CG80" s="272"/>
      <c r="CH80" s="272"/>
      <c r="CI80" s="272"/>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272"/>
      <c r="FE80" s="272"/>
      <c r="FF80" s="272"/>
      <c r="FG80" s="272"/>
      <c r="FH80" s="272"/>
      <c r="FI80" s="272"/>
      <c r="FJ80" s="272"/>
      <c r="FK80" s="272"/>
      <c r="FL80" s="272"/>
      <c r="FM80" s="272"/>
      <c r="FN80" s="272"/>
      <c r="FO80" s="272"/>
      <c r="FP80" s="272"/>
      <c r="FQ80" s="272"/>
      <c r="FR80" s="272"/>
      <c r="FS80" s="272"/>
      <c r="FT80" s="272"/>
      <c r="FU80" s="272"/>
      <c r="FV80" s="272"/>
      <c r="FW80" s="272"/>
      <c r="FX80" s="272"/>
      <c r="FY80" s="272"/>
      <c r="FZ80" s="272"/>
      <c r="GA80" s="272"/>
      <c r="GB80" s="272"/>
      <c r="GC80" s="272"/>
      <c r="GD80" s="272"/>
      <c r="GE80" s="272"/>
      <c r="GF80" s="272"/>
      <c r="GG80" s="272"/>
      <c r="GH80" s="272"/>
      <c r="GI80" s="272"/>
      <c r="GJ80" s="272"/>
      <c r="GK80" s="272"/>
      <c r="GL80" s="272"/>
      <c r="GM80" s="272"/>
      <c r="GN80" s="272"/>
      <c r="GO80" s="272"/>
      <c r="GP80" s="272"/>
      <c r="GQ80" s="272"/>
      <c r="GR80" s="272"/>
      <c r="GS80" s="272"/>
      <c r="GT80" s="272"/>
      <c r="GU80" s="272"/>
      <c r="GV80" s="272"/>
      <c r="GW80" s="272"/>
      <c r="GX80" s="272"/>
      <c r="GY80" s="272"/>
      <c r="GZ80" s="272"/>
      <c r="HA80" s="272"/>
      <c r="HB80" s="272"/>
      <c r="HC80" s="272"/>
      <c r="HD80" s="272"/>
      <c r="HE80" s="272"/>
      <c r="HF80" s="272"/>
      <c r="HG80" s="272"/>
      <c r="HH80" s="272"/>
      <c r="HI80" s="272"/>
      <c r="HJ80" s="272"/>
      <c r="HK80" s="272"/>
      <c r="HL80" s="272"/>
      <c r="HM80" s="272"/>
      <c r="HN80" s="272"/>
      <c r="HO80" s="272"/>
      <c r="HP80" s="272"/>
      <c r="HQ80" s="272"/>
      <c r="HR80" s="272"/>
      <c r="HS80" s="272"/>
      <c r="HT80" s="272"/>
      <c r="HU80" s="272"/>
      <c r="HV80" s="272"/>
      <c r="HW80" s="272"/>
      <c r="HX80" s="272"/>
      <c r="HY80" s="272"/>
      <c r="HZ80" s="272"/>
      <c r="IA80" s="272"/>
      <c r="IB80" s="272"/>
      <c r="IC80" s="272"/>
      <c r="ID80" s="272"/>
      <c r="IE80" s="272"/>
      <c r="IF80" s="272"/>
      <c r="IG80" s="272"/>
      <c r="IH80" s="272"/>
      <c r="II80" s="272"/>
      <c r="IJ80" s="272"/>
      <c r="IK80" s="272"/>
      <c r="IL80" s="272"/>
      <c r="IM80" s="272"/>
      <c r="IN80" s="272"/>
      <c r="IO80" s="272"/>
      <c r="IP80" s="272"/>
      <c r="IQ80" s="272"/>
      <c r="IR80" s="272"/>
      <c r="IS80" s="272"/>
      <c r="IT80" s="272"/>
      <c r="IU80" s="272"/>
      <c r="IV80" s="272"/>
      <c r="IW80" s="272"/>
      <c r="IX80" s="272"/>
      <c r="IY80" s="272"/>
      <c r="IZ80" s="272"/>
      <c r="JA80" s="272"/>
      <c r="JB80" s="272"/>
      <c r="JC80" s="272"/>
      <c r="JD80" s="272"/>
      <c r="JE80" s="272"/>
      <c r="JF80" s="272"/>
      <c r="JG80" s="272"/>
      <c r="JH80" s="272"/>
      <c r="JI80" s="272"/>
      <c r="JJ80" s="272"/>
      <c r="JK80" s="272"/>
      <c r="JL80" s="272"/>
      <c r="JM80" s="272"/>
      <c r="JN80" s="272"/>
      <c r="JO80" s="272"/>
      <c r="JP80" s="272"/>
      <c r="JQ80" s="272"/>
      <c r="JR80" s="272"/>
      <c r="JS80" s="272"/>
      <c r="JT80" s="272"/>
      <c r="JU80" s="272"/>
      <c r="JV80" s="272"/>
      <c r="JW80" s="272"/>
      <c r="JX80" s="272"/>
      <c r="JY80" s="272"/>
      <c r="JZ80" s="272"/>
      <c r="KA80" s="272"/>
      <c r="KB80" s="272"/>
      <c r="KC80" s="272"/>
      <c r="KD80" s="272"/>
      <c r="KE80" s="272"/>
      <c r="KF80" s="272"/>
      <c r="KG80" s="272"/>
      <c r="KH80" s="272"/>
      <c r="KI80" s="272"/>
      <c r="KJ80" s="272"/>
      <c r="KK80" s="272"/>
      <c r="KL80" s="272"/>
      <c r="KM80" s="272"/>
      <c r="KN80" s="272"/>
      <c r="KO80" s="272"/>
      <c r="KP80" s="272"/>
      <c r="KQ80" s="272"/>
      <c r="KR80" s="272"/>
      <c r="KS80" s="272"/>
      <c r="KT80" s="272"/>
      <c r="KU80" s="272"/>
      <c r="KV80" s="272"/>
      <c r="KW80" s="272"/>
      <c r="KX80" s="272"/>
      <c r="KY80" s="272"/>
      <c r="KZ80" s="272"/>
      <c r="LA80" s="272"/>
      <c r="LB80" s="272"/>
      <c r="LC80" s="272"/>
      <c r="LD80" s="272"/>
      <c r="LE80" s="272"/>
      <c r="LF80" s="272"/>
      <c r="LG80" s="272"/>
      <c r="LH80" s="272"/>
      <c r="LI80" s="272"/>
      <c r="LJ80" s="272"/>
      <c r="LK80" s="272"/>
      <c r="LL80" s="272"/>
      <c r="LM80" s="272"/>
      <c r="LN80" s="272"/>
      <c r="LO80" s="272"/>
      <c r="LP80" s="272"/>
      <c r="LQ80" s="272"/>
      <c r="LR80" s="272"/>
      <c r="LS80" s="272"/>
      <c r="LT80" s="272"/>
      <c r="LU80" s="272"/>
      <c r="LV80" s="272"/>
      <c r="LW80" s="272"/>
      <c r="LX80" s="272"/>
      <c r="LY80" s="272"/>
      <c r="LZ80" s="272"/>
      <c r="MA80" s="272"/>
      <c r="MB80" s="272"/>
      <c r="MC80" s="272"/>
      <c r="MD80" s="272"/>
      <c r="ME80" s="272"/>
      <c r="MF80" s="272"/>
      <c r="MG80" s="272"/>
      <c r="MH80" s="272"/>
      <c r="MI80" s="272"/>
      <c r="MJ80" s="272"/>
      <c r="MK80" s="272"/>
      <c r="ML80" s="272"/>
      <c r="MM80" s="272"/>
      <c r="MN80" s="272"/>
      <c r="MO80" s="272"/>
      <c r="MP80" s="272"/>
      <c r="MQ80" s="272"/>
      <c r="MR80" s="272"/>
      <c r="MS80" s="272"/>
      <c r="MT80" s="272"/>
      <c r="MU80" s="272"/>
      <c r="MV80" s="272"/>
      <c r="MW80" s="272"/>
      <c r="MX80" s="272"/>
      <c r="MY80" s="272"/>
      <c r="MZ80" s="272"/>
      <c r="NA80" s="272"/>
      <c r="NB80" s="272"/>
      <c r="NC80" s="272"/>
      <c r="ND80" s="272"/>
      <c r="NE80" s="272"/>
      <c r="NF80" s="272"/>
      <c r="NG80" s="272"/>
      <c r="NH80" s="272"/>
      <c r="NI80" s="272"/>
      <c r="NJ80" s="272"/>
      <c r="NK80" s="272"/>
      <c r="NL80" s="272"/>
      <c r="NM80" s="272"/>
      <c r="NN80" s="272"/>
      <c r="NO80" s="272"/>
      <c r="NP80" s="272"/>
      <c r="NQ80" s="272"/>
      <c r="NR80" s="272"/>
      <c r="NS80" s="272"/>
      <c r="NT80" s="272"/>
      <c r="NU80" s="272"/>
      <c r="NV80" s="272"/>
      <c r="NW80" s="272"/>
      <c r="NX80" s="272"/>
      <c r="NY80" s="272"/>
      <c r="NZ80" s="272"/>
      <c r="OA80" s="272"/>
      <c r="OB80" s="272"/>
      <c r="OC80" s="272"/>
      <c r="OD80" s="272"/>
      <c r="OE80" s="272"/>
      <c r="OF80" s="272"/>
      <c r="OG80" s="272"/>
      <c r="OH80" s="272"/>
      <c r="OI80" s="272"/>
      <c r="OJ80" s="272"/>
      <c r="OK80" s="272"/>
      <c r="OL80" s="272"/>
      <c r="OM80" s="272"/>
      <c r="ON80" s="272"/>
      <c r="OO80" s="272"/>
      <c r="OP80" s="272"/>
      <c r="OQ80" s="272"/>
      <c r="OR80" s="272"/>
      <c r="OS80" s="272"/>
      <c r="OT80" s="272"/>
      <c r="OU80" s="272"/>
      <c r="OV80" s="272"/>
      <c r="OW80" s="272"/>
      <c r="OX80" s="272"/>
      <c r="OY80" s="272"/>
      <c r="OZ80" s="272"/>
      <c r="PA80" s="272"/>
      <c r="PB80" s="272"/>
      <c r="PC80" s="272"/>
      <c r="PD80" s="272"/>
      <c r="PE80" s="272"/>
      <c r="PF80" s="272"/>
      <c r="PG80" s="272"/>
      <c r="PH80" s="272"/>
      <c r="PI80" s="272"/>
      <c r="PJ80" s="272"/>
      <c r="PK80" s="272"/>
      <c r="PL80" s="272"/>
      <c r="PM80" s="272"/>
      <c r="PN80" s="272"/>
      <c r="PO80" s="272"/>
      <c r="PP80" s="272"/>
      <c r="PQ80" s="272"/>
      <c r="PR80" s="272"/>
      <c r="PS80" s="272"/>
      <c r="PT80" s="272"/>
      <c r="PU80" s="272"/>
      <c r="PV80" s="272"/>
      <c r="PW80" s="272"/>
      <c r="PX80" s="272"/>
      <c r="PY80" s="272"/>
      <c r="PZ80" s="272"/>
      <c r="QA80" s="272"/>
      <c r="QB80" s="272"/>
      <c r="QC80" s="272"/>
      <c r="QD80" s="272"/>
      <c r="QE80" s="272"/>
      <c r="QF80" s="272"/>
      <c r="QG80" s="272"/>
      <c r="QH80" s="272"/>
      <c r="QI80" s="272"/>
      <c r="QJ80" s="272"/>
      <c r="QK80" s="272"/>
      <c r="QL80" s="272"/>
      <c r="QM80" s="272"/>
      <c r="QN80" s="272"/>
      <c r="QO80" s="272"/>
      <c r="QP80" s="272"/>
      <c r="QQ80" s="272"/>
      <c r="QR80" s="272"/>
      <c r="QS80" s="272"/>
      <c r="QT80" s="272"/>
      <c r="QU80" s="272"/>
      <c r="QV80" s="272"/>
      <c r="QW80" s="272"/>
      <c r="QX80" s="272"/>
      <c r="QY80" s="272"/>
      <c r="QZ80" s="272"/>
      <c r="RA80" s="272"/>
      <c r="RB80" s="272"/>
      <c r="RC80" s="272"/>
      <c r="RD80" s="272"/>
      <c r="RE80" s="272"/>
      <c r="RF80" s="272"/>
      <c r="RG80" s="272"/>
      <c r="RH80" s="272"/>
      <c r="RI80" s="272"/>
      <c r="RJ80" s="272"/>
      <c r="RK80" s="272"/>
      <c r="RL80" s="272"/>
      <c r="RM80" s="272"/>
      <c r="RN80" s="272"/>
      <c r="RO80" s="272"/>
      <c r="RP80" s="272"/>
      <c r="RQ80" s="272"/>
      <c r="RR80" s="272"/>
      <c r="RS80" s="272"/>
      <c r="RT80" s="272"/>
      <c r="RU80" s="272"/>
      <c r="RV80" s="272"/>
      <c r="RW80" s="272"/>
      <c r="RX80" s="272"/>
      <c r="RY80" s="272"/>
      <c r="RZ80" s="272"/>
      <c r="SA80" s="272"/>
      <c r="SB80" s="272"/>
      <c r="SC80" s="272"/>
      <c r="SD80" s="272"/>
      <c r="SE80" s="272"/>
      <c r="SF80" s="272"/>
      <c r="SG80" s="272"/>
      <c r="SH80" s="272"/>
      <c r="SI80" s="272"/>
      <c r="SJ80" s="272"/>
      <c r="SK80" s="272"/>
      <c r="SL80" s="272"/>
      <c r="SM80" s="272"/>
      <c r="SN80" s="272"/>
      <c r="SO80" s="272"/>
      <c r="SP80" s="272"/>
      <c r="SQ80" s="272"/>
      <c r="SR80" s="272"/>
      <c r="SS80" s="272"/>
      <c r="ST80" s="272"/>
      <c r="SU80" s="272"/>
      <c r="SV80" s="272"/>
      <c r="SW80" s="272"/>
      <c r="SX80" s="272"/>
      <c r="SY80" s="272"/>
      <c r="SZ80" s="272"/>
      <c r="TA80" s="272"/>
      <c r="TB80" s="272"/>
      <c r="TC80" s="272"/>
      <c r="TD80" s="272"/>
      <c r="TE80" s="272"/>
      <c r="TF80" s="272"/>
      <c r="TG80" s="272"/>
      <c r="TH80" s="272"/>
      <c r="TI80" s="272"/>
      <c r="TJ80" s="272"/>
      <c r="TK80" s="272"/>
      <c r="TL80" s="272"/>
      <c r="TM80" s="272"/>
      <c r="TN80" s="272"/>
      <c r="TO80" s="272"/>
      <c r="TP80" s="272"/>
      <c r="TQ80" s="272"/>
      <c r="TR80" s="272"/>
      <c r="TS80" s="272"/>
      <c r="TT80" s="272"/>
      <c r="TU80" s="272"/>
      <c r="TV80" s="272"/>
      <c r="TW80" s="272"/>
      <c r="TX80" s="272"/>
      <c r="TY80" s="272"/>
      <c r="TZ80" s="272"/>
      <c r="UA80" s="272"/>
      <c r="UB80" s="272"/>
      <c r="UC80" s="272"/>
      <c r="UD80" s="272"/>
      <c r="UE80" s="272"/>
      <c r="UF80" s="272"/>
      <c r="UG80" s="272"/>
      <c r="UH80" s="272"/>
      <c r="UI80" s="272"/>
      <c r="UJ80" s="272"/>
      <c r="UK80" s="272"/>
      <c r="UL80" s="272"/>
      <c r="UM80" s="272"/>
      <c r="UN80" s="272"/>
      <c r="UO80" s="272"/>
      <c r="UP80" s="272"/>
      <c r="UQ80" s="272"/>
      <c r="UR80" s="272"/>
      <c r="US80" s="272"/>
      <c r="UT80" s="272"/>
      <c r="UU80" s="272"/>
      <c r="UV80" s="272"/>
      <c r="UW80" s="272"/>
      <c r="UX80" s="272"/>
      <c r="UY80" s="272"/>
      <c r="UZ80" s="272"/>
      <c r="VA80" s="272"/>
      <c r="VB80" s="272"/>
      <c r="VC80" s="272"/>
      <c r="VD80" s="272"/>
      <c r="VE80" s="272"/>
      <c r="VF80" s="272"/>
      <c r="VG80" s="272"/>
      <c r="VH80" s="272"/>
      <c r="VI80" s="272"/>
      <c r="VJ80" s="272"/>
      <c r="VK80" s="272"/>
      <c r="VL80" s="272"/>
      <c r="VM80" s="272"/>
      <c r="VN80" s="272"/>
      <c r="VO80" s="272"/>
      <c r="VP80" s="272"/>
      <c r="VQ80" s="272"/>
      <c r="VR80" s="272"/>
      <c r="VS80" s="272"/>
      <c r="VT80" s="272"/>
      <c r="VU80" s="272"/>
      <c r="VV80" s="272"/>
      <c r="VW80" s="272"/>
      <c r="VX80" s="272"/>
      <c r="VY80" s="272"/>
      <c r="VZ80" s="272"/>
      <c r="WA80" s="272"/>
      <c r="WB80" s="272"/>
      <c r="WC80" s="272"/>
      <c r="WD80" s="272"/>
      <c r="WE80" s="272"/>
      <c r="WF80" s="272"/>
      <c r="WG80" s="272"/>
      <c r="WH80" s="272"/>
      <c r="WI80" s="272"/>
      <c r="WJ80" s="272"/>
      <c r="WK80" s="272"/>
      <c r="WL80" s="272"/>
      <c r="WM80" s="272"/>
      <c r="WN80" s="272"/>
      <c r="WO80" s="272"/>
      <c r="WP80" s="272"/>
      <c r="WQ80" s="272"/>
      <c r="WR80" s="272"/>
      <c r="WS80" s="272"/>
      <c r="WT80" s="272"/>
      <c r="WU80" s="272"/>
      <c r="WV80" s="272"/>
      <c r="WW80" s="272"/>
      <c r="WX80" s="272"/>
      <c r="WY80" s="272"/>
      <c r="WZ80" s="272"/>
      <c r="XA80" s="272"/>
      <c r="XB80" s="272"/>
      <c r="XC80" s="272"/>
      <c r="XD80" s="272"/>
      <c r="XE80" s="272"/>
      <c r="XF80" s="272"/>
      <c r="XG80" s="272"/>
      <c r="XH80" s="272"/>
      <c r="XI80" s="272"/>
      <c r="XJ80" s="272"/>
      <c r="XK80" s="272"/>
      <c r="XL80" s="272"/>
      <c r="XM80" s="272"/>
      <c r="XN80" s="272"/>
      <c r="XO80" s="272"/>
      <c r="XP80" s="272"/>
      <c r="XQ80" s="272"/>
      <c r="XR80" s="272"/>
      <c r="XS80" s="272"/>
      <c r="XT80" s="272"/>
      <c r="XU80" s="272"/>
      <c r="XV80" s="272"/>
      <c r="XW80" s="272"/>
      <c r="XX80" s="272"/>
      <c r="XY80" s="272"/>
      <c r="XZ80" s="272"/>
      <c r="YA80" s="272"/>
      <c r="YB80" s="272"/>
      <c r="YC80" s="272"/>
      <c r="YD80" s="272"/>
      <c r="YE80" s="272"/>
      <c r="YF80" s="272"/>
      <c r="YG80" s="272"/>
      <c r="YH80" s="272"/>
      <c r="YI80" s="272"/>
      <c r="YJ80" s="272"/>
      <c r="YK80" s="272"/>
      <c r="YL80" s="272"/>
      <c r="YM80" s="272"/>
      <c r="YN80" s="272"/>
      <c r="YO80" s="272"/>
      <c r="YP80" s="272"/>
      <c r="YQ80" s="272"/>
      <c r="YR80" s="272"/>
      <c r="YS80" s="272"/>
      <c r="YT80" s="272"/>
      <c r="YU80" s="272"/>
      <c r="YV80" s="272"/>
      <c r="YW80" s="272"/>
      <c r="YX80" s="272"/>
      <c r="YY80" s="272"/>
      <c r="YZ80" s="272"/>
      <c r="ZA80" s="272"/>
      <c r="ZB80" s="272"/>
      <c r="ZC80" s="272"/>
      <c r="ZD80" s="272"/>
      <c r="ZE80" s="272"/>
      <c r="ZF80" s="272"/>
      <c r="ZG80" s="272"/>
      <c r="ZH80" s="272"/>
      <c r="ZI80" s="272"/>
      <c r="ZJ80" s="272"/>
      <c r="ZK80" s="272"/>
      <c r="ZL80" s="272"/>
      <c r="ZM80" s="272"/>
      <c r="ZN80" s="272"/>
      <c r="ZO80" s="272"/>
      <c r="ZP80" s="272"/>
      <c r="ZQ80" s="272"/>
      <c r="ZR80" s="272"/>
      <c r="ZS80" s="272"/>
      <c r="ZT80" s="272"/>
    </row>
    <row r="81" spans="1:696" s="19" customFormat="1" ht="15">
      <c r="A81" s="76"/>
      <c r="B81" s="44"/>
      <c r="C81" s="55" t="s">
        <v>53</v>
      </c>
      <c r="D81" s="55"/>
      <c r="E81" s="57"/>
      <c r="F81" s="57"/>
      <c r="G81" s="263"/>
      <c r="H81" s="263"/>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2"/>
      <c r="CB81" s="272"/>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272"/>
      <c r="FW81" s="272"/>
      <c r="FX81" s="272"/>
      <c r="FY81" s="272"/>
      <c r="FZ81" s="272"/>
      <c r="GA81" s="272"/>
      <c r="GB81" s="272"/>
      <c r="GC81" s="272"/>
      <c r="GD81" s="272"/>
      <c r="GE81" s="272"/>
      <c r="GF81" s="272"/>
      <c r="GG81" s="272"/>
      <c r="GH81" s="272"/>
      <c r="GI81" s="272"/>
      <c r="GJ81" s="272"/>
      <c r="GK81" s="272"/>
      <c r="GL81" s="272"/>
      <c r="GM81" s="272"/>
      <c r="GN81" s="272"/>
      <c r="GO81" s="272"/>
      <c r="GP81" s="272"/>
      <c r="GQ81" s="272"/>
      <c r="GR81" s="272"/>
      <c r="GS81" s="272"/>
      <c r="GT81" s="272"/>
      <c r="GU81" s="272"/>
      <c r="GV81" s="272"/>
      <c r="GW81" s="272"/>
      <c r="GX81" s="272"/>
      <c r="GY81" s="272"/>
      <c r="GZ81" s="272"/>
      <c r="HA81" s="272"/>
      <c r="HB81" s="272"/>
      <c r="HC81" s="272"/>
      <c r="HD81" s="272"/>
      <c r="HE81" s="272"/>
      <c r="HF81" s="272"/>
      <c r="HG81" s="272"/>
      <c r="HH81" s="272"/>
      <c r="HI81" s="272"/>
      <c r="HJ81" s="272"/>
      <c r="HK81" s="272"/>
      <c r="HL81" s="272"/>
      <c r="HM81" s="272"/>
      <c r="HN81" s="272"/>
      <c r="HO81" s="272"/>
      <c r="HP81" s="272"/>
      <c r="HQ81" s="272"/>
      <c r="HR81" s="272"/>
      <c r="HS81" s="272"/>
      <c r="HT81" s="272"/>
      <c r="HU81" s="272"/>
      <c r="HV81" s="272"/>
      <c r="HW81" s="272"/>
      <c r="HX81" s="272"/>
      <c r="HY81" s="272"/>
      <c r="HZ81" s="272"/>
      <c r="IA81" s="272"/>
      <c r="IB81" s="272"/>
      <c r="IC81" s="272"/>
      <c r="ID81" s="272"/>
      <c r="IE81" s="272"/>
      <c r="IF81" s="272"/>
      <c r="IG81" s="272"/>
      <c r="IH81" s="272"/>
      <c r="II81" s="272"/>
      <c r="IJ81" s="272"/>
      <c r="IK81" s="272"/>
      <c r="IL81" s="272"/>
      <c r="IM81" s="272"/>
      <c r="IN81" s="272"/>
      <c r="IO81" s="272"/>
      <c r="IP81" s="272"/>
      <c r="IQ81" s="272"/>
      <c r="IR81" s="272"/>
      <c r="IS81" s="272"/>
      <c r="IT81" s="272"/>
      <c r="IU81" s="272"/>
      <c r="IV81" s="272"/>
      <c r="IW81" s="272"/>
      <c r="IX81" s="272"/>
      <c r="IY81" s="272"/>
      <c r="IZ81" s="272"/>
      <c r="JA81" s="272"/>
      <c r="JB81" s="272"/>
      <c r="JC81" s="272"/>
      <c r="JD81" s="272"/>
      <c r="JE81" s="272"/>
      <c r="JF81" s="272"/>
      <c r="JG81" s="272"/>
      <c r="JH81" s="272"/>
      <c r="JI81" s="272"/>
      <c r="JJ81" s="272"/>
      <c r="JK81" s="272"/>
      <c r="JL81" s="272"/>
      <c r="JM81" s="272"/>
      <c r="JN81" s="272"/>
      <c r="JO81" s="272"/>
      <c r="JP81" s="272"/>
      <c r="JQ81" s="272"/>
      <c r="JR81" s="272"/>
      <c r="JS81" s="272"/>
      <c r="JT81" s="272"/>
      <c r="JU81" s="272"/>
      <c r="JV81" s="272"/>
      <c r="JW81" s="272"/>
      <c r="JX81" s="272"/>
      <c r="JY81" s="272"/>
      <c r="JZ81" s="272"/>
      <c r="KA81" s="272"/>
      <c r="KB81" s="272"/>
      <c r="KC81" s="272"/>
      <c r="KD81" s="272"/>
      <c r="KE81" s="272"/>
      <c r="KF81" s="272"/>
      <c r="KG81" s="272"/>
      <c r="KH81" s="272"/>
      <c r="KI81" s="272"/>
      <c r="KJ81" s="272"/>
      <c r="KK81" s="272"/>
      <c r="KL81" s="272"/>
      <c r="KM81" s="272"/>
      <c r="KN81" s="272"/>
      <c r="KO81" s="272"/>
      <c r="KP81" s="272"/>
      <c r="KQ81" s="272"/>
      <c r="KR81" s="272"/>
      <c r="KS81" s="272"/>
      <c r="KT81" s="272"/>
      <c r="KU81" s="272"/>
      <c r="KV81" s="272"/>
      <c r="KW81" s="272"/>
      <c r="KX81" s="272"/>
      <c r="KY81" s="272"/>
      <c r="KZ81" s="272"/>
      <c r="LA81" s="272"/>
      <c r="LB81" s="272"/>
      <c r="LC81" s="272"/>
      <c r="LD81" s="272"/>
      <c r="LE81" s="272"/>
      <c r="LF81" s="272"/>
      <c r="LG81" s="272"/>
      <c r="LH81" s="272"/>
      <c r="LI81" s="272"/>
      <c r="LJ81" s="272"/>
      <c r="LK81" s="272"/>
      <c r="LL81" s="272"/>
      <c r="LM81" s="272"/>
      <c r="LN81" s="272"/>
      <c r="LO81" s="272"/>
      <c r="LP81" s="272"/>
      <c r="LQ81" s="272"/>
      <c r="LR81" s="272"/>
      <c r="LS81" s="272"/>
      <c r="LT81" s="272"/>
      <c r="LU81" s="272"/>
      <c r="LV81" s="272"/>
      <c r="LW81" s="272"/>
      <c r="LX81" s="272"/>
      <c r="LY81" s="272"/>
      <c r="LZ81" s="272"/>
      <c r="MA81" s="272"/>
      <c r="MB81" s="272"/>
      <c r="MC81" s="272"/>
      <c r="MD81" s="272"/>
      <c r="ME81" s="272"/>
      <c r="MF81" s="272"/>
      <c r="MG81" s="272"/>
      <c r="MH81" s="272"/>
      <c r="MI81" s="272"/>
      <c r="MJ81" s="272"/>
      <c r="MK81" s="272"/>
      <c r="ML81" s="272"/>
      <c r="MM81" s="272"/>
      <c r="MN81" s="272"/>
      <c r="MO81" s="272"/>
      <c r="MP81" s="272"/>
      <c r="MQ81" s="272"/>
      <c r="MR81" s="272"/>
      <c r="MS81" s="272"/>
      <c r="MT81" s="272"/>
      <c r="MU81" s="272"/>
      <c r="MV81" s="272"/>
      <c r="MW81" s="272"/>
      <c r="MX81" s="272"/>
      <c r="MY81" s="272"/>
      <c r="MZ81" s="272"/>
      <c r="NA81" s="272"/>
      <c r="NB81" s="272"/>
      <c r="NC81" s="272"/>
      <c r="ND81" s="272"/>
      <c r="NE81" s="272"/>
      <c r="NF81" s="272"/>
      <c r="NG81" s="272"/>
      <c r="NH81" s="272"/>
      <c r="NI81" s="272"/>
      <c r="NJ81" s="272"/>
      <c r="NK81" s="272"/>
      <c r="NL81" s="272"/>
      <c r="NM81" s="272"/>
      <c r="NN81" s="272"/>
      <c r="NO81" s="272"/>
      <c r="NP81" s="272"/>
      <c r="NQ81" s="272"/>
      <c r="NR81" s="272"/>
      <c r="NS81" s="272"/>
      <c r="NT81" s="272"/>
      <c r="NU81" s="272"/>
      <c r="NV81" s="272"/>
      <c r="NW81" s="272"/>
      <c r="NX81" s="272"/>
      <c r="NY81" s="272"/>
      <c r="NZ81" s="272"/>
      <c r="OA81" s="272"/>
      <c r="OB81" s="272"/>
      <c r="OC81" s="272"/>
      <c r="OD81" s="272"/>
      <c r="OE81" s="272"/>
      <c r="OF81" s="272"/>
      <c r="OG81" s="272"/>
      <c r="OH81" s="272"/>
      <c r="OI81" s="272"/>
      <c r="OJ81" s="272"/>
      <c r="OK81" s="272"/>
      <c r="OL81" s="272"/>
      <c r="OM81" s="272"/>
      <c r="ON81" s="272"/>
      <c r="OO81" s="272"/>
      <c r="OP81" s="272"/>
      <c r="OQ81" s="272"/>
      <c r="OR81" s="272"/>
      <c r="OS81" s="272"/>
      <c r="OT81" s="272"/>
      <c r="OU81" s="272"/>
      <c r="OV81" s="272"/>
      <c r="OW81" s="272"/>
      <c r="OX81" s="272"/>
      <c r="OY81" s="272"/>
      <c r="OZ81" s="272"/>
      <c r="PA81" s="272"/>
      <c r="PB81" s="272"/>
      <c r="PC81" s="272"/>
      <c r="PD81" s="272"/>
      <c r="PE81" s="272"/>
      <c r="PF81" s="272"/>
      <c r="PG81" s="272"/>
      <c r="PH81" s="272"/>
      <c r="PI81" s="272"/>
      <c r="PJ81" s="272"/>
      <c r="PK81" s="272"/>
      <c r="PL81" s="272"/>
      <c r="PM81" s="272"/>
      <c r="PN81" s="272"/>
      <c r="PO81" s="272"/>
      <c r="PP81" s="272"/>
      <c r="PQ81" s="272"/>
      <c r="PR81" s="272"/>
      <c r="PS81" s="272"/>
      <c r="PT81" s="272"/>
      <c r="PU81" s="272"/>
      <c r="PV81" s="272"/>
      <c r="PW81" s="272"/>
      <c r="PX81" s="272"/>
      <c r="PY81" s="272"/>
      <c r="PZ81" s="272"/>
      <c r="QA81" s="272"/>
      <c r="QB81" s="272"/>
      <c r="QC81" s="272"/>
      <c r="QD81" s="272"/>
      <c r="QE81" s="272"/>
      <c r="QF81" s="272"/>
      <c r="QG81" s="272"/>
      <c r="QH81" s="272"/>
      <c r="QI81" s="272"/>
      <c r="QJ81" s="272"/>
      <c r="QK81" s="272"/>
      <c r="QL81" s="272"/>
      <c r="QM81" s="272"/>
      <c r="QN81" s="272"/>
      <c r="QO81" s="272"/>
      <c r="QP81" s="272"/>
      <c r="QQ81" s="272"/>
      <c r="QR81" s="272"/>
      <c r="QS81" s="272"/>
      <c r="QT81" s="272"/>
      <c r="QU81" s="272"/>
      <c r="QV81" s="272"/>
      <c r="QW81" s="272"/>
      <c r="QX81" s="272"/>
      <c r="QY81" s="272"/>
      <c r="QZ81" s="272"/>
      <c r="RA81" s="272"/>
      <c r="RB81" s="272"/>
      <c r="RC81" s="272"/>
      <c r="RD81" s="272"/>
      <c r="RE81" s="272"/>
      <c r="RF81" s="272"/>
      <c r="RG81" s="272"/>
      <c r="RH81" s="272"/>
      <c r="RI81" s="272"/>
      <c r="RJ81" s="272"/>
      <c r="RK81" s="272"/>
      <c r="RL81" s="272"/>
      <c r="RM81" s="272"/>
      <c r="RN81" s="272"/>
      <c r="RO81" s="272"/>
      <c r="RP81" s="272"/>
      <c r="RQ81" s="272"/>
      <c r="RR81" s="272"/>
      <c r="RS81" s="272"/>
      <c r="RT81" s="272"/>
      <c r="RU81" s="272"/>
      <c r="RV81" s="272"/>
      <c r="RW81" s="272"/>
      <c r="RX81" s="272"/>
      <c r="RY81" s="272"/>
      <c r="RZ81" s="272"/>
      <c r="SA81" s="272"/>
      <c r="SB81" s="272"/>
      <c r="SC81" s="272"/>
      <c r="SD81" s="272"/>
      <c r="SE81" s="272"/>
      <c r="SF81" s="272"/>
      <c r="SG81" s="272"/>
      <c r="SH81" s="272"/>
      <c r="SI81" s="272"/>
      <c r="SJ81" s="272"/>
      <c r="SK81" s="272"/>
      <c r="SL81" s="272"/>
      <c r="SM81" s="272"/>
      <c r="SN81" s="272"/>
      <c r="SO81" s="272"/>
      <c r="SP81" s="272"/>
      <c r="SQ81" s="272"/>
      <c r="SR81" s="272"/>
      <c r="SS81" s="272"/>
      <c r="ST81" s="272"/>
      <c r="SU81" s="272"/>
      <c r="SV81" s="272"/>
      <c r="SW81" s="272"/>
      <c r="SX81" s="272"/>
      <c r="SY81" s="272"/>
      <c r="SZ81" s="272"/>
      <c r="TA81" s="272"/>
      <c r="TB81" s="272"/>
      <c r="TC81" s="272"/>
      <c r="TD81" s="272"/>
      <c r="TE81" s="272"/>
      <c r="TF81" s="272"/>
      <c r="TG81" s="272"/>
      <c r="TH81" s="272"/>
      <c r="TI81" s="272"/>
      <c r="TJ81" s="272"/>
      <c r="TK81" s="272"/>
      <c r="TL81" s="272"/>
      <c r="TM81" s="272"/>
      <c r="TN81" s="272"/>
      <c r="TO81" s="272"/>
      <c r="TP81" s="272"/>
      <c r="TQ81" s="272"/>
      <c r="TR81" s="272"/>
      <c r="TS81" s="272"/>
      <c r="TT81" s="272"/>
      <c r="TU81" s="272"/>
      <c r="TV81" s="272"/>
      <c r="TW81" s="272"/>
      <c r="TX81" s="272"/>
      <c r="TY81" s="272"/>
      <c r="TZ81" s="272"/>
      <c r="UA81" s="272"/>
      <c r="UB81" s="272"/>
      <c r="UC81" s="272"/>
      <c r="UD81" s="272"/>
      <c r="UE81" s="272"/>
      <c r="UF81" s="272"/>
      <c r="UG81" s="272"/>
      <c r="UH81" s="272"/>
      <c r="UI81" s="272"/>
      <c r="UJ81" s="272"/>
      <c r="UK81" s="272"/>
      <c r="UL81" s="272"/>
      <c r="UM81" s="272"/>
      <c r="UN81" s="272"/>
      <c r="UO81" s="272"/>
      <c r="UP81" s="272"/>
      <c r="UQ81" s="272"/>
      <c r="UR81" s="272"/>
      <c r="US81" s="272"/>
      <c r="UT81" s="272"/>
      <c r="UU81" s="272"/>
      <c r="UV81" s="272"/>
      <c r="UW81" s="272"/>
      <c r="UX81" s="272"/>
      <c r="UY81" s="272"/>
      <c r="UZ81" s="272"/>
      <c r="VA81" s="272"/>
      <c r="VB81" s="272"/>
      <c r="VC81" s="272"/>
      <c r="VD81" s="272"/>
      <c r="VE81" s="272"/>
      <c r="VF81" s="272"/>
      <c r="VG81" s="272"/>
      <c r="VH81" s="272"/>
      <c r="VI81" s="272"/>
      <c r="VJ81" s="272"/>
      <c r="VK81" s="272"/>
      <c r="VL81" s="272"/>
      <c r="VM81" s="272"/>
      <c r="VN81" s="272"/>
      <c r="VO81" s="272"/>
      <c r="VP81" s="272"/>
      <c r="VQ81" s="272"/>
      <c r="VR81" s="272"/>
      <c r="VS81" s="272"/>
      <c r="VT81" s="272"/>
      <c r="VU81" s="272"/>
      <c r="VV81" s="272"/>
      <c r="VW81" s="272"/>
      <c r="VX81" s="272"/>
      <c r="VY81" s="272"/>
      <c r="VZ81" s="272"/>
      <c r="WA81" s="272"/>
      <c r="WB81" s="272"/>
      <c r="WC81" s="272"/>
      <c r="WD81" s="272"/>
      <c r="WE81" s="272"/>
      <c r="WF81" s="272"/>
      <c r="WG81" s="272"/>
      <c r="WH81" s="272"/>
      <c r="WI81" s="272"/>
      <c r="WJ81" s="272"/>
      <c r="WK81" s="272"/>
      <c r="WL81" s="272"/>
      <c r="WM81" s="272"/>
      <c r="WN81" s="272"/>
      <c r="WO81" s="272"/>
      <c r="WP81" s="272"/>
      <c r="WQ81" s="272"/>
      <c r="WR81" s="272"/>
      <c r="WS81" s="272"/>
      <c r="WT81" s="272"/>
      <c r="WU81" s="272"/>
      <c r="WV81" s="272"/>
      <c r="WW81" s="272"/>
      <c r="WX81" s="272"/>
      <c r="WY81" s="272"/>
      <c r="WZ81" s="272"/>
      <c r="XA81" s="272"/>
      <c r="XB81" s="272"/>
      <c r="XC81" s="272"/>
      <c r="XD81" s="272"/>
      <c r="XE81" s="272"/>
      <c r="XF81" s="272"/>
      <c r="XG81" s="272"/>
      <c r="XH81" s="272"/>
      <c r="XI81" s="272"/>
      <c r="XJ81" s="272"/>
      <c r="XK81" s="272"/>
      <c r="XL81" s="272"/>
      <c r="XM81" s="272"/>
      <c r="XN81" s="272"/>
      <c r="XO81" s="272"/>
      <c r="XP81" s="272"/>
      <c r="XQ81" s="272"/>
      <c r="XR81" s="272"/>
      <c r="XS81" s="272"/>
      <c r="XT81" s="272"/>
      <c r="XU81" s="272"/>
      <c r="XV81" s="272"/>
      <c r="XW81" s="272"/>
      <c r="XX81" s="272"/>
      <c r="XY81" s="272"/>
      <c r="XZ81" s="272"/>
      <c r="YA81" s="272"/>
      <c r="YB81" s="272"/>
      <c r="YC81" s="272"/>
      <c r="YD81" s="272"/>
      <c r="YE81" s="272"/>
      <c r="YF81" s="272"/>
      <c r="YG81" s="272"/>
      <c r="YH81" s="272"/>
      <c r="YI81" s="272"/>
      <c r="YJ81" s="272"/>
      <c r="YK81" s="272"/>
      <c r="YL81" s="272"/>
      <c r="YM81" s="272"/>
      <c r="YN81" s="272"/>
      <c r="YO81" s="272"/>
      <c r="YP81" s="272"/>
      <c r="YQ81" s="272"/>
      <c r="YR81" s="272"/>
      <c r="YS81" s="272"/>
      <c r="YT81" s="272"/>
      <c r="YU81" s="272"/>
      <c r="YV81" s="272"/>
      <c r="YW81" s="272"/>
      <c r="YX81" s="272"/>
      <c r="YY81" s="272"/>
      <c r="YZ81" s="272"/>
      <c r="ZA81" s="272"/>
      <c r="ZB81" s="272"/>
      <c r="ZC81" s="272"/>
      <c r="ZD81" s="272"/>
      <c r="ZE81" s="272"/>
      <c r="ZF81" s="272"/>
      <c r="ZG81" s="272"/>
      <c r="ZH81" s="272"/>
      <c r="ZI81" s="272"/>
      <c r="ZJ81" s="272"/>
      <c r="ZK81" s="272"/>
      <c r="ZL81" s="272"/>
      <c r="ZM81" s="272"/>
      <c r="ZN81" s="272"/>
      <c r="ZO81" s="272"/>
      <c r="ZP81" s="272"/>
      <c r="ZQ81" s="272"/>
      <c r="ZR81" s="272"/>
      <c r="ZS81" s="272"/>
      <c r="ZT81" s="272"/>
    </row>
    <row r="82" spans="1:696" s="62" customFormat="1" ht="13.5" thickBot="1">
      <c r="A82" s="77"/>
      <c r="B82" s="73"/>
      <c r="C82" s="58" t="s">
        <v>54</v>
      </c>
      <c r="D82" s="58"/>
      <c r="E82" s="60"/>
      <c r="F82" s="60"/>
      <c r="G82" s="264"/>
      <c r="H82" s="264"/>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272"/>
      <c r="BY82" s="272"/>
      <c r="BZ82" s="272"/>
      <c r="CA82" s="272"/>
      <c r="CB82" s="272"/>
      <c r="CC82" s="272"/>
      <c r="CD82" s="272"/>
      <c r="CE82" s="272"/>
      <c r="CF82" s="272"/>
      <c r="CG82" s="272"/>
      <c r="CH82" s="272"/>
      <c r="CI82" s="272"/>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2"/>
      <c r="EB82" s="272"/>
      <c r="EC82" s="272"/>
      <c r="ED82" s="272"/>
      <c r="EE82" s="272"/>
      <c r="EF82" s="272"/>
      <c r="EG82" s="272"/>
      <c r="EH82" s="272"/>
      <c r="EI82" s="272"/>
      <c r="EJ82" s="272"/>
      <c r="EK82" s="272"/>
      <c r="EL82" s="272"/>
      <c r="EM82" s="272"/>
      <c r="EN82" s="272"/>
      <c r="EO82" s="272"/>
      <c r="EP82" s="272"/>
      <c r="EQ82" s="272"/>
      <c r="ER82" s="272"/>
      <c r="ES82" s="272"/>
      <c r="ET82" s="272"/>
      <c r="EU82" s="272"/>
      <c r="EV82" s="272"/>
      <c r="EW82" s="272"/>
      <c r="EX82" s="272"/>
      <c r="EY82" s="272"/>
      <c r="EZ82" s="272"/>
      <c r="FA82" s="272"/>
      <c r="FB82" s="272"/>
      <c r="FC82" s="272"/>
      <c r="FD82" s="272"/>
      <c r="FE82" s="272"/>
      <c r="FF82" s="272"/>
      <c r="FG82" s="272"/>
      <c r="FH82" s="272"/>
      <c r="FI82" s="272"/>
      <c r="FJ82" s="272"/>
      <c r="FK82" s="272"/>
      <c r="FL82" s="272"/>
      <c r="FM82" s="272"/>
      <c r="FN82" s="272"/>
      <c r="FO82" s="272"/>
      <c r="FP82" s="272"/>
      <c r="FQ82" s="272"/>
      <c r="FR82" s="272"/>
      <c r="FS82" s="272"/>
      <c r="FT82" s="272"/>
      <c r="FU82" s="272"/>
      <c r="FV82" s="272"/>
      <c r="FW82" s="272"/>
      <c r="FX82" s="272"/>
      <c r="FY82" s="272"/>
      <c r="FZ82" s="272"/>
      <c r="GA82" s="272"/>
      <c r="GB82" s="272"/>
      <c r="GC82" s="272"/>
      <c r="GD82" s="272"/>
      <c r="GE82" s="272"/>
      <c r="GF82" s="272"/>
      <c r="GG82" s="272"/>
      <c r="GH82" s="272"/>
      <c r="GI82" s="272"/>
      <c r="GJ82" s="272"/>
      <c r="GK82" s="272"/>
      <c r="GL82" s="272"/>
      <c r="GM82" s="272"/>
      <c r="GN82" s="272"/>
      <c r="GO82" s="272"/>
      <c r="GP82" s="272"/>
      <c r="GQ82" s="272"/>
      <c r="GR82" s="272"/>
      <c r="GS82" s="272"/>
      <c r="GT82" s="272"/>
      <c r="GU82" s="272"/>
      <c r="GV82" s="272"/>
      <c r="GW82" s="272"/>
      <c r="GX82" s="272"/>
      <c r="GY82" s="272"/>
      <c r="GZ82" s="272"/>
      <c r="HA82" s="272"/>
      <c r="HB82" s="272"/>
      <c r="HC82" s="272"/>
      <c r="HD82" s="272"/>
      <c r="HE82" s="272"/>
      <c r="HF82" s="272"/>
      <c r="HG82" s="272"/>
      <c r="HH82" s="272"/>
      <c r="HI82" s="272"/>
      <c r="HJ82" s="272"/>
      <c r="HK82" s="272"/>
      <c r="HL82" s="272"/>
      <c r="HM82" s="272"/>
      <c r="HN82" s="272"/>
      <c r="HO82" s="272"/>
      <c r="HP82" s="272"/>
      <c r="HQ82" s="272"/>
      <c r="HR82" s="272"/>
      <c r="HS82" s="272"/>
      <c r="HT82" s="272"/>
      <c r="HU82" s="272"/>
      <c r="HV82" s="272"/>
      <c r="HW82" s="272"/>
      <c r="HX82" s="272"/>
      <c r="HY82" s="272"/>
      <c r="HZ82" s="272"/>
      <c r="IA82" s="272"/>
      <c r="IB82" s="272"/>
      <c r="IC82" s="272"/>
      <c r="ID82" s="272"/>
      <c r="IE82" s="272"/>
      <c r="IF82" s="272"/>
      <c r="IG82" s="272"/>
      <c r="IH82" s="272"/>
      <c r="II82" s="272"/>
      <c r="IJ82" s="272"/>
      <c r="IK82" s="272"/>
      <c r="IL82" s="272"/>
      <c r="IM82" s="272"/>
      <c r="IN82" s="272"/>
      <c r="IO82" s="272"/>
      <c r="IP82" s="272"/>
      <c r="IQ82" s="272"/>
      <c r="IR82" s="272"/>
      <c r="IS82" s="272"/>
      <c r="IT82" s="272"/>
      <c r="IU82" s="272"/>
      <c r="IV82" s="272"/>
      <c r="IW82" s="272"/>
      <c r="IX82" s="272"/>
      <c r="IY82" s="272"/>
      <c r="IZ82" s="272"/>
      <c r="JA82" s="272"/>
      <c r="JB82" s="272"/>
      <c r="JC82" s="272"/>
      <c r="JD82" s="272"/>
      <c r="JE82" s="272"/>
      <c r="JF82" s="272"/>
      <c r="JG82" s="272"/>
      <c r="JH82" s="272"/>
      <c r="JI82" s="272"/>
      <c r="JJ82" s="272"/>
      <c r="JK82" s="272"/>
      <c r="JL82" s="272"/>
      <c r="JM82" s="272"/>
      <c r="JN82" s="272"/>
      <c r="JO82" s="272"/>
      <c r="JP82" s="272"/>
      <c r="JQ82" s="272"/>
      <c r="JR82" s="272"/>
      <c r="JS82" s="272"/>
      <c r="JT82" s="272"/>
      <c r="JU82" s="272"/>
      <c r="JV82" s="272"/>
      <c r="JW82" s="272"/>
      <c r="JX82" s="272"/>
      <c r="JY82" s="272"/>
      <c r="JZ82" s="272"/>
      <c r="KA82" s="272"/>
      <c r="KB82" s="272"/>
      <c r="KC82" s="272"/>
      <c r="KD82" s="272"/>
      <c r="KE82" s="272"/>
      <c r="KF82" s="272"/>
      <c r="KG82" s="272"/>
      <c r="KH82" s="272"/>
      <c r="KI82" s="272"/>
      <c r="KJ82" s="272"/>
      <c r="KK82" s="272"/>
      <c r="KL82" s="272"/>
      <c r="KM82" s="272"/>
      <c r="KN82" s="272"/>
      <c r="KO82" s="272"/>
      <c r="KP82" s="272"/>
      <c r="KQ82" s="272"/>
      <c r="KR82" s="272"/>
      <c r="KS82" s="272"/>
      <c r="KT82" s="272"/>
      <c r="KU82" s="272"/>
      <c r="KV82" s="272"/>
      <c r="KW82" s="272"/>
      <c r="KX82" s="272"/>
      <c r="KY82" s="272"/>
      <c r="KZ82" s="272"/>
      <c r="LA82" s="272"/>
      <c r="LB82" s="272"/>
      <c r="LC82" s="272"/>
      <c r="LD82" s="272"/>
      <c r="LE82" s="272"/>
      <c r="LF82" s="272"/>
      <c r="LG82" s="272"/>
      <c r="LH82" s="272"/>
      <c r="LI82" s="272"/>
      <c r="LJ82" s="272"/>
      <c r="LK82" s="272"/>
      <c r="LL82" s="272"/>
      <c r="LM82" s="272"/>
      <c r="LN82" s="272"/>
      <c r="LO82" s="272"/>
      <c r="LP82" s="272"/>
      <c r="LQ82" s="272"/>
      <c r="LR82" s="272"/>
      <c r="LS82" s="272"/>
      <c r="LT82" s="272"/>
      <c r="LU82" s="272"/>
      <c r="LV82" s="272"/>
      <c r="LW82" s="272"/>
      <c r="LX82" s="272"/>
      <c r="LY82" s="272"/>
      <c r="LZ82" s="272"/>
      <c r="MA82" s="272"/>
      <c r="MB82" s="272"/>
      <c r="MC82" s="272"/>
      <c r="MD82" s="272"/>
      <c r="ME82" s="272"/>
      <c r="MF82" s="272"/>
      <c r="MG82" s="272"/>
      <c r="MH82" s="272"/>
      <c r="MI82" s="272"/>
      <c r="MJ82" s="272"/>
      <c r="MK82" s="272"/>
      <c r="ML82" s="272"/>
      <c r="MM82" s="272"/>
      <c r="MN82" s="272"/>
      <c r="MO82" s="272"/>
      <c r="MP82" s="272"/>
      <c r="MQ82" s="272"/>
      <c r="MR82" s="272"/>
      <c r="MS82" s="272"/>
      <c r="MT82" s="272"/>
      <c r="MU82" s="272"/>
      <c r="MV82" s="272"/>
      <c r="MW82" s="272"/>
      <c r="MX82" s="272"/>
      <c r="MY82" s="272"/>
      <c r="MZ82" s="272"/>
      <c r="NA82" s="272"/>
      <c r="NB82" s="272"/>
      <c r="NC82" s="272"/>
      <c r="ND82" s="272"/>
      <c r="NE82" s="272"/>
      <c r="NF82" s="272"/>
      <c r="NG82" s="272"/>
      <c r="NH82" s="272"/>
      <c r="NI82" s="272"/>
      <c r="NJ82" s="272"/>
      <c r="NK82" s="272"/>
      <c r="NL82" s="272"/>
      <c r="NM82" s="272"/>
      <c r="NN82" s="272"/>
      <c r="NO82" s="272"/>
      <c r="NP82" s="272"/>
      <c r="NQ82" s="272"/>
      <c r="NR82" s="272"/>
      <c r="NS82" s="272"/>
      <c r="NT82" s="272"/>
      <c r="NU82" s="272"/>
      <c r="NV82" s="272"/>
      <c r="NW82" s="272"/>
      <c r="NX82" s="272"/>
      <c r="NY82" s="272"/>
      <c r="NZ82" s="272"/>
      <c r="OA82" s="272"/>
      <c r="OB82" s="272"/>
      <c r="OC82" s="272"/>
      <c r="OD82" s="272"/>
      <c r="OE82" s="272"/>
      <c r="OF82" s="272"/>
      <c r="OG82" s="272"/>
      <c r="OH82" s="272"/>
      <c r="OI82" s="272"/>
      <c r="OJ82" s="272"/>
      <c r="OK82" s="272"/>
      <c r="OL82" s="272"/>
      <c r="OM82" s="272"/>
      <c r="ON82" s="272"/>
      <c r="OO82" s="272"/>
      <c r="OP82" s="272"/>
      <c r="OQ82" s="272"/>
      <c r="OR82" s="272"/>
      <c r="OS82" s="272"/>
      <c r="OT82" s="272"/>
      <c r="OU82" s="272"/>
      <c r="OV82" s="272"/>
      <c r="OW82" s="272"/>
      <c r="OX82" s="272"/>
      <c r="OY82" s="272"/>
      <c r="OZ82" s="272"/>
      <c r="PA82" s="272"/>
      <c r="PB82" s="272"/>
      <c r="PC82" s="272"/>
      <c r="PD82" s="272"/>
      <c r="PE82" s="272"/>
      <c r="PF82" s="272"/>
      <c r="PG82" s="272"/>
      <c r="PH82" s="272"/>
      <c r="PI82" s="272"/>
      <c r="PJ82" s="272"/>
      <c r="PK82" s="272"/>
      <c r="PL82" s="272"/>
      <c r="PM82" s="272"/>
      <c r="PN82" s="272"/>
      <c r="PO82" s="272"/>
      <c r="PP82" s="272"/>
      <c r="PQ82" s="272"/>
      <c r="PR82" s="272"/>
      <c r="PS82" s="272"/>
      <c r="PT82" s="272"/>
      <c r="PU82" s="272"/>
      <c r="PV82" s="272"/>
      <c r="PW82" s="272"/>
      <c r="PX82" s="272"/>
      <c r="PY82" s="272"/>
      <c r="PZ82" s="272"/>
      <c r="QA82" s="272"/>
      <c r="QB82" s="272"/>
      <c r="QC82" s="272"/>
      <c r="QD82" s="272"/>
      <c r="QE82" s="272"/>
      <c r="QF82" s="272"/>
      <c r="QG82" s="272"/>
      <c r="QH82" s="272"/>
      <c r="QI82" s="272"/>
      <c r="QJ82" s="272"/>
      <c r="QK82" s="272"/>
      <c r="QL82" s="272"/>
      <c r="QM82" s="272"/>
      <c r="QN82" s="272"/>
      <c r="QO82" s="272"/>
      <c r="QP82" s="272"/>
      <c r="QQ82" s="272"/>
      <c r="QR82" s="272"/>
      <c r="QS82" s="272"/>
      <c r="QT82" s="272"/>
      <c r="QU82" s="272"/>
      <c r="QV82" s="272"/>
      <c r="QW82" s="272"/>
      <c r="QX82" s="272"/>
      <c r="QY82" s="272"/>
      <c r="QZ82" s="272"/>
      <c r="RA82" s="272"/>
      <c r="RB82" s="272"/>
      <c r="RC82" s="272"/>
      <c r="RD82" s="272"/>
      <c r="RE82" s="272"/>
      <c r="RF82" s="272"/>
      <c r="RG82" s="272"/>
      <c r="RH82" s="272"/>
      <c r="RI82" s="272"/>
      <c r="RJ82" s="272"/>
      <c r="RK82" s="272"/>
      <c r="RL82" s="272"/>
      <c r="RM82" s="272"/>
      <c r="RN82" s="272"/>
      <c r="RO82" s="272"/>
      <c r="RP82" s="272"/>
      <c r="RQ82" s="272"/>
      <c r="RR82" s="272"/>
      <c r="RS82" s="272"/>
      <c r="RT82" s="272"/>
      <c r="RU82" s="272"/>
      <c r="RV82" s="272"/>
      <c r="RW82" s="272"/>
      <c r="RX82" s="272"/>
      <c r="RY82" s="272"/>
      <c r="RZ82" s="272"/>
      <c r="SA82" s="272"/>
      <c r="SB82" s="272"/>
      <c r="SC82" s="272"/>
      <c r="SD82" s="272"/>
      <c r="SE82" s="272"/>
      <c r="SF82" s="272"/>
      <c r="SG82" s="272"/>
      <c r="SH82" s="272"/>
      <c r="SI82" s="272"/>
      <c r="SJ82" s="272"/>
      <c r="SK82" s="272"/>
      <c r="SL82" s="272"/>
      <c r="SM82" s="272"/>
      <c r="SN82" s="272"/>
      <c r="SO82" s="272"/>
      <c r="SP82" s="272"/>
      <c r="SQ82" s="272"/>
      <c r="SR82" s="272"/>
      <c r="SS82" s="272"/>
      <c r="ST82" s="272"/>
      <c r="SU82" s="272"/>
      <c r="SV82" s="272"/>
      <c r="SW82" s="272"/>
      <c r="SX82" s="272"/>
      <c r="SY82" s="272"/>
      <c r="SZ82" s="272"/>
      <c r="TA82" s="272"/>
      <c r="TB82" s="272"/>
      <c r="TC82" s="272"/>
      <c r="TD82" s="272"/>
      <c r="TE82" s="272"/>
      <c r="TF82" s="272"/>
      <c r="TG82" s="272"/>
      <c r="TH82" s="272"/>
      <c r="TI82" s="272"/>
      <c r="TJ82" s="272"/>
      <c r="TK82" s="272"/>
      <c r="TL82" s="272"/>
      <c r="TM82" s="272"/>
      <c r="TN82" s="272"/>
      <c r="TO82" s="272"/>
      <c r="TP82" s="272"/>
      <c r="TQ82" s="272"/>
      <c r="TR82" s="272"/>
      <c r="TS82" s="272"/>
      <c r="TT82" s="272"/>
      <c r="TU82" s="272"/>
      <c r="TV82" s="272"/>
      <c r="TW82" s="272"/>
      <c r="TX82" s="272"/>
      <c r="TY82" s="272"/>
      <c r="TZ82" s="272"/>
      <c r="UA82" s="272"/>
      <c r="UB82" s="272"/>
      <c r="UC82" s="272"/>
      <c r="UD82" s="272"/>
      <c r="UE82" s="272"/>
      <c r="UF82" s="272"/>
      <c r="UG82" s="272"/>
      <c r="UH82" s="272"/>
      <c r="UI82" s="272"/>
      <c r="UJ82" s="272"/>
      <c r="UK82" s="272"/>
      <c r="UL82" s="272"/>
      <c r="UM82" s="272"/>
      <c r="UN82" s="272"/>
      <c r="UO82" s="272"/>
      <c r="UP82" s="272"/>
      <c r="UQ82" s="272"/>
      <c r="UR82" s="272"/>
      <c r="US82" s="272"/>
      <c r="UT82" s="272"/>
      <c r="UU82" s="272"/>
      <c r="UV82" s="272"/>
      <c r="UW82" s="272"/>
      <c r="UX82" s="272"/>
      <c r="UY82" s="272"/>
      <c r="UZ82" s="272"/>
      <c r="VA82" s="272"/>
      <c r="VB82" s="272"/>
      <c r="VC82" s="272"/>
      <c r="VD82" s="272"/>
      <c r="VE82" s="272"/>
      <c r="VF82" s="272"/>
      <c r="VG82" s="272"/>
      <c r="VH82" s="272"/>
      <c r="VI82" s="272"/>
      <c r="VJ82" s="272"/>
      <c r="VK82" s="272"/>
      <c r="VL82" s="272"/>
      <c r="VM82" s="272"/>
      <c r="VN82" s="272"/>
      <c r="VO82" s="272"/>
      <c r="VP82" s="272"/>
      <c r="VQ82" s="272"/>
      <c r="VR82" s="272"/>
      <c r="VS82" s="272"/>
      <c r="VT82" s="272"/>
      <c r="VU82" s="272"/>
      <c r="VV82" s="272"/>
      <c r="VW82" s="272"/>
      <c r="VX82" s="272"/>
      <c r="VY82" s="272"/>
      <c r="VZ82" s="272"/>
      <c r="WA82" s="272"/>
      <c r="WB82" s="272"/>
      <c r="WC82" s="272"/>
      <c r="WD82" s="272"/>
      <c r="WE82" s="272"/>
      <c r="WF82" s="272"/>
      <c r="WG82" s="272"/>
      <c r="WH82" s="272"/>
      <c r="WI82" s="272"/>
      <c r="WJ82" s="272"/>
      <c r="WK82" s="272"/>
      <c r="WL82" s="272"/>
      <c r="WM82" s="272"/>
      <c r="WN82" s="272"/>
      <c r="WO82" s="272"/>
      <c r="WP82" s="272"/>
      <c r="WQ82" s="272"/>
      <c r="WR82" s="272"/>
      <c r="WS82" s="272"/>
      <c r="WT82" s="272"/>
      <c r="WU82" s="272"/>
      <c r="WV82" s="272"/>
      <c r="WW82" s="272"/>
      <c r="WX82" s="272"/>
      <c r="WY82" s="272"/>
      <c r="WZ82" s="272"/>
      <c r="XA82" s="272"/>
      <c r="XB82" s="272"/>
      <c r="XC82" s="272"/>
      <c r="XD82" s="272"/>
      <c r="XE82" s="272"/>
      <c r="XF82" s="272"/>
      <c r="XG82" s="272"/>
      <c r="XH82" s="272"/>
      <c r="XI82" s="272"/>
      <c r="XJ82" s="272"/>
      <c r="XK82" s="272"/>
      <c r="XL82" s="272"/>
      <c r="XM82" s="272"/>
      <c r="XN82" s="272"/>
      <c r="XO82" s="272"/>
      <c r="XP82" s="272"/>
      <c r="XQ82" s="272"/>
      <c r="XR82" s="272"/>
      <c r="XS82" s="272"/>
      <c r="XT82" s="272"/>
      <c r="XU82" s="272"/>
      <c r="XV82" s="272"/>
      <c r="XW82" s="272"/>
      <c r="XX82" s="272"/>
      <c r="XY82" s="272"/>
      <c r="XZ82" s="272"/>
      <c r="YA82" s="272"/>
      <c r="YB82" s="272"/>
      <c r="YC82" s="272"/>
      <c r="YD82" s="272"/>
      <c r="YE82" s="272"/>
      <c r="YF82" s="272"/>
      <c r="YG82" s="272"/>
      <c r="YH82" s="272"/>
      <c r="YI82" s="272"/>
      <c r="YJ82" s="272"/>
      <c r="YK82" s="272"/>
      <c r="YL82" s="272"/>
      <c r="YM82" s="272"/>
      <c r="YN82" s="272"/>
      <c r="YO82" s="272"/>
      <c r="YP82" s="272"/>
      <c r="YQ82" s="272"/>
      <c r="YR82" s="272"/>
      <c r="YS82" s="272"/>
      <c r="YT82" s="272"/>
      <c r="YU82" s="272"/>
      <c r="YV82" s="272"/>
      <c r="YW82" s="272"/>
      <c r="YX82" s="272"/>
      <c r="YY82" s="272"/>
      <c r="YZ82" s="272"/>
      <c r="ZA82" s="272"/>
      <c r="ZB82" s="272"/>
      <c r="ZC82" s="272"/>
      <c r="ZD82" s="272"/>
      <c r="ZE82" s="272"/>
      <c r="ZF82" s="272"/>
      <c r="ZG82" s="272"/>
      <c r="ZH82" s="272"/>
      <c r="ZI82" s="272"/>
      <c r="ZJ82" s="272"/>
      <c r="ZK82" s="272"/>
      <c r="ZL82" s="272"/>
      <c r="ZM82" s="272"/>
      <c r="ZN82" s="272"/>
      <c r="ZO82" s="272"/>
      <c r="ZP82" s="272"/>
      <c r="ZQ82" s="272"/>
      <c r="ZR82" s="272"/>
      <c r="ZS82" s="272"/>
      <c r="ZT82" s="272"/>
    </row>
    <row r="83" spans="1:696" s="61" customFormat="1" ht="25.5">
      <c r="A83" s="88" t="s">
        <v>12</v>
      </c>
      <c r="B83" s="87" t="s">
        <v>32</v>
      </c>
      <c r="C83" s="26" t="s">
        <v>52</v>
      </c>
      <c r="D83" s="501"/>
      <c r="E83" s="531"/>
      <c r="F83" s="502"/>
      <c r="G83" s="503"/>
      <c r="H83" s="503"/>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2"/>
      <c r="CB83" s="272"/>
      <c r="CC83" s="272"/>
      <c r="CD83" s="272"/>
      <c r="CE83" s="272"/>
      <c r="CF83" s="272"/>
      <c r="CG83" s="272"/>
      <c r="CH83" s="272"/>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2"/>
      <c r="DQ83" s="272"/>
      <c r="DR83" s="272"/>
      <c r="DS83" s="272"/>
      <c r="DT83" s="272"/>
      <c r="DU83" s="272"/>
      <c r="DV83" s="272"/>
      <c r="DW83" s="272"/>
      <c r="DX83" s="272"/>
      <c r="DY83" s="272"/>
      <c r="DZ83" s="272"/>
      <c r="EA83" s="272"/>
      <c r="EB83" s="272"/>
      <c r="EC83" s="272"/>
      <c r="ED83" s="272"/>
      <c r="EE83" s="272"/>
      <c r="EF83" s="272"/>
      <c r="EG83" s="272"/>
      <c r="EH83" s="272"/>
      <c r="EI83" s="272"/>
      <c r="EJ83" s="272"/>
      <c r="EK83" s="272"/>
      <c r="EL83" s="272"/>
      <c r="EM83" s="272"/>
      <c r="EN83" s="272"/>
      <c r="EO83" s="272"/>
      <c r="EP83" s="272"/>
      <c r="EQ83" s="272"/>
      <c r="ER83" s="272"/>
      <c r="ES83" s="272"/>
      <c r="ET83" s="272"/>
      <c r="EU83" s="272"/>
      <c r="EV83" s="272"/>
      <c r="EW83" s="272"/>
      <c r="EX83" s="272"/>
      <c r="EY83" s="272"/>
      <c r="EZ83" s="272"/>
      <c r="FA83" s="272"/>
      <c r="FB83" s="272"/>
      <c r="FC83" s="272"/>
      <c r="FD83" s="272"/>
      <c r="FE83" s="272"/>
      <c r="FF83" s="272"/>
      <c r="FG83" s="272"/>
      <c r="FH83" s="272"/>
      <c r="FI83" s="272"/>
      <c r="FJ83" s="272"/>
      <c r="FK83" s="272"/>
      <c r="FL83" s="272"/>
      <c r="FM83" s="272"/>
      <c r="FN83" s="272"/>
      <c r="FO83" s="272"/>
      <c r="FP83" s="272"/>
      <c r="FQ83" s="272"/>
      <c r="FR83" s="272"/>
      <c r="FS83" s="272"/>
      <c r="FT83" s="272"/>
      <c r="FU83" s="272"/>
      <c r="FV83" s="272"/>
      <c r="FW83" s="272"/>
      <c r="FX83" s="272"/>
      <c r="FY83" s="272"/>
      <c r="FZ83" s="272"/>
      <c r="GA83" s="272"/>
      <c r="GB83" s="272"/>
      <c r="GC83" s="272"/>
      <c r="GD83" s="272"/>
      <c r="GE83" s="272"/>
      <c r="GF83" s="272"/>
      <c r="GG83" s="272"/>
      <c r="GH83" s="272"/>
      <c r="GI83" s="272"/>
      <c r="GJ83" s="272"/>
      <c r="GK83" s="272"/>
      <c r="GL83" s="272"/>
      <c r="GM83" s="272"/>
      <c r="GN83" s="272"/>
      <c r="GO83" s="272"/>
      <c r="GP83" s="272"/>
      <c r="GQ83" s="272"/>
      <c r="GR83" s="272"/>
      <c r="GS83" s="272"/>
      <c r="GT83" s="272"/>
      <c r="GU83" s="272"/>
      <c r="GV83" s="272"/>
      <c r="GW83" s="272"/>
      <c r="GX83" s="272"/>
      <c r="GY83" s="272"/>
      <c r="GZ83" s="272"/>
      <c r="HA83" s="272"/>
      <c r="HB83" s="272"/>
      <c r="HC83" s="272"/>
      <c r="HD83" s="272"/>
      <c r="HE83" s="272"/>
      <c r="HF83" s="272"/>
      <c r="HG83" s="272"/>
      <c r="HH83" s="272"/>
      <c r="HI83" s="272"/>
      <c r="HJ83" s="272"/>
      <c r="HK83" s="272"/>
      <c r="HL83" s="272"/>
      <c r="HM83" s="272"/>
      <c r="HN83" s="272"/>
      <c r="HO83" s="272"/>
      <c r="HP83" s="272"/>
      <c r="HQ83" s="272"/>
      <c r="HR83" s="272"/>
      <c r="HS83" s="272"/>
      <c r="HT83" s="272"/>
      <c r="HU83" s="272"/>
      <c r="HV83" s="272"/>
      <c r="HW83" s="272"/>
      <c r="HX83" s="272"/>
      <c r="HY83" s="272"/>
      <c r="HZ83" s="272"/>
      <c r="IA83" s="272"/>
      <c r="IB83" s="272"/>
      <c r="IC83" s="272"/>
      <c r="ID83" s="272"/>
      <c r="IE83" s="272"/>
      <c r="IF83" s="272"/>
      <c r="IG83" s="272"/>
      <c r="IH83" s="272"/>
      <c r="II83" s="272"/>
      <c r="IJ83" s="272"/>
      <c r="IK83" s="272"/>
      <c r="IL83" s="272"/>
      <c r="IM83" s="272"/>
      <c r="IN83" s="272"/>
      <c r="IO83" s="272"/>
      <c r="IP83" s="272"/>
      <c r="IQ83" s="272"/>
      <c r="IR83" s="272"/>
      <c r="IS83" s="272"/>
      <c r="IT83" s="272"/>
      <c r="IU83" s="272"/>
      <c r="IV83" s="272"/>
      <c r="IW83" s="272"/>
      <c r="IX83" s="272"/>
      <c r="IY83" s="272"/>
      <c r="IZ83" s="272"/>
      <c r="JA83" s="272"/>
      <c r="JB83" s="272"/>
      <c r="JC83" s="272"/>
      <c r="JD83" s="272"/>
      <c r="JE83" s="272"/>
      <c r="JF83" s="272"/>
      <c r="JG83" s="272"/>
      <c r="JH83" s="272"/>
      <c r="JI83" s="272"/>
      <c r="JJ83" s="272"/>
      <c r="JK83" s="272"/>
      <c r="JL83" s="272"/>
      <c r="JM83" s="272"/>
      <c r="JN83" s="272"/>
      <c r="JO83" s="272"/>
      <c r="JP83" s="272"/>
      <c r="JQ83" s="272"/>
      <c r="JR83" s="272"/>
      <c r="JS83" s="272"/>
      <c r="JT83" s="272"/>
      <c r="JU83" s="272"/>
      <c r="JV83" s="272"/>
      <c r="JW83" s="272"/>
      <c r="JX83" s="272"/>
      <c r="JY83" s="272"/>
      <c r="JZ83" s="272"/>
      <c r="KA83" s="272"/>
      <c r="KB83" s="272"/>
      <c r="KC83" s="272"/>
      <c r="KD83" s="272"/>
      <c r="KE83" s="272"/>
      <c r="KF83" s="272"/>
      <c r="KG83" s="272"/>
      <c r="KH83" s="272"/>
      <c r="KI83" s="272"/>
      <c r="KJ83" s="272"/>
      <c r="KK83" s="272"/>
      <c r="KL83" s="272"/>
      <c r="KM83" s="272"/>
      <c r="KN83" s="272"/>
      <c r="KO83" s="272"/>
      <c r="KP83" s="272"/>
      <c r="KQ83" s="272"/>
      <c r="KR83" s="272"/>
      <c r="KS83" s="272"/>
      <c r="KT83" s="272"/>
      <c r="KU83" s="272"/>
      <c r="KV83" s="272"/>
      <c r="KW83" s="272"/>
      <c r="KX83" s="272"/>
      <c r="KY83" s="272"/>
      <c r="KZ83" s="272"/>
      <c r="LA83" s="272"/>
      <c r="LB83" s="272"/>
      <c r="LC83" s="272"/>
      <c r="LD83" s="272"/>
      <c r="LE83" s="272"/>
      <c r="LF83" s="272"/>
      <c r="LG83" s="272"/>
      <c r="LH83" s="272"/>
      <c r="LI83" s="272"/>
      <c r="LJ83" s="272"/>
      <c r="LK83" s="272"/>
      <c r="LL83" s="272"/>
      <c r="LM83" s="272"/>
      <c r="LN83" s="272"/>
      <c r="LO83" s="272"/>
      <c r="LP83" s="272"/>
      <c r="LQ83" s="272"/>
      <c r="LR83" s="272"/>
      <c r="LS83" s="272"/>
      <c r="LT83" s="272"/>
      <c r="LU83" s="272"/>
      <c r="LV83" s="272"/>
      <c r="LW83" s="272"/>
      <c r="LX83" s="272"/>
      <c r="LY83" s="272"/>
      <c r="LZ83" s="272"/>
      <c r="MA83" s="272"/>
      <c r="MB83" s="272"/>
      <c r="MC83" s="272"/>
      <c r="MD83" s="272"/>
      <c r="ME83" s="272"/>
      <c r="MF83" s="272"/>
      <c r="MG83" s="272"/>
      <c r="MH83" s="272"/>
      <c r="MI83" s="272"/>
      <c r="MJ83" s="272"/>
      <c r="MK83" s="272"/>
      <c r="ML83" s="272"/>
      <c r="MM83" s="272"/>
      <c r="MN83" s="272"/>
      <c r="MO83" s="272"/>
      <c r="MP83" s="272"/>
      <c r="MQ83" s="272"/>
      <c r="MR83" s="272"/>
      <c r="MS83" s="272"/>
      <c r="MT83" s="272"/>
      <c r="MU83" s="272"/>
      <c r="MV83" s="272"/>
      <c r="MW83" s="272"/>
      <c r="MX83" s="272"/>
      <c r="MY83" s="272"/>
      <c r="MZ83" s="272"/>
      <c r="NA83" s="272"/>
      <c r="NB83" s="272"/>
      <c r="NC83" s="272"/>
      <c r="ND83" s="272"/>
      <c r="NE83" s="272"/>
      <c r="NF83" s="272"/>
      <c r="NG83" s="272"/>
      <c r="NH83" s="272"/>
      <c r="NI83" s="272"/>
      <c r="NJ83" s="272"/>
      <c r="NK83" s="272"/>
      <c r="NL83" s="272"/>
      <c r="NM83" s="272"/>
      <c r="NN83" s="272"/>
      <c r="NO83" s="272"/>
      <c r="NP83" s="272"/>
      <c r="NQ83" s="272"/>
      <c r="NR83" s="272"/>
      <c r="NS83" s="272"/>
      <c r="NT83" s="272"/>
      <c r="NU83" s="272"/>
      <c r="NV83" s="272"/>
      <c r="NW83" s="272"/>
      <c r="NX83" s="272"/>
      <c r="NY83" s="272"/>
      <c r="NZ83" s="272"/>
      <c r="OA83" s="272"/>
      <c r="OB83" s="272"/>
      <c r="OC83" s="272"/>
      <c r="OD83" s="272"/>
      <c r="OE83" s="272"/>
      <c r="OF83" s="272"/>
      <c r="OG83" s="272"/>
      <c r="OH83" s="272"/>
      <c r="OI83" s="272"/>
      <c r="OJ83" s="272"/>
      <c r="OK83" s="272"/>
      <c r="OL83" s="272"/>
      <c r="OM83" s="272"/>
      <c r="ON83" s="272"/>
      <c r="OO83" s="272"/>
      <c r="OP83" s="272"/>
      <c r="OQ83" s="272"/>
      <c r="OR83" s="272"/>
      <c r="OS83" s="272"/>
      <c r="OT83" s="272"/>
      <c r="OU83" s="272"/>
      <c r="OV83" s="272"/>
      <c r="OW83" s="272"/>
      <c r="OX83" s="272"/>
      <c r="OY83" s="272"/>
      <c r="OZ83" s="272"/>
      <c r="PA83" s="272"/>
      <c r="PB83" s="272"/>
      <c r="PC83" s="272"/>
      <c r="PD83" s="272"/>
      <c r="PE83" s="272"/>
      <c r="PF83" s="272"/>
      <c r="PG83" s="272"/>
      <c r="PH83" s="272"/>
      <c r="PI83" s="272"/>
      <c r="PJ83" s="272"/>
      <c r="PK83" s="272"/>
      <c r="PL83" s="272"/>
      <c r="PM83" s="272"/>
      <c r="PN83" s="272"/>
      <c r="PO83" s="272"/>
      <c r="PP83" s="272"/>
      <c r="PQ83" s="272"/>
      <c r="PR83" s="272"/>
      <c r="PS83" s="272"/>
      <c r="PT83" s="272"/>
      <c r="PU83" s="272"/>
      <c r="PV83" s="272"/>
      <c r="PW83" s="272"/>
      <c r="PX83" s="272"/>
      <c r="PY83" s="272"/>
      <c r="PZ83" s="272"/>
      <c r="QA83" s="272"/>
      <c r="QB83" s="272"/>
      <c r="QC83" s="272"/>
      <c r="QD83" s="272"/>
      <c r="QE83" s="272"/>
      <c r="QF83" s="272"/>
      <c r="QG83" s="272"/>
      <c r="QH83" s="272"/>
      <c r="QI83" s="272"/>
      <c r="QJ83" s="272"/>
      <c r="QK83" s="272"/>
      <c r="QL83" s="272"/>
      <c r="QM83" s="272"/>
      <c r="QN83" s="272"/>
      <c r="QO83" s="272"/>
      <c r="QP83" s="272"/>
      <c r="QQ83" s="272"/>
      <c r="QR83" s="272"/>
      <c r="QS83" s="272"/>
      <c r="QT83" s="272"/>
      <c r="QU83" s="272"/>
      <c r="QV83" s="272"/>
      <c r="QW83" s="272"/>
      <c r="QX83" s="272"/>
      <c r="QY83" s="272"/>
      <c r="QZ83" s="272"/>
      <c r="RA83" s="272"/>
      <c r="RB83" s="272"/>
      <c r="RC83" s="272"/>
      <c r="RD83" s="272"/>
      <c r="RE83" s="272"/>
      <c r="RF83" s="272"/>
      <c r="RG83" s="272"/>
      <c r="RH83" s="272"/>
      <c r="RI83" s="272"/>
      <c r="RJ83" s="272"/>
      <c r="RK83" s="272"/>
      <c r="RL83" s="272"/>
      <c r="RM83" s="272"/>
      <c r="RN83" s="272"/>
      <c r="RO83" s="272"/>
      <c r="RP83" s="272"/>
      <c r="RQ83" s="272"/>
      <c r="RR83" s="272"/>
      <c r="RS83" s="272"/>
      <c r="RT83" s="272"/>
      <c r="RU83" s="272"/>
      <c r="RV83" s="272"/>
      <c r="RW83" s="272"/>
      <c r="RX83" s="272"/>
      <c r="RY83" s="272"/>
      <c r="RZ83" s="272"/>
      <c r="SA83" s="272"/>
      <c r="SB83" s="272"/>
      <c r="SC83" s="272"/>
      <c r="SD83" s="272"/>
      <c r="SE83" s="272"/>
      <c r="SF83" s="272"/>
      <c r="SG83" s="272"/>
      <c r="SH83" s="272"/>
      <c r="SI83" s="272"/>
      <c r="SJ83" s="272"/>
      <c r="SK83" s="272"/>
      <c r="SL83" s="272"/>
      <c r="SM83" s="272"/>
      <c r="SN83" s="272"/>
      <c r="SO83" s="272"/>
      <c r="SP83" s="272"/>
      <c r="SQ83" s="272"/>
      <c r="SR83" s="272"/>
      <c r="SS83" s="272"/>
      <c r="ST83" s="272"/>
      <c r="SU83" s="272"/>
      <c r="SV83" s="272"/>
      <c r="SW83" s="272"/>
      <c r="SX83" s="272"/>
      <c r="SY83" s="272"/>
      <c r="SZ83" s="272"/>
      <c r="TA83" s="272"/>
      <c r="TB83" s="272"/>
      <c r="TC83" s="272"/>
      <c r="TD83" s="272"/>
      <c r="TE83" s="272"/>
      <c r="TF83" s="272"/>
      <c r="TG83" s="272"/>
      <c r="TH83" s="272"/>
      <c r="TI83" s="272"/>
      <c r="TJ83" s="272"/>
      <c r="TK83" s="272"/>
      <c r="TL83" s="272"/>
      <c r="TM83" s="272"/>
      <c r="TN83" s="272"/>
      <c r="TO83" s="272"/>
      <c r="TP83" s="272"/>
      <c r="TQ83" s="272"/>
      <c r="TR83" s="272"/>
      <c r="TS83" s="272"/>
      <c r="TT83" s="272"/>
      <c r="TU83" s="272"/>
      <c r="TV83" s="272"/>
      <c r="TW83" s="272"/>
      <c r="TX83" s="272"/>
      <c r="TY83" s="272"/>
      <c r="TZ83" s="272"/>
      <c r="UA83" s="272"/>
      <c r="UB83" s="272"/>
      <c r="UC83" s="272"/>
      <c r="UD83" s="272"/>
      <c r="UE83" s="272"/>
      <c r="UF83" s="272"/>
      <c r="UG83" s="272"/>
      <c r="UH83" s="272"/>
      <c r="UI83" s="272"/>
      <c r="UJ83" s="272"/>
      <c r="UK83" s="272"/>
      <c r="UL83" s="272"/>
      <c r="UM83" s="272"/>
      <c r="UN83" s="272"/>
      <c r="UO83" s="272"/>
      <c r="UP83" s="272"/>
      <c r="UQ83" s="272"/>
      <c r="UR83" s="272"/>
      <c r="US83" s="272"/>
      <c r="UT83" s="272"/>
      <c r="UU83" s="272"/>
      <c r="UV83" s="272"/>
      <c r="UW83" s="272"/>
      <c r="UX83" s="272"/>
      <c r="UY83" s="272"/>
      <c r="UZ83" s="272"/>
      <c r="VA83" s="272"/>
      <c r="VB83" s="272"/>
      <c r="VC83" s="272"/>
      <c r="VD83" s="272"/>
      <c r="VE83" s="272"/>
      <c r="VF83" s="272"/>
      <c r="VG83" s="272"/>
      <c r="VH83" s="272"/>
      <c r="VI83" s="272"/>
      <c r="VJ83" s="272"/>
      <c r="VK83" s="272"/>
      <c r="VL83" s="272"/>
      <c r="VM83" s="272"/>
      <c r="VN83" s="272"/>
      <c r="VO83" s="272"/>
      <c r="VP83" s="272"/>
      <c r="VQ83" s="272"/>
      <c r="VR83" s="272"/>
      <c r="VS83" s="272"/>
      <c r="VT83" s="272"/>
      <c r="VU83" s="272"/>
      <c r="VV83" s="272"/>
      <c r="VW83" s="272"/>
      <c r="VX83" s="272"/>
      <c r="VY83" s="272"/>
      <c r="VZ83" s="272"/>
      <c r="WA83" s="272"/>
      <c r="WB83" s="272"/>
      <c r="WC83" s="272"/>
      <c r="WD83" s="272"/>
      <c r="WE83" s="272"/>
      <c r="WF83" s="272"/>
      <c r="WG83" s="272"/>
      <c r="WH83" s="272"/>
      <c r="WI83" s="272"/>
      <c r="WJ83" s="272"/>
      <c r="WK83" s="272"/>
      <c r="WL83" s="272"/>
      <c r="WM83" s="272"/>
      <c r="WN83" s="272"/>
      <c r="WO83" s="272"/>
      <c r="WP83" s="272"/>
      <c r="WQ83" s="272"/>
      <c r="WR83" s="272"/>
      <c r="WS83" s="272"/>
      <c r="WT83" s="272"/>
      <c r="WU83" s="272"/>
      <c r="WV83" s="272"/>
      <c r="WW83" s="272"/>
      <c r="WX83" s="272"/>
      <c r="WY83" s="272"/>
      <c r="WZ83" s="272"/>
      <c r="XA83" s="272"/>
      <c r="XB83" s="272"/>
      <c r="XC83" s="272"/>
      <c r="XD83" s="272"/>
      <c r="XE83" s="272"/>
      <c r="XF83" s="272"/>
      <c r="XG83" s="272"/>
      <c r="XH83" s="272"/>
      <c r="XI83" s="272"/>
      <c r="XJ83" s="272"/>
      <c r="XK83" s="272"/>
      <c r="XL83" s="272"/>
      <c r="XM83" s="272"/>
      <c r="XN83" s="272"/>
      <c r="XO83" s="272"/>
      <c r="XP83" s="272"/>
      <c r="XQ83" s="272"/>
      <c r="XR83" s="272"/>
      <c r="XS83" s="272"/>
      <c r="XT83" s="272"/>
      <c r="XU83" s="272"/>
      <c r="XV83" s="272"/>
      <c r="XW83" s="272"/>
      <c r="XX83" s="272"/>
      <c r="XY83" s="272"/>
      <c r="XZ83" s="272"/>
      <c r="YA83" s="272"/>
      <c r="YB83" s="272"/>
      <c r="YC83" s="272"/>
      <c r="YD83" s="272"/>
      <c r="YE83" s="272"/>
      <c r="YF83" s="272"/>
      <c r="YG83" s="272"/>
      <c r="YH83" s="272"/>
      <c r="YI83" s="272"/>
      <c r="YJ83" s="272"/>
      <c r="YK83" s="272"/>
      <c r="YL83" s="272"/>
      <c r="YM83" s="272"/>
      <c r="YN83" s="272"/>
      <c r="YO83" s="272"/>
      <c r="YP83" s="272"/>
      <c r="YQ83" s="272"/>
      <c r="YR83" s="272"/>
      <c r="YS83" s="272"/>
      <c r="YT83" s="272"/>
      <c r="YU83" s="272"/>
      <c r="YV83" s="272"/>
      <c r="YW83" s="272"/>
      <c r="YX83" s="272"/>
      <c r="YY83" s="272"/>
      <c r="YZ83" s="272"/>
      <c r="ZA83" s="272"/>
      <c r="ZB83" s="272"/>
      <c r="ZC83" s="272"/>
      <c r="ZD83" s="272"/>
      <c r="ZE83" s="272"/>
      <c r="ZF83" s="272"/>
      <c r="ZG83" s="272"/>
      <c r="ZH83" s="272"/>
      <c r="ZI83" s="272"/>
      <c r="ZJ83" s="272"/>
      <c r="ZK83" s="272"/>
      <c r="ZL83" s="272"/>
      <c r="ZM83" s="272"/>
      <c r="ZN83" s="272"/>
      <c r="ZO83" s="272"/>
      <c r="ZP83" s="272"/>
      <c r="ZQ83" s="272"/>
      <c r="ZR83" s="272"/>
      <c r="ZS83" s="272"/>
      <c r="ZT83" s="272"/>
    </row>
    <row r="84" spans="1:696" s="19" customFormat="1" ht="15">
      <c r="A84" s="76"/>
      <c r="B84" s="44"/>
      <c r="C84" s="55" t="s">
        <v>53</v>
      </c>
      <c r="D84" s="55"/>
      <c r="E84" s="57"/>
      <c r="F84" s="57"/>
      <c r="G84" s="263"/>
      <c r="H84" s="263"/>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2"/>
      <c r="CB84" s="272"/>
      <c r="CC84" s="272"/>
      <c r="CD84" s="272"/>
      <c r="CE84" s="272"/>
      <c r="CF84" s="272"/>
      <c r="CG84" s="272"/>
      <c r="CH84" s="272"/>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2"/>
      <c r="DF84" s="272"/>
      <c r="DG84" s="272"/>
      <c r="DH84" s="272"/>
      <c r="DI84" s="272"/>
      <c r="DJ84" s="272"/>
      <c r="DK84" s="272"/>
      <c r="DL84" s="272"/>
      <c r="DM84" s="272"/>
      <c r="DN84" s="272"/>
      <c r="DO84" s="272"/>
      <c r="DP84" s="272"/>
      <c r="DQ84" s="272"/>
      <c r="DR84" s="272"/>
      <c r="DS84" s="272"/>
      <c r="DT84" s="272"/>
      <c r="DU84" s="272"/>
      <c r="DV84" s="272"/>
      <c r="DW84" s="272"/>
      <c r="DX84" s="272"/>
      <c r="DY84" s="272"/>
      <c r="DZ84" s="272"/>
      <c r="EA84" s="272"/>
      <c r="EB84" s="272"/>
      <c r="EC84" s="272"/>
      <c r="ED84" s="272"/>
      <c r="EE84" s="272"/>
      <c r="EF84" s="272"/>
      <c r="EG84" s="272"/>
      <c r="EH84" s="272"/>
      <c r="EI84" s="272"/>
      <c r="EJ84" s="272"/>
      <c r="EK84" s="272"/>
      <c r="EL84" s="272"/>
      <c r="EM84" s="272"/>
      <c r="EN84" s="272"/>
      <c r="EO84" s="272"/>
      <c r="EP84" s="272"/>
      <c r="EQ84" s="272"/>
      <c r="ER84" s="272"/>
      <c r="ES84" s="272"/>
      <c r="ET84" s="272"/>
      <c r="EU84" s="272"/>
      <c r="EV84" s="272"/>
      <c r="EW84" s="272"/>
      <c r="EX84" s="272"/>
      <c r="EY84" s="272"/>
      <c r="EZ84" s="272"/>
      <c r="FA84" s="272"/>
      <c r="FB84" s="272"/>
      <c r="FC84" s="272"/>
      <c r="FD84" s="272"/>
      <c r="FE84" s="272"/>
      <c r="FF84" s="272"/>
      <c r="FG84" s="272"/>
      <c r="FH84" s="272"/>
      <c r="FI84" s="272"/>
      <c r="FJ84" s="272"/>
      <c r="FK84" s="272"/>
      <c r="FL84" s="272"/>
      <c r="FM84" s="272"/>
      <c r="FN84" s="272"/>
      <c r="FO84" s="272"/>
      <c r="FP84" s="272"/>
      <c r="FQ84" s="272"/>
      <c r="FR84" s="272"/>
      <c r="FS84" s="272"/>
      <c r="FT84" s="272"/>
      <c r="FU84" s="272"/>
      <c r="FV84" s="272"/>
      <c r="FW84" s="272"/>
      <c r="FX84" s="272"/>
      <c r="FY84" s="272"/>
      <c r="FZ84" s="272"/>
      <c r="GA84" s="272"/>
      <c r="GB84" s="272"/>
      <c r="GC84" s="272"/>
      <c r="GD84" s="272"/>
      <c r="GE84" s="272"/>
      <c r="GF84" s="272"/>
      <c r="GG84" s="272"/>
      <c r="GH84" s="272"/>
      <c r="GI84" s="272"/>
      <c r="GJ84" s="272"/>
      <c r="GK84" s="272"/>
      <c r="GL84" s="272"/>
      <c r="GM84" s="272"/>
      <c r="GN84" s="272"/>
      <c r="GO84" s="272"/>
      <c r="GP84" s="272"/>
      <c r="GQ84" s="272"/>
      <c r="GR84" s="272"/>
      <c r="GS84" s="272"/>
      <c r="GT84" s="272"/>
      <c r="GU84" s="272"/>
      <c r="GV84" s="272"/>
      <c r="GW84" s="272"/>
      <c r="GX84" s="272"/>
      <c r="GY84" s="272"/>
      <c r="GZ84" s="272"/>
      <c r="HA84" s="272"/>
      <c r="HB84" s="272"/>
      <c r="HC84" s="272"/>
      <c r="HD84" s="272"/>
      <c r="HE84" s="272"/>
      <c r="HF84" s="272"/>
      <c r="HG84" s="272"/>
      <c r="HH84" s="272"/>
      <c r="HI84" s="272"/>
      <c r="HJ84" s="272"/>
      <c r="HK84" s="272"/>
      <c r="HL84" s="272"/>
      <c r="HM84" s="272"/>
      <c r="HN84" s="272"/>
      <c r="HO84" s="272"/>
      <c r="HP84" s="272"/>
      <c r="HQ84" s="272"/>
      <c r="HR84" s="272"/>
      <c r="HS84" s="272"/>
      <c r="HT84" s="272"/>
      <c r="HU84" s="272"/>
      <c r="HV84" s="272"/>
      <c r="HW84" s="272"/>
      <c r="HX84" s="272"/>
      <c r="HY84" s="272"/>
      <c r="HZ84" s="272"/>
      <c r="IA84" s="272"/>
      <c r="IB84" s="272"/>
      <c r="IC84" s="272"/>
      <c r="ID84" s="272"/>
      <c r="IE84" s="272"/>
      <c r="IF84" s="272"/>
      <c r="IG84" s="272"/>
      <c r="IH84" s="272"/>
      <c r="II84" s="272"/>
      <c r="IJ84" s="272"/>
      <c r="IK84" s="272"/>
      <c r="IL84" s="272"/>
      <c r="IM84" s="272"/>
      <c r="IN84" s="272"/>
      <c r="IO84" s="272"/>
      <c r="IP84" s="272"/>
      <c r="IQ84" s="272"/>
      <c r="IR84" s="272"/>
      <c r="IS84" s="272"/>
      <c r="IT84" s="272"/>
      <c r="IU84" s="272"/>
      <c r="IV84" s="272"/>
      <c r="IW84" s="272"/>
      <c r="IX84" s="272"/>
      <c r="IY84" s="272"/>
      <c r="IZ84" s="272"/>
      <c r="JA84" s="272"/>
      <c r="JB84" s="272"/>
      <c r="JC84" s="272"/>
      <c r="JD84" s="272"/>
      <c r="JE84" s="272"/>
      <c r="JF84" s="272"/>
      <c r="JG84" s="272"/>
      <c r="JH84" s="272"/>
      <c r="JI84" s="272"/>
      <c r="JJ84" s="272"/>
      <c r="JK84" s="272"/>
      <c r="JL84" s="272"/>
      <c r="JM84" s="272"/>
      <c r="JN84" s="272"/>
      <c r="JO84" s="272"/>
      <c r="JP84" s="272"/>
      <c r="JQ84" s="272"/>
      <c r="JR84" s="272"/>
      <c r="JS84" s="272"/>
      <c r="JT84" s="272"/>
      <c r="JU84" s="272"/>
      <c r="JV84" s="272"/>
      <c r="JW84" s="272"/>
      <c r="JX84" s="272"/>
      <c r="JY84" s="272"/>
      <c r="JZ84" s="272"/>
      <c r="KA84" s="272"/>
      <c r="KB84" s="272"/>
      <c r="KC84" s="272"/>
      <c r="KD84" s="272"/>
      <c r="KE84" s="272"/>
      <c r="KF84" s="272"/>
      <c r="KG84" s="272"/>
      <c r="KH84" s="272"/>
      <c r="KI84" s="272"/>
      <c r="KJ84" s="272"/>
      <c r="KK84" s="272"/>
      <c r="KL84" s="272"/>
      <c r="KM84" s="272"/>
      <c r="KN84" s="272"/>
      <c r="KO84" s="272"/>
      <c r="KP84" s="272"/>
      <c r="KQ84" s="272"/>
      <c r="KR84" s="272"/>
      <c r="KS84" s="272"/>
      <c r="KT84" s="272"/>
      <c r="KU84" s="272"/>
      <c r="KV84" s="272"/>
      <c r="KW84" s="272"/>
      <c r="KX84" s="272"/>
      <c r="KY84" s="272"/>
      <c r="KZ84" s="272"/>
      <c r="LA84" s="272"/>
      <c r="LB84" s="272"/>
      <c r="LC84" s="272"/>
      <c r="LD84" s="272"/>
      <c r="LE84" s="272"/>
      <c r="LF84" s="272"/>
      <c r="LG84" s="272"/>
      <c r="LH84" s="272"/>
      <c r="LI84" s="272"/>
      <c r="LJ84" s="272"/>
      <c r="LK84" s="272"/>
      <c r="LL84" s="272"/>
      <c r="LM84" s="272"/>
      <c r="LN84" s="272"/>
      <c r="LO84" s="272"/>
      <c r="LP84" s="272"/>
      <c r="LQ84" s="272"/>
      <c r="LR84" s="272"/>
      <c r="LS84" s="272"/>
      <c r="LT84" s="272"/>
      <c r="LU84" s="272"/>
      <c r="LV84" s="272"/>
      <c r="LW84" s="272"/>
      <c r="LX84" s="272"/>
      <c r="LY84" s="272"/>
      <c r="LZ84" s="272"/>
      <c r="MA84" s="272"/>
      <c r="MB84" s="272"/>
      <c r="MC84" s="272"/>
      <c r="MD84" s="272"/>
      <c r="ME84" s="272"/>
      <c r="MF84" s="272"/>
      <c r="MG84" s="272"/>
      <c r="MH84" s="272"/>
      <c r="MI84" s="272"/>
      <c r="MJ84" s="272"/>
      <c r="MK84" s="272"/>
      <c r="ML84" s="272"/>
      <c r="MM84" s="272"/>
      <c r="MN84" s="272"/>
      <c r="MO84" s="272"/>
      <c r="MP84" s="272"/>
      <c r="MQ84" s="272"/>
      <c r="MR84" s="272"/>
      <c r="MS84" s="272"/>
      <c r="MT84" s="272"/>
      <c r="MU84" s="272"/>
      <c r="MV84" s="272"/>
      <c r="MW84" s="272"/>
      <c r="MX84" s="272"/>
      <c r="MY84" s="272"/>
      <c r="MZ84" s="272"/>
      <c r="NA84" s="272"/>
      <c r="NB84" s="272"/>
      <c r="NC84" s="272"/>
      <c r="ND84" s="272"/>
      <c r="NE84" s="272"/>
      <c r="NF84" s="272"/>
      <c r="NG84" s="272"/>
      <c r="NH84" s="272"/>
      <c r="NI84" s="272"/>
      <c r="NJ84" s="272"/>
      <c r="NK84" s="272"/>
      <c r="NL84" s="272"/>
      <c r="NM84" s="272"/>
      <c r="NN84" s="272"/>
      <c r="NO84" s="272"/>
      <c r="NP84" s="272"/>
      <c r="NQ84" s="272"/>
      <c r="NR84" s="272"/>
      <c r="NS84" s="272"/>
      <c r="NT84" s="272"/>
      <c r="NU84" s="272"/>
      <c r="NV84" s="272"/>
      <c r="NW84" s="272"/>
      <c r="NX84" s="272"/>
      <c r="NY84" s="272"/>
      <c r="NZ84" s="272"/>
      <c r="OA84" s="272"/>
      <c r="OB84" s="272"/>
      <c r="OC84" s="272"/>
      <c r="OD84" s="272"/>
      <c r="OE84" s="272"/>
      <c r="OF84" s="272"/>
      <c r="OG84" s="272"/>
      <c r="OH84" s="272"/>
      <c r="OI84" s="272"/>
      <c r="OJ84" s="272"/>
      <c r="OK84" s="272"/>
      <c r="OL84" s="272"/>
      <c r="OM84" s="272"/>
      <c r="ON84" s="272"/>
      <c r="OO84" s="272"/>
      <c r="OP84" s="272"/>
      <c r="OQ84" s="272"/>
      <c r="OR84" s="272"/>
      <c r="OS84" s="272"/>
      <c r="OT84" s="272"/>
      <c r="OU84" s="272"/>
      <c r="OV84" s="272"/>
      <c r="OW84" s="272"/>
      <c r="OX84" s="272"/>
      <c r="OY84" s="272"/>
      <c r="OZ84" s="272"/>
      <c r="PA84" s="272"/>
      <c r="PB84" s="272"/>
      <c r="PC84" s="272"/>
      <c r="PD84" s="272"/>
      <c r="PE84" s="272"/>
      <c r="PF84" s="272"/>
      <c r="PG84" s="272"/>
      <c r="PH84" s="272"/>
      <c r="PI84" s="272"/>
      <c r="PJ84" s="272"/>
      <c r="PK84" s="272"/>
      <c r="PL84" s="272"/>
      <c r="PM84" s="272"/>
      <c r="PN84" s="272"/>
      <c r="PO84" s="272"/>
      <c r="PP84" s="272"/>
      <c r="PQ84" s="272"/>
      <c r="PR84" s="272"/>
      <c r="PS84" s="272"/>
      <c r="PT84" s="272"/>
      <c r="PU84" s="272"/>
      <c r="PV84" s="272"/>
      <c r="PW84" s="272"/>
      <c r="PX84" s="272"/>
      <c r="PY84" s="272"/>
      <c r="PZ84" s="272"/>
      <c r="QA84" s="272"/>
      <c r="QB84" s="272"/>
      <c r="QC84" s="272"/>
      <c r="QD84" s="272"/>
      <c r="QE84" s="272"/>
      <c r="QF84" s="272"/>
      <c r="QG84" s="272"/>
      <c r="QH84" s="272"/>
      <c r="QI84" s="272"/>
      <c r="QJ84" s="272"/>
      <c r="QK84" s="272"/>
      <c r="QL84" s="272"/>
      <c r="QM84" s="272"/>
      <c r="QN84" s="272"/>
      <c r="QO84" s="272"/>
      <c r="QP84" s="272"/>
      <c r="QQ84" s="272"/>
      <c r="QR84" s="272"/>
      <c r="QS84" s="272"/>
      <c r="QT84" s="272"/>
      <c r="QU84" s="272"/>
      <c r="QV84" s="272"/>
      <c r="QW84" s="272"/>
      <c r="QX84" s="272"/>
      <c r="QY84" s="272"/>
      <c r="QZ84" s="272"/>
      <c r="RA84" s="272"/>
      <c r="RB84" s="272"/>
      <c r="RC84" s="272"/>
      <c r="RD84" s="272"/>
      <c r="RE84" s="272"/>
      <c r="RF84" s="272"/>
      <c r="RG84" s="272"/>
      <c r="RH84" s="272"/>
      <c r="RI84" s="272"/>
      <c r="RJ84" s="272"/>
      <c r="RK84" s="272"/>
      <c r="RL84" s="272"/>
      <c r="RM84" s="272"/>
      <c r="RN84" s="272"/>
      <c r="RO84" s="272"/>
      <c r="RP84" s="272"/>
      <c r="RQ84" s="272"/>
      <c r="RR84" s="272"/>
      <c r="RS84" s="272"/>
      <c r="RT84" s="272"/>
      <c r="RU84" s="272"/>
      <c r="RV84" s="272"/>
      <c r="RW84" s="272"/>
      <c r="RX84" s="272"/>
      <c r="RY84" s="272"/>
      <c r="RZ84" s="272"/>
      <c r="SA84" s="272"/>
      <c r="SB84" s="272"/>
      <c r="SC84" s="272"/>
      <c r="SD84" s="272"/>
      <c r="SE84" s="272"/>
      <c r="SF84" s="272"/>
      <c r="SG84" s="272"/>
      <c r="SH84" s="272"/>
      <c r="SI84" s="272"/>
      <c r="SJ84" s="272"/>
      <c r="SK84" s="272"/>
      <c r="SL84" s="272"/>
      <c r="SM84" s="272"/>
      <c r="SN84" s="272"/>
      <c r="SO84" s="272"/>
      <c r="SP84" s="272"/>
      <c r="SQ84" s="272"/>
      <c r="SR84" s="272"/>
      <c r="SS84" s="272"/>
      <c r="ST84" s="272"/>
      <c r="SU84" s="272"/>
      <c r="SV84" s="272"/>
      <c r="SW84" s="272"/>
      <c r="SX84" s="272"/>
      <c r="SY84" s="272"/>
      <c r="SZ84" s="272"/>
      <c r="TA84" s="272"/>
      <c r="TB84" s="272"/>
      <c r="TC84" s="272"/>
      <c r="TD84" s="272"/>
      <c r="TE84" s="272"/>
      <c r="TF84" s="272"/>
      <c r="TG84" s="272"/>
      <c r="TH84" s="272"/>
      <c r="TI84" s="272"/>
      <c r="TJ84" s="272"/>
      <c r="TK84" s="272"/>
      <c r="TL84" s="272"/>
      <c r="TM84" s="272"/>
      <c r="TN84" s="272"/>
      <c r="TO84" s="272"/>
      <c r="TP84" s="272"/>
      <c r="TQ84" s="272"/>
      <c r="TR84" s="272"/>
      <c r="TS84" s="272"/>
      <c r="TT84" s="272"/>
      <c r="TU84" s="272"/>
      <c r="TV84" s="272"/>
      <c r="TW84" s="272"/>
      <c r="TX84" s="272"/>
      <c r="TY84" s="272"/>
      <c r="TZ84" s="272"/>
      <c r="UA84" s="272"/>
      <c r="UB84" s="272"/>
      <c r="UC84" s="272"/>
      <c r="UD84" s="272"/>
      <c r="UE84" s="272"/>
      <c r="UF84" s="272"/>
      <c r="UG84" s="272"/>
      <c r="UH84" s="272"/>
      <c r="UI84" s="272"/>
      <c r="UJ84" s="272"/>
      <c r="UK84" s="272"/>
      <c r="UL84" s="272"/>
      <c r="UM84" s="272"/>
      <c r="UN84" s="272"/>
      <c r="UO84" s="272"/>
      <c r="UP84" s="272"/>
      <c r="UQ84" s="272"/>
      <c r="UR84" s="272"/>
      <c r="US84" s="272"/>
      <c r="UT84" s="272"/>
      <c r="UU84" s="272"/>
      <c r="UV84" s="272"/>
      <c r="UW84" s="272"/>
      <c r="UX84" s="272"/>
      <c r="UY84" s="272"/>
      <c r="UZ84" s="272"/>
      <c r="VA84" s="272"/>
      <c r="VB84" s="272"/>
      <c r="VC84" s="272"/>
      <c r="VD84" s="272"/>
      <c r="VE84" s="272"/>
      <c r="VF84" s="272"/>
      <c r="VG84" s="272"/>
      <c r="VH84" s="272"/>
      <c r="VI84" s="272"/>
      <c r="VJ84" s="272"/>
      <c r="VK84" s="272"/>
      <c r="VL84" s="272"/>
      <c r="VM84" s="272"/>
      <c r="VN84" s="272"/>
      <c r="VO84" s="272"/>
      <c r="VP84" s="272"/>
      <c r="VQ84" s="272"/>
      <c r="VR84" s="272"/>
      <c r="VS84" s="272"/>
      <c r="VT84" s="272"/>
      <c r="VU84" s="272"/>
      <c r="VV84" s="272"/>
      <c r="VW84" s="272"/>
      <c r="VX84" s="272"/>
      <c r="VY84" s="272"/>
      <c r="VZ84" s="272"/>
      <c r="WA84" s="272"/>
      <c r="WB84" s="272"/>
      <c r="WC84" s="272"/>
      <c r="WD84" s="272"/>
      <c r="WE84" s="272"/>
      <c r="WF84" s="272"/>
      <c r="WG84" s="272"/>
      <c r="WH84" s="272"/>
      <c r="WI84" s="272"/>
      <c r="WJ84" s="272"/>
      <c r="WK84" s="272"/>
      <c r="WL84" s="272"/>
      <c r="WM84" s="272"/>
      <c r="WN84" s="272"/>
      <c r="WO84" s="272"/>
      <c r="WP84" s="272"/>
      <c r="WQ84" s="272"/>
      <c r="WR84" s="272"/>
      <c r="WS84" s="272"/>
      <c r="WT84" s="272"/>
      <c r="WU84" s="272"/>
      <c r="WV84" s="272"/>
      <c r="WW84" s="272"/>
      <c r="WX84" s="272"/>
      <c r="WY84" s="272"/>
      <c r="WZ84" s="272"/>
      <c r="XA84" s="272"/>
      <c r="XB84" s="272"/>
      <c r="XC84" s="272"/>
      <c r="XD84" s="272"/>
      <c r="XE84" s="272"/>
      <c r="XF84" s="272"/>
      <c r="XG84" s="272"/>
      <c r="XH84" s="272"/>
      <c r="XI84" s="272"/>
      <c r="XJ84" s="272"/>
      <c r="XK84" s="272"/>
      <c r="XL84" s="272"/>
      <c r="XM84" s="272"/>
      <c r="XN84" s="272"/>
      <c r="XO84" s="272"/>
      <c r="XP84" s="272"/>
      <c r="XQ84" s="272"/>
      <c r="XR84" s="272"/>
      <c r="XS84" s="272"/>
      <c r="XT84" s="272"/>
      <c r="XU84" s="272"/>
      <c r="XV84" s="272"/>
      <c r="XW84" s="272"/>
      <c r="XX84" s="272"/>
      <c r="XY84" s="272"/>
      <c r="XZ84" s="272"/>
      <c r="YA84" s="272"/>
      <c r="YB84" s="272"/>
      <c r="YC84" s="272"/>
      <c r="YD84" s="272"/>
      <c r="YE84" s="272"/>
      <c r="YF84" s="272"/>
      <c r="YG84" s="272"/>
      <c r="YH84" s="272"/>
      <c r="YI84" s="272"/>
      <c r="YJ84" s="272"/>
      <c r="YK84" s="272"/>
      <c r="YL84" s="272"/>
      <c r="YM84" s="272"/>
      <c r="YN84" s="272"/>
      <c r="YO84" s="272"/>
      <c r="YP84" s="272"/>
      <c r="YQ84" s="272"/>
      <c r="YR84" s="272"/>
      <c r="YS84" s="272"/>
      <c r="YT84" s="272"/>
      <c r="YU84" s="272"/>
      <c r="YV84" s="272"/>
      <c r="YW84" s="272"/>
      <c r="YX84" s="272"/>
      <c r="YY84" s="272"/>
      <c r="YZ84" s="272"/>
      <c r="ZA84" s="272"/>
      <c r="ZB84" s="272"/>
      <c r="ZC84" s="272"/>
      <c r="ZD84" s="272"/>
      <c r="ZE84" s="272"/>
      <c r="ZF84" s="272"/>
      <c r="ZG84" s="272"/>
      <c r="ZH84" s="272"/>
      <c r="ZI84" s="272"/>
      <c r="ZJ84" s="272"/>
      <c r="ZK84" s="272"/>
      <c r="ZL84" s="272"/>
      <c r="ZM84" s="272"/>
      <c r="ZN84" s="272"/>
      <c r="ZO84" s="272"/>
      <c r="ZP84" s="272"/>
      <c r="ZQ84" s="272"/>
      <c r="ZR84" s="272"/>
      <c r="ZS84" s="272"/>
      <c r="ZT84" s="272"/>
    </row>
    <row r="85" spans="1:696" s="62" customFormat="1" ht="13.5" thickBot="1">
      <c r="A85" s="77"/>
      <c r="B85" s="73"/>
      <c r="C85" s="58" t="s">
        <v>54</v>
      </c>
      <c r="D85" s="58"/>
      <c r="E85" s="60"/>
      <c r="F85" s="60"/>
      <c r="G85" s="264"/>
      <c r="H85" s="264"/>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c r="BM85" s="272"/>
      <c r="BN85" s="272"/>
      <c r="BO85" s="272"/>
      <c r="BP85" s="272"/>
      <c r="BQ85" s="272"/>
      <c r="BR85" s="272"/>
      <c r="BS85" s="272"/>
      <c r="BT85" s="272"/>
      <c r="BU85" s="272"/>
      <c r="BV85" s="272"/>
      <c r="BW85" s="272"/>
      <c r="BX85" s="272"/>
      <c r="BY85" s="272"/>
      <c r="BZ85" s="272"/>
      <c r="CA85" s="272"/>
      <c r="CB85" s="272"/>
      <c r="CC85" s="272"/>
      <c r="CD85" s="272"/>
      <c r="CE85" s="272"/>
      <c r="CF85" s="272"/>
      <c r="CG85" s="272"/>
      <c r="CH85" s="272"/>
      <c r="CI85" s="272"/>
      <c r="CJ85" s="272"/>
      <c r="CK85" s="272"/>
      <c r="CL85" s="272"/>
      <c r="CM85" s="272"/>
      <c r="CN85" s="272"/>
      <c r="CO85" s="272"/>
      <c r="CP85" s="272"/>
      <c r="CQ85" s="272"/>
      <c r="CR85" s="272"/>
      <c r="CS85" s="272"/>
      <c r="CT85" s="272"/>
      <c r="CU85" s="272"/>
      <c r="CV85" s="272"/>
      <c r="CW85" s="272"/>
      <c r="CX85" s="272"/>
      <c r="CY85" s="272"/>
      <c r="CZ85" s="272"/>
      <c r="DA85" s="272"/>
      <c r="DB85" s="272"/>
      <c r="DC85" s="272"/>
      <c r="DD85" s="272"/>
      <c r="DE85" s="272"/>
      <c r="DF85" s="272"/>
      <c r="DG85" s="272"/>
      <c r="DH85" s="272"/>
      <c r="DI85" s="272"/>
      <c r="DJ85" s="272"/>
      <c r="DK85" s="272"/>
      <c r="DL85" s="272"/>
      <c r="DM85" s="272"/>
      <c r="DN85" s="272"/>
      <c r="DO85" s="272"/>
      <c r="DP85" s="272"/>
      <c r="DQ85" s="272"/>
      <c r="DR85" s="272"/>
      <c r="DS85" s="272"/>
      <c r="DT85" s="272"/>
      <c r="DU85" s="272"/>
      <c r="DV85" s="272"/>
      <c r="DW85" s="272"/>
      <c r="DX85" s="272"/>
      <c r="DY85" s="272"/>
      <c r="DZ85" s="272"/>
      <c r="EA85" s="272"/>
      <c r="EB85" s="272"/>
      <c r="EC85" s="272"/>
      <c r="ED85" s="272"/>
      <c r="EE85" s="272"/>
      <c r="EF85" s="272"/>
      <c r="EG85" s="272"/>
      <c r="EH85" s="272"/>
      <c r="EI85" s="272"/>
      <c r="EJ85" s="272"/>
      <c r="EK85" s="272"/>
      <c r="EL85" s="272"/>
      <c r="EM85" s="272"/>
      <c r="EN85" s="272"/>
      <c r="EO85" s="272"/>
      <c r="EP85" s="272"/>
      <c r="EQ85" s="272"/>
      <c r="ER85" s="272"/>
      <c r="ES85" s="272"/>
      <c r="ET85" s="272"/>
      <c r="EU85" s="272"/>
      <c r="EV85" s="272"/>
      <c r="EW85" s="272"/>
      <c r="EX85" s="272"/>
      <c r="EY85" s="272"/>
      <c r="EZ85" s="272"/>
      <c r="FA85" s="272"/>
      <c r="FB85" s="272"/>
      <c r="FC85" s="272"/>
      <c r="FD85" s="272"/>
      <c r="FE85" s="272"/>
      <c r="FF85" s="272"/>
      <c r="FG85" s="272"/>
      <c r="FH85" s="272"/>
      <c r="FI85" s="272"/>
      <c r="FJ85" s="272"/>
      <c r="FK85" s="272"/>
      <c r="FL85" s="272"/>
      <c r="FM85" s="272"/>
      <c r="FN85" s="272"/>
      <c r="FO85" s="272"/>
      <c r="FP85" s="272"/>
      <c r="FQ85" s="272"/>
      <c r="FR85" s="272"/>
      <c r="FS85" s="272"/>
      <c r="FT85" s="272"/>
      <c r="FU85" s="272"/>
      <c r="FV85" s="272"/>
      <c r="FW85" s="272"/>
      <c r="FX85" s="272"/>
      <c r="FY85" s="272"/>
      <c r="FZ85" s="272"/>
      <c r="GA85" s="272"/>
      <c r="GB85" s="272"/>
      <c r="GC85" s="272"/>
      <c r="GD85" s="272"/>
      <c r="GE85" s="272"/>
      <c r="GF85" s="272"/>
      <c r="GG85" s="272"/>
      <c r="GH85" s="272"/>
      <c r="GI85" s="272"/>
      <c r="GJ85" s="272"/>
      <c r="GK85" s="272"/>
      <c r="GL85" s="272"/>
      <c r="GM85" s="272"/>
      <c r="GN85" s="272"/>
      <c r="GO85" s="272"/>
      <c r="GP85" s="272"/>
      <c r="GQ85" s="272"/>
      <c r="GR85" s="272"/>
      <c r="GS85" s="272"/>
      <c r="GT85" s="272"/>
      <c r="GU85" s="272"/>
      <c r="GV85" s="272"/>
      <c r="GW85" s="272"/>
      <c r="GX85" s="272"/>
      <c r="GY85" s="272"/>
      <c r="GZ85" s="272"/>
      <c r="HA85" s="272"/>
      <c r="HB85" s="272"/>
      <c r="HC85" s="272"/>
      <c r="HD85" s="272"/>
      <c r="HE85" s="272"/>
      <c r="HF85" s="272"/>
      <c r="HG85" s="272"/>
      <c r="HH85" s="272"/>
      <c r="HI85" s="272"/>
      <c r="HJ85" s="272"/>
      <c r="HK85" s="272"/>
      <c r="HL85" s="272"/>
      <c r="HM85" s="272"/>
      <c r="HN85" s="272"/>
      <c r="HO85" s="272"/>
      <c r="HP85" s="272"/>
      <c r="HQ85" s="272"/>
      <c r="HR85" s="272"/>
      <c r="HS85" s="272"/>
      <c r="HT85" s="272"/>
      <c r="HU85" s="272"/>
      <c r="HV85" s="272"/>
      <c r="HW85" s="272"/>
      <c r="HX85" s="272"/>
      <c r="HY85" s="272"/>
      <c r="HZ85" s="272"/>
      <c r="IA85" s="272"/>
      <c r="IB85" s="272"/>
      <c r="IC85" s="272"/>
      <c r="ID85" s="272"/>
      <c r="IE85" s="272"/>
      <c r="IF85" s="272"/>
      <c r="IG85" s="272"/>
      <c r="IH85" s="272"/>
      <c r="II85" s="272"/>
      <c r="IJ85" s="272"/>
      <c r="IK85" s="272"/>
      <c r="IL85" s="272"/>
      <c r="IM85" s="272"/>
      <c r="IN85" s="272"/>
      <c r="IO85" s="272"/>
      <c r="IP85" s="272"/>
      <c r="IQ85" s="272"/>
      <c r="IR85" s="272"/>
      <c r="IS85" s="272"/>
      <c r="IT85" s="272"/>
      <c r="IU85" s="272"/>
      <c r="IV85" s="272"/>
      <c r="IW85" s="272"/>
      <c r="IX85" s="272"/>
      <c r="IY85" s="272"/>
      <c r="IZ85" s="272"/>
      <c r="JA85" s="272"/>
      <c r="JB85" s="272"/>
      <c r="JC85" s="272"/>
      <c r="JD85" s="272"/>
      <c r="JE85" s="272"/>
      <c r="JF85" s="272"/>
      <c r="JG85" s="272"/>
      <c r="JH85" s="272"/>
      <c r="JI85" s="272"/>
      <c r="JJ85" s="272"/>
      <c r="JK85" s="272"/>
      <c r="JL85" s="272"/>
      <c r="JM85" s="272"/>
      <c r="JN85" s="272"/>
      <c r="JO85" s="272"/>
      <c r="JP85" s="272"/>
      <c r="JQ85" s="272"/>
      <c r="JR85" s="272"/>
      <c r="JS85" s="272"/>
      <c r="JT85" s="272"/>
      <c r="JU85" s="272"/>
      <c r="JV85" s="272"/>
      <c r="JW85" s="272"/>
      <c r="JX85" s="272"/>
      <c r="JY85" s="272"/>
      <c r="JZ85" s="272"/>
      <c r="KA85" s="272"/>
      <c r="KB85" s="272"/>
      <c r="KC85" s="272"/>
      <c r="KD85" s="272"/>
      <c r="KE85" s="272"/>
      <c r="KF85" s="272"/>
      <c r="KG85" s="272"/>
      <c r="KH85" s="272"/>
      <c r="KI85" s="272"/>
      <c r="KJ85" s="272"/>
      <c r="KK85" s="272"/>
      <c r="KL85" s="272"/>
      <c r="KM85" s="272"/>
      <c r="KN85" s="272"/>
      <c r="KO85" s="272"/>
      <c r="KP85" s="272"/>
      <c r="KQ85" s="272"/>
      <c r="KR85" s="272"/>
      <c r="KS85" s="272"/>
      <c r="KT85" s="272"/>
      <c r="KU85" s="272"/>
      <c r="KV85" s="272"/>
      <c r="KW85" s="272"/>
      <c r="KX85" s="272"/>
      <c r="KY85" s="272"/>
      <c r="KZ85" s="272"/>
      <c r="LA85" s="272"/>
      <c r="LB85" s="272"/>
      <c r="LC85" s="272"/>
      <c r="LD85" s="272"/>
      <c r="LE85" s="272"/>
      <c r="LF85" s="272"/>
      <c r="LG85" s="272"/>
      <c r="LH85" s="272"/>
      <c r="LI85" s="272"/>
      <c r="LJ85" s="272"/>
      <c r="LK85" s="272"/>
      <c r="LL85" s="272"/>
      <c r="LM85" s="272"/>
      <c r="LN85" s="272"/>
      <c r="LO85" s="272"/>
      <c r="LP85" s="272"/>
      <c r="LQ85" s="272"/>
      <c r="LR85" s="272"/>
      <c r="LS85" s="272"/>
      <c r="LT85" s="272"/>
      <c r="LU85" s="272"/>
      <c r="LV85" s="272"/>
      <c r="LW85" s="272"/>
      <c r="LX85" s="272"/>
      <c r="LY85" s="272"/>
      <c r="LZ85" s="272"/>
      <c r="MA85" s="272"/>
      <c r="MB85" s="272"/>
      <c r="MC85" s="272"/>
      <c r="MD85" s="272"/>
      <c r="ME85" s="272"/>
      <c r="MF85" s="272"/>
      <c r="MG85" s="272"/>
      <c r="MH85" s="272"/>
      <c r="MI85" s="272"/>
      <c r="MJ85" s="272"/>
      <c r="MK85" s="272"/>
      <c r="ML85" s="272"/>
      <c r="MM85" s="272"/>
      <c r="MN85" s="272"/>
      <c r="MO85" s="272"/>
      <c r="MP85" s="272"/>
      <c r="MQ85" s="272"/>
      <c r="MR85" s="272"/>
      <c r="MS85" s="272"/>
      <c r="MT85" s="272"/>
      <c r="MU85" s="272"/>
      <c r="MV85" s="272"/>
      <c r="MW85" s="272"/>
      <c r="MX85" s="272"/>
      <c r="MY85" s="272"/>
      <c r="MZ85" s="272"/>
      <c r="NA85" s="272"/>
      <c r="NB85" s="272"/>
      <c r="NC85" s="272"/>
      <c r="ND85" s="272"/>
      <c r="NE85" s="272"/>
      <c r="NF85" s="272"/>
      <c r="NG85" s="272"/>
      <c r="NH85" s="272"/>
      <c r="NI85" s="272"/>
      <c r="NJ85" s="272"/>
      <c r="NK85" s="272"/>
      <c r="NL85" s="272"/>
      <c r="NM85" s="272"/>
      <c r="NN85" s="272"/>
      <c r="NO85" s="272"/>
      <c r="NP85" s="272"/>
      <c r="NQ85" s="272"/>
      <c r="NR85" s="272"/>
      <c r="NS85" s="272"/>
      <c r="NT85" s="272"/>
      <c r="NU85" s="272"/>
      <c r="NV85" s="272"/>
      <c r="NW85" s="272"/>
      <c r="NX85" s="272"/>
      <c r="NY85" s="272"/>
      <c r="NZ85" s="272"/>
      <c r="OA85" s="272"/>
      <c r="OB85" s="272"/>
      <c r="OC85" s="272"/>
      <c r="OD85" s="272"/>
      <c r="OE85" s="272"/>
      <c r="OF85" s="272"/>
      <c r="OG85" s="272"/>
      <c r="OH85" s="272"/>
      <c r="OI85" s="272"/>
      <c r="OJ85" s="272"/>
      <c r="OK85" s="272"/>
      <c r="OL85" s="272"/>
      <c r="OM85" s="272"/>
      <c r="ON85" s="272"/>
      <c r="OO85" s="272"/>
      <c r="OP85" s="272"/>
      <c r="OQ85" s="272"/>
      <c r="OR85" s="272"/>
      <c r="OS85" s="272"/>
      <c r="OT85" s="272"/>
      <c r="OU85" s="272"/>
      <c r="OV85" s="272"/>
      <c r="OW85" s="272"/>
      <c r="OX85" s="272"/>
      <c r="OY85" s="272"/>
      <c r="OZ85" s="272"/>
      <c r="PA85" s="272"/>
      <c r="PB85" s="272"/>
      <c r="PC85" s="272"/>
      <c r="PD85" s="272"/>
      <c r="PE85" s="272"/>
      <c r="PF85" s="272"/>
      <c r="PG85" s="272"/>
      <c r="PH85" s="272"/>
      <c r="PI85" s="272"/>
      <c r="PJ85" s="272"/>
      <c r="PK85" s="272"/>
      <c r="PL85" s="272"/>
      <c r="PM85" s="272"/>
      <c r="PN85" s="272"/>
      <c r="PO85" s="272"/>
      <c r="PP85" s="272"/>
      <c r="PQ85" s="272"/>
      <c r="PR85" s="272"/>
      <c r="PS85" s="272"/>
      <c r="PT85" s="272"/>
      <c r="PU85" s="272"/>
      <c r="PV85" s="272"/>
      <c r="PW85" s="272"/>
      <c r="PX85" s="272"/>
      <c r="PY85" s="272"/>
      <c r="PZ85" s="272"/>
      <c r="QA85" s="272"/>
      <c r="QB85" s="272"/>
      <c r="QC85" s="272"/>
      <c r="QD85" s="272"/>
      <c r="QE85" s="272"/>
      <c r="QF85" s="272"/>
      <c r="QG85" s="272"/>
      <c r="QH85" s="272"/>
      <c r="QI85" s="272"/>
      <c r="QJ85" s="272"/>
      <c r="QK85" s="272"/>
      <c r="QL85" s="272"/>
      <c r="QM85" s="272"/>
      <c r="QN85" s="272"/>
      <c r="QO85" s="272"/>
      <c r="QP85" s="272"/>
      <c r="QQ85" s="272"/>
      <c r="QR85" s="272"/>
      <c r="QS85" s="272"/>
      <c r="QT85" s="272"/>
      <c r="QU85" s="272"/>
      <c r="QV85" s="272"/>
      <c r="QW85" s="272"/>
      <c r="QX85" s="272"/>
      <c r="QY85" s="272"/>
      <c r="QZ85" s="272"/>
      <c r="RA85" s="272"/>
      <c r="RB85" s="272"/>
      <c r="RC85" s="272"/>
      <c r="RD85" s="272"/>
      <c r="RE85" s="272"/>
      <c r="RF85" s="272"/>
      <c r="RG85" s="272"/>
      <c r="RH85" s="272"/>
      <c r="RI85" s="272"/>
      <c r="RJ85" s="272"/>
      <c r="RK85" s="272"/>
      <c r="RL85" s="272"/>
      <c r="RM85" s="272"/>
      <c r="RN85" s="272"/>
      <c r="RO85" s="272"/>
      <c r="RP85" s="272"/>
      <c r="RQ85" s="272"/>
      <c r="RR85" s="272"/>
      <c r="RS85" s="272"/>
      <c r="RT85" s="272"/>
      <c r="RU85" s="272"/>
      <c r="RV85" s="272"/>
      <c r="RW85" s="272"/>
      <c r="RX85" s="272"/>
      <c r="RY85" s="272"/>
      <c r="RZ85" s="272"/>
      <c r="SA85" s="272"/>
      <c r="SB85" s="272"/>
      <c r="SC85" s="272"/>
      <c r="SD85" s="272"/>
      <c r="SE85" s="272"/>
      <c r="SF85" s="272"/>
      <c r="SG85" s="272"/>
      <c r="SH85" s="272"/>
      <c r="SI85" s="272"/>
      <c r="SJ85" s="272"/>
      <c r="SK85" s="272"/>
      <c r="SL85" s="272"/>
      <c r="SM85" s="272"/>
      <c r="SN85" s="272"/>
      <c r="SO85" s="272"/>
      <c r="SP85" s="272"/>
      <c r="SQ85" s="272"/>
      <c r="SR85" s="272"/>
      <c r="SS85" s="272"/>
      <c r="ST85" s="272"/>
      <c r="SU85" s="272"/>
      <c r="SV85" s="272"/>
      <c r="SW85" s="272"/>
      <c r="SX85" s="272"/>
      <c r="SY85" s="272"/>
      <c r="SZ85" s="272"/>
      <c r="TA85" s="272"/>
      <c r="TB85" s="272"/>
      <c r="TC85" s="272"/>
      <c r="TD85" s="272"/>
      <c r="TE85" s="272"/>
      <c r="TF85" s="272"/>
      <c r="TG85" s="272"/>
      <c r="TH85" s="272"/>
      <c r="TI85" s="272"/>
      <c r="TJ85" s="272"/>
      <c r="TK85" s="272"/>
      <c r="TL85" s="272"/>
      <c r="TM85" s="272"/>
      <c r="TN85" s="272"/>
      <c r="TO85" s="272"/>
      <c r="TP85" s="272"/>
      <c r="TQ85" s="272"/>
      <c r="TR85" s="272"/>
      <c r="TS85" s="272"/>
      <c r="TT85" s="272"/>
      <c r="TU85" s="272"/>
      <c r="TV85" s="272"/>
      <c r="TW85" s="272"/>
      <c r="TX85" s="272"/>
      <c r="TY85" s="272"/>
      <c r="TZ85" s="272"/>
      <c r="UA85" s="272"/>
      <c r="UB85" s="272"/>
      <c r="UC85" s="272"/>
      <c r="UD85" s="272"/>
      <c r="UE85" s="272"/>
      <c r="UF85" s="272"/>
      <c r="UG85" s="272"/>
      <c r="UH85" s="272"/>
      <c r="UI85" s="272"/>
      <c r="UJ85" s="272"/>
      <c r="UK85" s="272"/>
      <c r="UL85" s="272"/>
      <c r="UM85" s="272"/>
      <c r="UN85" s="272"/>
      <c r="UO85" s="272"/>
      <c r="UP85" s="272"/>
      <c r="UQ85" s="272"/>
      <c r="UR85" s="272"/>
      <c r="US85" s="272"/>
      <c r="UT85" s="272"/>
      <c r="UU85" s="272"/>
      <c r="UV85" s="272"/>
      <c r="UW85" s="272"/>
      <c r="UX85" s="272"/>
      <c r="UY85" s="272"/>
      <c r="UZ85" s="272"/>
      <c r="VA85" s="272"/>
      <c r="VB85" s="272"/>
      <c r="VC85" s="272"/>
      <c r="VD85" s="272"/>
      <c r="VE85" s="272"/>
      <c r="VF85" s="272"/>
      <c r="VG85" s="272"/>
      <c r="VH85" s="272"/>
      <c r="VI85" s="272"/>
      <c r="VJ85" s="272"/>
      <c r="VK85" s="272"/>
      <c r="VL85" s="272"/>
      <c r="VM85" s="272"/>
      <c r="VN85" s="272"/>
      <c r="VO85" s="272"/>
      <c r="VP85" s="272"/>
      <c r="VQ85" s="272"/>
      <c r="VR85" s="272"/>
      <c r="VS85" s="272"/>
      <c r="VT85" s="272"/>
      <c r="VU85" s="272"/>
      <c r="VV85" s="272"/>
      <c r="VW85" s="272"/>
      <c r="VX85" s="272"/>
      <c r="VY85" s="272"/>
      <c r="VZ85" s="272"/>
      <c r="WA85" s="272"/>
      <c r="WB85" s="272"/>
      <c r="WC85" s="272"/>
      <c r="WD85" s="272"/>
      <c r="WE85" s="272"/>
      <c r="WF85" s="272"/>
      <c r="WG85" s="272"/>
      <c r="WH85" s="272"/>
      <c r="WI85" s="272"/>
      <c r="WJ85" s="272"/>
      <c r="WK85" s="272"/>
      <c r="WL85" s="272"/>
      <c r="WM85" s="272"/>
      <c r="WN85" s="272"/>
      <c r="WO85" s="272"/>
      <c r="WP85" s="272"/>
      <c r="WQ85" s="272"/>
      <c r="WR85" s="272"/>
      <c r="WS85" s="272"/>
      <c r="WT85" s="272"/>
      <c r="WU85" s="272"/>
      <c r="WV85" s="272"/>
      <c r="WW85" s="272"/>
      <c r="WX85" s="272"/>
      <c r="WY85" s="272"/>
      <c r="WZ85" s="272"/>
      <c r="XA85" s="272"/>
      <c r="XB85" s="272"/>
      <c r="XC85" s="272"/>
      <c r="XD85" s="272"/>
      <c r="XE85" s="272"/>
      <c r="XF85" s="272"/>
      <c r="XG85" s="272"/>
      <c r="XH85" s="272"/>
      <c r="XI85" s="272"/>
      <c r="XJ85" s="272"/>
      <c r="XK85" s="272"/>
      <c r="XL85" s="272"/>
      <c r="XM85" s="272"/>
      <c r="XN85" s="272"/>
      <c r="XO85" s="272"/>
      <c r="XP85" s="272"/>
      <c r="XQ85" s="272"/>
      <c r="XR85" s="272"/>
      <c r="XS85" s="272"/>
      <c r="XT85" s="272"/>
      <c r="XU85" s="272"/>
      <c r="XV85" s="272"/>
      <c r="XW85" s="272"/>
      <c r="XX85" s="272"/>
      <c r="XY85" s="272"/>
      <c r="XZ85" s="272"/>
      <c r="YA85" s="272"/>
      <c r="YB85" s="272"/>
      <c r="YC85" s="272"/>
      <c r="YD85" s="272"/>
      <c r="YE85" s="272"/>
      <c r="YF85" s="272"/>
      <c r="YG85" s="272"/>
      <c r="YH85" s="272"/>
      <c r="YI85" s="272"/>
      <c r="YJ85" s="272"/>
      <c r="YK85" s="272"/>
      <c r="YL85" s="272"/>
      <c r="YM85" s="272"/>
      <c r="YN85" s="272"/>
      <c r="YO85" s="272"/>
      <c r="YP85" s="272"/>
      <c r="YQ85" s="272"/>
      <c r="YR85" s="272"/>
      <c r="YS85" s="272"/>
      <c r="YT85" s="272"/>
      <c r="YU85" s="272"/>
      <c r="YV85" s="272"/>
      <c r="YW85" s="272"/>
      <c r="YX85" s="272"/>
      <c r="YY85" s="272"/>
      <c r="YZ85" s="272"/>
      <c r="ZA85" s="272"/>
      <c r="ZB85" s="272"/>
      <c r="ZC85" s="272"/>
      <c r="ZD85" s="272"/>
      <c r="ZE85" s="272"/>
      <c r="ZF85" s="272"/>
      <c r="ZG85" s="272"/>
      <c r="ZH85" s="272"/>
      <c r="ZI85" s="272"/>
      <c r="ZJ85" s="272"/>
      <c r="ZK85" s="272"/>
      <c r="ZL85" s="272"/>
      <c r="ZM85" s="272"/>
      <c r="ZN85" s="272"/>
      <c r="ZO85" s="272"/>
      <c r="ZP85" s="272"/>
      <c r="ZQ85" s="272"/>
      <c r="ZR85" s="272"/>
      <c r="ZS85" s="272"/>
      <c r="ZT85" s="272"/>
    </row>
    <row r="86" spans="1:696" s="61" customFormat="1" ht="76.5">
      <c r="A86" s="69" t="s">
        <v>13</v>
      </c>
      <c r="B86" s="70" t="s">
        <v>33</v>
      </c>
      <c r="C86" s="30" t="s">
        <v>52</v>
      </c>
      <c r="D86" s="501"/>
      <c r="E86" s="543"/>
      <c r="F86" s="502"/>
      <c r="G86" s="503"/>
      <c r="H86" s="503"/>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c r="BP86" s="272"/>
      <c r="BQ86" s="272"/>
      <c r="BR86" s="272"/>
      <c r="BS86" s="272"/>
      <c r="BT86" s="272"/>
      <c r="BU86" s="272"/>
      <c r="BV86" s="272"/>
      <c r="BW86" s="272"/>
      <c r="BX86" s="272"/>
      <c r="BY86" s="272"/>
      <c r="BZ86" s="272"/>
      <c r="CA86" s="272"/>
      <c r="CB86" s="272"/>
      <c r="CC86" s="272"/>
      <c r="CD86" s="272"/>
      <c r="CE86" s="272"/>
      <c r="CF86" s="272"/>
      <c r="CG86" s="272"/>
      <c r="CH86" s="272"/>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2"/>
      <c r="DF86" s="272"/>
      <c r="DG86" s="272"/>
      <c r="DH86" s="272"/>
      <c r="DI86" s="272"/>
      <c r="DJ86" s="272"/>
      <c r="DK86" s="272"/>
      <c r="DL86" s="272"/>
      <c r="DM86" s="272"/>
      <c r="DN86" s="272"/>
      <c r="DO86" s="272"/>
      <c r="DP86" s="272"/>
      <c r="DQ86" s="272"/>
      <c r="DR86" s="272"/>
      <c r="DS86" s="272"/>
      <c r="DT86" s="272"/>
      <c r="DU86" s="272"/>
      <c r="DV86" s="272"/>
      <c r="DW86" s="272"/>
      <c r="DX86" s="272"/>
      <c r="DY86" s="272"/>
      <c r="DZ86" s="272"/>
      <c r="EA86" s="272"/>
      <c r="EB86" s="272"/>
      <c r="EC86" s="272"/>
      <c r="ED86" s="272"/>
      <c r="EE86" s="272"/>
      <c r="EF86" s="272"/>
      <c r="EG86" s="272"/>
      <c r="EH86" s="272"/>
      <c r="EI86" s="272"/>
      <c r="EJ86" s="272"/>
      <c r="EK86" s="272"/>
      <c r="EL86" s="272"/>
      <c r="EM86" s="272"/>
      <c r="EN86" s="272"/>
      <c r="EO86" s="272"/>
      <c r="EP86" s="272"/>
      <c r="EQ86" s="272"/>
      <c r="ER86" s="272"/>
      <c r="ES86" s="272"/>
      <c r="ET86" s="272"/>
      <c r="EU86" s="272"/>
      <c r="EV86" s="272"/>
      <c r="EW86" s="272"/>
      <c r="EX86" s="272"/>
      <c r="EY86" s="272"/>
      <c r="EZ86" s="272"/>
      <c r="FA86" s="272"/>
      <c r="FB86" s="272"/>
      <c r="FC86" s="272"/>
      <c r="FD86" s="272"/>
      <c r="FE86" s="272"/>
      <c r="FF86" s="272"/>
      <c r="FG86" s="272"/>
      <c r="FH86" s="272"/>
      <c r="FI86" s="272"/>
      <c r="FJ86" s="272"/>
      <c r="FK86" s="272"/>
      <c r="FL86" s="272"/>
      <c r="FM86" s="272"/>
      <c r="FN86" s="272"/>
      <c r="FO86" s="272"/>
      <c r="FP86" s="272"/>
      <c r="FQ86" s="272"/>
      <c r="FR86" s="272"/>
      <c r="FS86" s="272"/>
      <c r="FT86" s="272"/>
      <c r="FU86" s="272"/>
      <c r="FV86" s="272"/>
      <c r="FW86" s="272"/>
      <c r="FX86" s="272"/>
      <c r="FY86" s="272"/>
      <c r="FZ86" s="272"/>
      <c r="GA86" s="272"/>
      <c r="GB86" s="272"/>
      <c r="GC86" s="272"/>
      <c r="GD86" s="272"/>
      <c r="GE86" s="272"/>
      <c r="GF86" s="272"/>
      <c r="GG86" s="272"/>
      <c r="GH86" s="272"/>
      <c r="GI86" s="272"/>
      <c r="GJ86" s="272"/>
      <c r="GK86" s="272"/>
      <c r="GL86" s="272"/>
      <c r="GM86" s="272"/>
      <c r="GN86" s="272"/>
      <c r="GO86" s="272"/>
      <c r="GP86" s="272"/>
      <c r="GQ86" s="272"/>
      <c r="GR86" s="272"/>
      <c r="GS86" s="272"/>
      <c r="GT86" s="272"/>
      <c r="GU86" s="272"/>
      <c r="GV86" s="272"/>
      <c r="GW86" s="272"/>
      <c r="GX86" s="272"/>
      <c r="GY86" s="272"/>
      <c r="GZ86" s="272"/>
      <c r="HA86" s="272"/>
      <c r="HB86" s="272"/>
      <c r="HC86" s="272"/>
      <c r="HD86" s="272"/>
      <c r="HE86" s="272"/>
      <c r="HF86" s="272"/>
      <c r="HG86" s="272"/>
      <c r="HH86" s="272"/>
      <c r="HI86" s="272"/>
      <c r="HJ86" s="272"/>
      <c r="HK86" s="272"/>
      <c r="HL86" s="272"/>
      <c r="HM86" s="272"/>
      <c r="HN86" s="272"/>
      <c r="HO86" s="272"/>
      <c r="HP86" s="272"/>
      <c r="HQ86" s="272"/>
      <c r="HR86" s="272"/>
      <c r="HS86" s="272"/>
      <c r="HT86" s="272"/>
      <c r="HU86" s="272"/>
      <c r="HV86" s="272"/>
      <c r="HW86" s="272"/>
      <c r="HX86" s="272"/>
      <c r="HY86" s="272"/>
      <c r="HZ86" s="272"/>
      <c r="IA86" s="272"/>
      <c r="IB86" s="272"/>
      <c r="IC86" s="272"/>
      <c r="ID86" s="272"/>
      <c r="IE86" s="272"/>
      <c r="IF86" s="272"/>
      <c r="IG86" s="272"/>
      <c r="IH86" s="272"/>
      <c r="II86" s="272"/>
      <c r="IJ86" s="272"/>
      <c r="IK86" s="272"/>
      <c r="IL86" s="272"/>
      <c r="IM86" s="272"/>
      <c r="IN86" s="272"/>
      <c r="IO86" s="272"/>
      <c r="IP86" s="272"/>
      <c r="IQ86" s="272"/>
      <c r="IR86" s="272"/>
      <c r="IS86" s="272"/>
      <c r="IT86" s="272"/>
      <c r="IU86" s="272"/>
      <c r="IV86" s="272"/>
      <c r="IW86" s="272"/>
      <c r="IX86" s="272"/>
      <c r="IY86" s="272"/>
      <c r="IZ86" s="272"/>
      <c r="JA86" s="272"/>
      <c r="JB86" s="272"/>
      <c r="JC86" s="272"/>
      <c r="JD86" s="272"/>
      <c r="JE86" s="272"/>
      <c r="JF86" s="272"/>
      <c r="JG86" s="272"/>
      <c r="JH86" s="272"/>
      <c r="JI86" s="272"/>
      <c r="JJ86" s="272"/>
      <c r="JK86" s="272"/>
      <c r="JL86" s="272"/>
      <c r="JM86" s="272"/>
      <c r="JN86" s="272"/>
      <c r="JO86" s="272"/>
      <c r="JP86" s="272"/>
      <c r="JQ86" s="272"/>
      <c r="JR86" s="272"/>
      <c r="JS86" s="272"/>
      <c r="JT86" s="272"/>
      <c r="JU86" s="272"/>
      <c r="JV86" s="272"/>
      <c r="JW86" s="272"/>
      <c r="JX86" s="272"/>
      <c r="JY86" s="272"/>
      <c r="JZ86" s="272"/>
      <c r="KA86" s="272"/>
      <c r="KB86" s="272"/>
      <c r="KC86" s="272"/>
      <c r="KD86" s="272"/>
      <c r="KE86" s="272"/>
      <c r="KF86" s="272"/>
      <c r="KG86" s="272"/>
      <c r="KH86" s="272"/>
      <c r="KI86" s="272"/>
      <c r="KJ86" s="272"/>
      <c r="KK86" s="272"/>
      <c r="KL86" s="272"/>
      <c r="KM86" s="272"/>
      <c r="KN86" s="272"/>
      <c r="KO86" s="272"/>
      <c r="KP86" s="272"/>
      <c r="KQ86" s="272"/>
      <c r="KR86" s="272"/>
      <c r="KS86" s="272"/>
      <c r="KT86" s="272"/>
      <c r="KU86" s="272"/>
      <c r="KV86" s="272"/>
      <c r="KW86" s="272"/>
      <c r="KX86" s="272"/>
      <c r="KY86" s="272"/>
      <c r="KZ86" s="272"/>
      <c r="LA86" s="272"/>
      <c r="LB86" s="272"/>
      <c r="LC86" s="272"/>
      <c r="LD86" s="272"/>
      <c r="LE86" s="272"/>
      <c r="LF86" s="272"/>
      <c r="LG86" s="272"/>
      <c r="LH86" s="272"/>
      <c r="LI86" s="272"/>
      <c r="LJ86" s="272"/>
      <c r="LK86" s="272"/>
      <c r="LL86" s="272"/>
      <c r="LM86" s="272"/>
      <c r="LN86" s="272"/>
      <c r="LO86" s="272"/>
      <c r="LP86" s="272"/>
      <c r="LQ86" s="272"/>
      <c r="LR86" s="272"/>
      <c r="LS86" s="272"/>
      <c r="LT86" s="272"/>
      <c r="LU86" s="272"/>
      <c r="LV86" s="272"/>
      <c r="LW86" s="272"/>
      <c r="LX86" s="272"/>
      <c r="LY86" s="272"/>
      <c r="LZ86" s="272"/>
      <c r="MA86" s="272"/>
      <c r="MB86" s="272"/>
      <c r="MC86" s="272"/>
      <c r="MD86" s="272"/>
      <c r="ME86" s="272"/>
      <c r="MF86" s="272"/>
      <c r="MG86" s="272"/>
      <c r="MH86" s="272"/>
      <c r="MI86" s="272"/>
      <c r="MJ86" s="272"/>
      <c r="MK86" s="272"/>
      <c r="ML86" s="272"/>
      <c r="MM86" s="272"/>
      <c r="MN86" s="272"/>
      <c r="MO86" s="272"/>
      <c r="MP86" s="272"/>
      <c r="MQ86" s="272"/>
      <c r="MR86" s="272"/>
      <c r="MS86" s="272"/>
      <c r="MT86" s="272"/>
      <c r="MU86" s="272"/>
      <c r="MV86" s="272"/>
      <c r="MW86" s="272"/>
      <c r="MX86" s="272"/>
      <c r="MY86" s="272"/>
      <c r="MZ86" s="272"/>
      <c r="NA86" s="272"/>
      <c r="NB86" s="272"/>
      <c r="NC86" s="272"/>
      <c r="ND86" s="272"/>
      <c r="NE86" s="272"/>
      <c r="NF86" s="272"/>
      <c r="NG86" s="272"/>
      <c r="NH86" s="272"/>
      <c r="NI86" s="272"/>
      <c r="NJ86" s="272"/>
      <c r="NK86" s="272"/>
      <c r="NL86" s="272"/>
      <c r="NM86" s="272"/>
      <c r="NN86" s="272"/>
      <c r="NO86" s="272"/>
      <c r="NP86" s="272"/>
      <c r="NQ86" s="272"/>
      <c r="NR86" s="272"/>
      <c r="NS86" s="272"/>
      <c r="NT86" s="272"/>
      <c r="NU86" s="272"/>
      <c r="NV86" s="272"/>
      <c r="NW86" s="272"/>
      <c r="NX86" s="272"/>
      <c r="NY86" s="272"/>
      <c r="NZ86" s="272"/>
      <c r="OA86" s="272"/>
      <c r="OB86" s="272"/>
      <c r="OC86" s="272"/>
      <c r="OD86" s="272"/>
      <c r="OE86" s="272"/>
      <c r="OF86" s="272"/>
      <c r="OG86" s="272"/>
      <c r="OH86" s="272"/>
      <c r="OI86" s="272"/>
      <c r="OJ86" s="272"/>
      <c r="OK86" s="272"/>
      <c r="OL86" s="272"/>
      <c r="OM86" s="272"/>
      <c r="ON86" s="272"/>
      <c r="OO86" s="272"/>
      <c r="OP86" s="272"/>
      <c r="OQ86" s="272"/>
      <c r="OR86" s="272"/>
      <c r="OS86" s="272"/>
      <c r="OT86" s="272"/>
      <c r="OU86" s="272"/>
      <c r="OV86" s="272"/>
      <c r="OW86" s="272"/>
      <c r="OX86" s="272"/>
      <c r="OY86" s="272"/>
      <c r="OZ86" s="272"/>
      <c r="PA86" s="272"/>
      <c r="PB86" s="272"/>
      <c r="PC86" s="272"/>
      <c r="PD86" s="272"/>
      <c r="PE86" s="272"/>
      <c r="PF86" s="272"/>
      <c r="PG86" s="272"/>
      <c r="PH86" s="272"/>
      <c r="PI86" s="272"/>
      <c r="PJ86" s="272"/>
      <c r="PK86" s="272"/>
      <c r="PL86" s="272"/>
      <c r="PM86" s="272"/>
      <c r="PN86" s="272"/>
      <c r="PO86" s="272"/>
      <c r="PP86" s="272"/>
      <c r="PQ86" s="272"/>
      <c r="PR86" s="272"/>
      <c r="PS86" s="272"/>
      <c r="PT86" s="272"/>
      <c r="PU86" s="272"/>
      <c r="PV86" s="272"/>
      <c r="PW86" s="272"/>
      <c r="PX86" s="272"/>
      <c r="PY86" s="272"/>
      <c r="PZ86" s="272"/>
      <c r="QA86" s="272"/>
      <c r="QB86" s="272"/>
      <c r="QC86" s="272"/>
      <c r="QD86" s="272"/>
      <c r="QE86" s="272"/>
      <c r="QF86" s="272"/>
      <c r="QG86" s="272"/>
      <c r="QH86" s="272"/>
      <c r="QI86" s="272"/>
      <c r="QJ86" s="272"/>
      <c r="QK86" s="272"/>
      <c r="QL86" s="272"/>
      <c r="QM86" s="272"/>
      <c r="QN86" s="272"/>
      <c r="QO86" s="272"/>
      <c r="QP86" s="272"/>
      <c r="QQ86" s="272"/>
      <c r="QR86" s="272"/>
      <c r="QS86" s="272"/>
      <c r="QT86" s="272"/>
      <c r="QU86" s="272"/>
      <c r="QV86" s="272"/>
      <c r="QW86" s="272"/>
      <c r="QX86" s="272"/>
      <c r="QY86" s="272"/>
      <c r="QZ86" s="272"/>
      <c r="RA86" s="272"/>
      <c r="RB86" s="272"/>
      <c r="RC86" s="272"/>
      <c r="RD86" s="272"/>
      <c r="RE86" s="272"/>
      <c r="RF86" s="272"/>
      <c r="RG86" s="272"/>
      <c r="RH86" s="272"/>
      <c r="RI86" s="272"/>
      <c r="RJ86" s="272"/>
      <c r="RK86" s="272"/>
      <c r="RL86" s="272"/>
      <c r="RM86" s="272"/>
      <c r="RN86" s="272"/>
      <c r="RO86" s="272"/>
      <c r="RP86" s="272"/>
      <c r="RQ86" s="272"/>
      <c r="RR86" s="272"/>
      <c r="RS86" s="272"/>
      <c r="RT86" s="272"/>
      <c r="RU86" s="272"/>
      <c r="RV86" s="272"/>
      <c r="RW86" s="272"/>
      <c r="RX86" s="272"/>
      <c r="RY86" s="272"/>
      <c r="RZ86" s="272"/>
      <c r="SA86" s="272"/>
      <c r="SB86" s="272"/>
      <c r="SC86" s="272"/>
      <c r="SD86" s="272"/>
      <c r="SE86" s="272"/>
      <c r="SF86" s="272"/>
      <c r="SG86" s="272"/>
      <c r="SH86" s="272"/>
      <c r="SI86" s="272"/>
      <c r="SJ86" s="272"/>
      <c r="SK86" s="272"/>
      <c r="SL86" s="272"/>
      <c r="SM86" s="272"/>
      <c r="SN86" s="272"/>
      <c r="SO86" s="272"/>
      <c r="SP86" s="272"/>
      <c r="SQ86" s="272"/>
      <c r="SR86" s="272"/>
      <c r="SS86" s="272"/>
      <c r="ST86" s="272"/>
      <c r="SU86" s="272"/>
      <c r="SV86" s="272"/>
      <c r="SW86" s="272"/>
      <c r="SX86" s="272"/>
      <c r="SY86" s="272"/>
      <c r="SZ86" s="272"/>
      <c r="TA86" s="272"/>
      <c r="TB86" s="272"/>
      <c r="TC86" s="272"/>
      <c r="TD86" s="272"/>
      <c r="TE86" s="272"/>
      <c r="TF86" s="272"/>
      <c r="TG86" s="272"/>
      <c r="TH86" s="272"/>
      <c r="TI86" s="272"/>
      <c r="TJ86" s="272"/>
      <c r="TK86" s="272"/>
      <c r="TL86" s="272"/>
      <c r="TM86" s="272"/>
      <c r="TN86" s="272"/>
      <c r="TO86" s="272"/>
      <c r="TP86" s="272"/>
      <c r="TQ86" s="272"/>
      <c r="TR86" s="272"/>
      <c r="TS86" s="272"/>
      <c r="TT86" s="272"/>
      <c r="TU86" s="272"/>
      <c r="TV86" s="272"/>
      <c r="TW86" s="272"/>
      <c r="TX86" s="272"/>
      <c r="TY86" s="272"/>
      <c r="TZ86" s="272"/>
      <c r="UA86" s="272"/>
      <c r="UB86" s="272"/>
      <c r="UC86" s="272"/>
      <c r="UD86" s="272"/>
      <c r="UE86" s="272"/>
      <c r="UF86" s="272"/>
      <c r="UG86" s="272"/>
      <c r="UH86" s="272"/>
      <c r="UI86" s="272"/>
      <c r="UJ86" s="272"/>
      <c r="UK86" s="272"/>
      <c r="UL86" s="272"/>
      <c r="UM86" s="272"/>
      <c r="UN86" s="272"/>
      <c r="UO86" s="272"/>
      <c r="UP86" s="272"/>
      <c r="UQ86" s="272"/>
      <c r="UR86" s="272"/>
      <c r="US86" s="272"/>
      <c r="UT86" s="272"/>
      <c r="UU86" s="272"/>
      <c r="UV86" s="272"/>
      <c r="UW86" s="272"/>
      <c r="UX86" s="272"/>
      <c r="UY86" s="272"/>
      <c r="UZ86" s="272"/>
      <c r="VA86" s="272"/>
      <c r="VB86" s="272"/>
      <c r="VC86" s="272"/>
      <c r="VD86" s="272"/>
      <c r="VE86" s="272"/>
      <c r="VF86" s="272"/>
      <c r="VG86" s="272"/>
      <c r="VH86" s="272"/>
      <c r="VI86" s="272"/>
      <c r="VJ86" s="272"/>
      <c r="VK86" s="272"/>
      <c r="VL86" s="272"/>
      <c r="VM86" s="272"/>
      <c r="VN86" s="272"/>
      <c r="VO86" s="272"/>
      <c r="VP86" s="272"/>
      <c r="VQ86" s="272"/>
      <c r="VR86" s="272"/>
      <c r="VS86" s="272"/>
      <c r="VT86" s="272"/>
      <c r="VU86" s="272"/>
      <c r="VV86" s="272"/>
      <c r="VW86" s="272"/>
      <c r="VX86" s="272"/>
      <c r="VY86" s="272"/>
      <c r="VZ86" s="272"/>
      <c r="WA86" s="272"/>
      <c r="WB86" s="272"/>
      <c r="WC86" s="272"/>
      <c r="WD86" s="272"/>
      <c r="WE86" s="272"/>
      <c r="WF86" s="272"/>
      <c r="WG86" s="272"/>
      <c r="WH86" s="272"/>
      <c r="WI86" s="272"/>
      <c r="WJ86" s="272"/>
      <c r="WK86" s="272"/>
      <c r="WL86" s="272"/>
      <c r="WM86" s="272"/>
      <c r="WN86" s="272"/>
      <c r="WO86" s="272"/>
      <c r="WP86" s="272"/>
      <c r="WQ86" s="272"/>
      <c r="WR86" s="272"/>
      <c r="WS86" s="272"/>
      <c r="WT86" s="272"/>
      <c r="WU86" s="272"/>
      <c r="WV86" s="272"/>
      <c r="WW86" s="272"/>
      <c r="WX86" s="272"/>
      <c r="WY86" s="272"/>
      <c r="WZ86" s="272"/>
      <c r="XA86" s="272"/>
      <c r="XB86" s="272"/>
      <c r="XC86" s="272"/>
      <c r="XD86" s="272"/>
      <c r="XE86" s="272"/>
      <c r="XF86" s="272"/>
      <c r="XG86" s="272"/>
      <c r="XH86" s="272"/>
      <c r="XI86" s="272"/>
      <c r="XJ86" s="272"/>
      <c r="XK86" s="272"/>
      <c r="XL86" s="272"/>
      <c r="XM86" s="272"/>
      <c r="XN86" s="272"/>
      <c r="XO86" s="272"/>
      <c r="XP86" s="272"/>
      <c r="XQ86" s="272"/>
      <c r="XR86" s="272"/>
      <c r="XS86" s="272"/>
      <c r="XT86" s="272"/>
      <c r="XU86" s="272"/>
      <c r="XV86" s="272"/>
      <c r="XW86" s="272"/>
      <c r="XX86" s="272"/>
      <c r="XY86" s="272"/>
      <c r="XZ86" s="272"/>
      <c r="YA86" s="272"/>
      <c r="YB86" s="272"/>
      <c r="YC86" s="272"/>
      <c r="YD86" s="272"/>
      <c r="YE86" s="272"/>
      <c r="YF86" s="272"/>
      <c r="YG86" s="272"/>
      <c r="YH86" s="272"/>
      <c r="YI86" s="272"/>
      <c r="YJ86" s="272"/>
      <c r="YK86" s="272"/>
      <c r="YL86" s="272"/>
      <c r="YM86" s="272"/>
      <c r="YN86" s="272"/>
      <c r="YO86" s="272"/>
      <c r="YP86" s="272"/>
      <c r="YQ86" s="272"/>
      <c r="YR86" s="272"/>
      <c r="YS86" s="272"/>
      <c r="YT86" s="272"/>
      <c r="YU86" s="272"/>
      <c r="YV86" s="272"/>
      <c r="YW86" s="272"/>
      <c r="YX86" s="272"/>
      <c r="YY86" s="272"/>
      <c r="YZ86" s="272"/>
      <c r="ZA86" s="272"/>
      <c r="ZB86" s="272"/>
      <c r="ZC86" s="272"/>
      <c r="ZD86" s="272"/>
      <c r="ZE86" s="272"/>
      <c r="ZF86" s="272"/>
      <c r="ZG86" s="272"/>
      <c r="ZH86" s="272"/>
      <c r="ZI86" s="272"/>
      <c r="ZJ86" s="272"/>
      <c r="ZK86" s="272"/>
      <c r="ZL86" s="272"/>
      <c r="ZM86" s="272"/>
      <c r="ZN86" s="272"/>
      <c r="ZO86" s="272"/>
      <c r="ZP86" s="272"/>
      <c r="ZQ86" s="272"/>
      <c r="ZR86" s="272"/>
      <c r="ZS86" s="272"/>
      <c r="ZT86" s="272"/>
    </row>
    <row r="87" spans="1:696" s="19" customFormat="1" ht="27" customHeight="1">
      <c r="A87" s="39"/>
      <c r="B87" s="40"/>
      <c r="C87" s="55" t="s">
        <v>53</v>
      </c>
      <c r="D87" s="55"/>
      <c r="E87" s="64"/>
      <c r="F87" s="57"/>
      <c r="G87" s="263"/>
      <c r="H87" s="263"/>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2"/>
      <c r="CC87" s="272"/>
      <c r="CD87" s="272"/>
      <c r="CE87" s="272"/>
      <c r="CF87" s="272"/>
      <c r="CG87" s="272"/>
      <c r="CH87" s="272"/>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2"/>
      <c r="DF87" s="272"/>
      <c r="DG87" s="272"/>
      <c r="DH87" s="272"/>
      <c r="DI87" s="272"/>
      <c r="DJ87" s="272"/>
      <c r="DK87" s="272"/>
      <c r="DL87" s="272"/>
      <c r="DM87" s="272"/>
      <c r="DN87" s="272"/>
      <c r="DO87" s="272"/>
      <c r="DP87" s="272"/>
      <c r="DQ87" s="272"/>
      <c r="DR87" s="272"/>
      <c r="DS87" s="272"/>
      <c r="DT87" s="272"/>
      <c r="DU87" s="272"/>
      <c r="DV87" s="272"/>
      <c r="DW87" s="272"/>
      <c r="DX87" s="272"/>
      <c r="DY87" s="272"/>
      <c r="DZ87" s="272"/>
      <c r="EA87" s="272"/>
      <c r="EB87" s="272"/>
      <c r="EC87" s="272"/>
      <c r="ED87" s="272"/>
      <c r="EE87" s="272"/>
      <c r="EF87" s="272"/>
      <c r="EG87" s="272"/>
      <c r="EH87" s="272"/>
      <c r="EI87" s="272"/>
      <c r="EJ87" s="272"/>
      <c r="EK87" s="272"/>
      <c r="EL87" s="272"/>
      <c r="EM87" s="272"/>
      <c r="EN87" s="272"/>
      <c r="EO87" s="272"/>
      <c r="EP87" s="272"/>
      <c r="EQ87" s="272"/>
      <c r="ER87" s="272"/>
      <c r="ES87" s="272"/>
      <c r="ET87" s="272"/>
      <c r="EU87" s="272"/>
      <c r="EV87" s="272"/>
      <c r="EW87" s="272"/>
      <c r="EX87" s="272"/>
      <c r="EY87" s="272"/>
      <c r="EZ87" s="272"/>
      <c r="FA87" s="272"/>
      <c r="FB87" s="272"/>
      <c r="FC87" s="272"/>
      <c r="FD87" s="272"/>
      <c r="FE87" s="272"/>
      <c r="FF87" s="272"/>
      <c r="FG87" s="272"/>
      <c r="FH87" s="272"/>
      <c r="FI87" s="272"/>
      <c r="FJ87" s="272"/>
      <c r="FK87" s="272"/>
      <c r="FL87" s="272"/>
      <c r="FM87" s="272"/>
      <c r="FN87" s="272"/>
      <c r="FO87" s="272"/>
      <c r="FP87" s="272"/>
      <c r="FQ87" s="272"/>
      <c r="FR87" s="272"/>
      <c r="FS87" s="272"/>
      <c r="FT87" s="272"/>
      <c r="FU87" s="272"/>
      <c r="FV87" s="272"/>
      <c r="FW87" s="272"/>
      <c r="FX87" s="272"/>
      <c r="FY87" s="272"/>
      <c r="FZ87" s="272"/>
      <c r="GA87" s="272"/>
      <c r="GB87" s="272"/>
      <c r="GC87" s="272"/>
      <c r="GD87" s="272"/>
      <c r="GE87" s="272"/>
      <c r="GF87" s="272"/>
      <c r="GG87" s="272"/>
      <c r="GH87" s="272"/>
      <c r="GI87" s="272"/>
      <c r="GJ87" s="272"/>
      <c r="GK87" s="272"/>
      <c r="GL87" s="272"/>
      <c r="GM87" s="272"/>
      <c r="GN87" s="272"/>
      <c r="GO87" s="272"/>
      <c r="GP87" s="272"/>
      <c r="GQ87" s="272"/>
      <c r="GR87" s="272"/>
      <c r="GS87" s="272"/>
      <c r="GT87" s="272"/>
      <c r="GU87" s="272"/>
      <c r="GV87" s="272"/>
      <c r="GW87" s="272"/>
      <c r="GX87" s="272"/>
      <c r="GY87" s="272"/>
      <c r="GZ87" s="272"/>
      <c r="HA87" s="272"/>
      <c r="HB87" s="272"/>
      <c r="HC87" s="272"/>
      <c r="HD87" s="272"/>
      <c r="HE87" s="272"/>
      <c r="HF87" s="272"/>
      <c r="HG87" s="272"/>
      <c r="HH87" s="272"/>
      <c r="HI87" s="272"/>
      <c r="HJ87" s="272"/>
      <c r="HK87" s="272"/>
      <c r="HL87" s="272"/>
      <c r="HM87" s="272"/>
      <c r="HN87" s="272"/>
      <c r="HO87" s="272"/>
      <c r="HP87" s="272"/>
      <c r="HQ87" s="272"/>
      <c r="HR87" s="272"/>
      <c r="HS87" s="272"/>
      <c r="HT87" s="272"/>
      <c r="HU87" s="272"/>
      <c r="HV87" s="272"/>
      <c r="HW87" s="272"/>
      <c r="HX87" s="272"/>
      <c r="HY87" s="272"/>
      <c r="HZ87" s="272"/>
      <c r="IA87" s="272"/>
      <c r="IB87" s="272"/>
      <c r="IC87" s="272"/>
      <c r="ID87" s="272"/>
      <c r="IE87" s="272"/>
      <c r="IF87" s="272"/>
      <c r="IG87" s="272"/>
      <c r="IH87" s="272"/>
      <c r="II87" s="272"/>
      <c r="IJ87" s="272"/>
      <c r="IK87" s="272"/>
      <c r="IL87" s="272"/>
      <c r="IM87" s="272"/>
      <c r="IN87" s="272"/>
      <c r="IO87" s="272"/>
      <c r="IP87" s="272"/>
      <c r="IQ87" s="272"/>
      <c r="IR87" s="272"/>
      <c r="IS87" s="272"/>
      <c r="IT87" s="272"/>
      <c r="IU87" s="272"/>
      <c r="IV87" s="272"/>
      <c r="IW87" s="272"/>
      <c r="IX87" s="272"/>
      <c r="IY87" s="272"/>
      <c r="IZ87" s="272"/>
      <c r="JA87" s="272"/>
      <c r="JB87" s="272"/>
      <c r="JC87" s="272"/>
      <c r="JD87" s="272"/>
      <c r="JE87" s="272"/>
      <c r="JF87" s="272"/>
      <c r="JG87" s="272"/>
      <c r="JH87" s="272"/>
      <c r="JI87" s="272"/>
      <c r="JJ87" s="272"/>
      <c r="JK87" s="272"/>
      <c r="JL87" s="272"/>
      <c r="JM87" s="272"/>
      <c r="JN87" s="272"/>
      <c r="JO87" s="272"/>
      <c r="JP87" s="272"/>
      <c r="JQ87" s="272"/>
      <c r="JR87" s="272"/>
      <c r="JS87" s="272"/>
      <c r="JT87" s="272"/>
      <c r="JU87" s="272"/>
      <c r="JV87" s="272"/>
      <c r="JW87" s="272"/>
      <c r="JX87" s="272"/>
      <c r="JY87" s="272"/>
      <c r="JZ87" s="272"/>
      <c r="KA87" s="272"/>
      <c r="KB87" s="272"/>
      <c r="KC87" s="272"/>
      <c r="KD87" s="272"/>
      <c r="KE87" s="272"/>
      <c r="KF87" s="272"/>
      <c r="KG87" s="272"/>
      <c r="KH87" s="272"/>
      <c r="KI87" s="272"/>
      <c r="KJ87" s="272"/>
      <c r="KK87" s="272"/>
      <c r="KL87" s="272"/>
      <c r="KM87" s="272"/>
      <c r="KN87" s="272"/>
      <c r="KO87" s="272"/>
      <c r="KP87" s="272"/>
      <c r="KQ87" s="272"/>
      <c r="KR87" s="272"/>
      <c r="KS87" s="272"/>
      <c r="KT87" s="272"/>
      <c r="KU87" s="272"/>
      <c r="KV87" s="272"/>
      <c r="KW87" s="272"/>
      <c r="KX87" s="272"/>
      <c r="KY87" s="272"/>
      <c r="KZ87" s="272"/>
      <c r="LA87" s="272"/>
      <c r="LB87" s="272"/>
      <c r="LC87" s="272"/>
      <c r="LD87" s="272"/>
      <c r="LE87" s="272"/>
      <c r="LF87" s="272"/>
      <c r="LG87" s="272"/>
      <c r="LH87" s="272"/>
      <c r="LI87" s="272"/>
      <c r="LJ87" s="272"/>
      <c r="LK87" s="272"/>
      <c r="LL87" s="272"/>
      <c r="LM87" s="272"/>
      <c r="LN87" s="272"/>
      <c r="LO87" s="272"/>
      <c r="LP87" s="272"/>
      <c r="LQ87" s="272"/>
      <c r="LR87" s="272"/>
      <c r="LS87" s="272"/>
      <c r="LT87" s="272"/>
      <c r="LU87" s="272"/>
      <c r="LV87" s="272"/>
      <c r="LW87" s="272"/>
      <c r="LX87" s="272"/>
      <c r="LY87" s="272"/>
      <c r="LZ87" s="272"/>
      <c r="MA87" s="272"/>
      <c r="MB87" s="272"/>
      <c r="MC87" s="272"/>
      <c r="MD87" s="272"/>
      <c r="ME87" s="272"/>
      <c r="MF87" s="272"/>
      <c r="MG87" s="272"/>
      <c r="MH87" s="272"/>
      <c r="MI87" s="272"/>
      <c r="MJ87" s="272"/>
      <c r="MK87" s="272"/>
      <c r="ML87" s="272"/>
      <c r="MM87" s="272"/>
      <c r="MN87" s="272"/>
      <c r="MO87" s="272"/>
      <c r="MP87" s="272"/>
      <c r="MQ87" s="272"/>
      <c r="MR87" s="272"/>
      <c r="MS87" s="272"/>
      <c r="MT87" s="272"/>
      <c r="MU87" s="272"/>
      <c r="MV87" s="272"/>
      <c r="MW87" s="272"/>
      <c r="MX87" s="272"/>
      <c r="MY87" s="272"/>
      <c r="MZ87" s="272"/>
      <c r="NA87" s="272"/>
      <c r="NB87" s="272"/>
      <c r="NC87" s="272"/>
      <c r="ND87" s="272"/>
      <c r="NE87" s="272"/>
      <c r="NF87" s="272"/>
      <c r="NG87" s="272"/>
      <c r="NH87" s="272"/>
      <c r="NI87" s="272"/>
      <c r="NJ87" s="272"/>
      <c r="NK87" s="272"/>
      <c r="NL87" s="272"/>
      <c r="NM87" s="272"/>
      <c r="NN87" s="272"/>
      <c r="NO87" s="272"/>
      <c r="NP87" s="272"/>
      <c r="NQ87" s="272"/>
      <c r="NR87" s="272"/>
      <c r="NS87" s="272"/>
      <c r="NT87" s="272"/>
      <c r="NU87" s="272"/>
      <c r="NV87" s="272"/>
      <c r="NW87" s="272"/>
      <c r="NX87" s="272"/>
      <c r="NY87" s="272"/>
      <c r="NZ87" s="272"/>
      <c r="OA87" s="272"/>
      <c r="OB87" s="272"/>
      <c r="OC87" s="272"/>
      <c r="OD87" s="272"/>
      <c r="OE87" s="272"/>
      <c r="OF87" s="272"/>
      <c r="OG87" s="272"/>
      <c r="OH87" s="272"/>
      <c r="OI87" s="272"/>
      <c r="OJ87" s="272"/>
      <c r="OK87" s="272"/>
      <c r="OL87" s="272"/>
      <c r="OM87" s="272"/>
      <c r="ON87" s="272"/>
      <c r="OO87" s="272"/>
      <c r="OP87" s="272"/>
      <c r="OQ87" s="272"/>
      <c r="OR87" s="272"/>
      <c r="OS87" s="272"/>
      <c r="OT87" s="272"/>
      <c r="OU87" s="272"/>
      <c r="OV87" s="272"/>
      <c r="OW87" s="272"/>
      <c r="OX87" s="272"/>
      <c r="OY87" s="272"/>
      <c r="OZ87" s="272"/>
      <c r="PA87" s="272"/>
      <c r="PB87" s="272"/>
      <c r="PC87" s="272"/>
      <c r="PD87" s="272"/>
      <c r="PE87" s="272"/>
      <c r="PF87" s="272"/>
      <c r="PG87" s="272"/>
      <c r="PH87" s="272"/>
      <c r="PI87" s="272"/>
      <c r="PJ87" s="272"/>
      <c r="PK87" s="272"/>
      <c r="PL87" s="272"/>
      <c r="PM87" s="272"/>
      <c r="PN87" s="272"/>
      <c r="PO87" s="272"/>
      <c r="PP87" s="272"/>
      <c r="PQ87" s="272"/>
      <c r="PR87" s="272"/>
      <c r="PS87" s="272"/>
      <c r="PT87" s="272"/>
      <c r="PU87" s="272"/>
      <c r="PV87" s="272"/>
      <c r="PW87" s="272"/>
      <c r="PX87" s="272"/>
      <c r="PY87" s="272"/>
      <c r="PZ87" s="272"/>
      <c r="QA87" s="272"/>
      <c r="QB87" s="272"/>
      <c r="QC87" s="272"/>
      <c r="QD87" s="272"/>
      <c r="QE87" s="272"/>
      <c r="QF87" s="272"/>
      <c r="QG87" s="272"/>
      <c r="QH87" s="272"/>
      <c r="QI87" s="272"/>
      <c r="QJ87" s="272"/>
      <c r="QK87" s="272"/>
      <c r="QL87" s="272"/>
      <c r="QM87" s="272"/>
      <c r="QN87" s="272"/>
      <c r="QO87" s="272"/>
      <c r="QP87" s="272"/>
      <c r="QQ87" s="272"/>
      <c r="QR87" s="272"/>
      <c r="QS87" s="272"/>
      <c r="QT87" s="272"/>
      <c r="QU87" s="272"/>
      <c r="QV87" s="272"/>
      <c r="QW87" s="272"/>
      <c r="QX87" s="272"/>
      <c r="QY87" s="272"/>
      <c r="QZ87" s="272"/>
      <c r="RA87" s="272"/>
      <c r="RB87" s="272"/>
      <c r="RC87" s="272"/>
      <c r="RD87" s="272"/>
      <c r="RE87" s="272"/>
      <c r="RF87" s="272"/>
      <c r="RG87" s="272"/>
      <c r="RH87" s="272"/>
      <c r="RI87" s="272"/>
      <c r="RJ87" s="272"/>
      <c r="RK87" s="272"/>
      <c r="RL87" s="272"/>
      <c r="RM87" s="272"/>
      <c r="RN87" s="272"/>
      <c r="RO87" s="272"/>
      <c r="RP87" s="272"/>
      <c r="RQ87" s="272"/>
      <c r="RR87" s="272"/>
      <c r="RS87" s="272"/>
      <c r="RT87" s="272"/>
      <c r="RU87" s="272"/>
      <c r="RV87" s="272"/>
      <c r="RW87" s="272"/>
      <c r="RX87" s="272"/>
      <c r="RY87" s="272"/>
      <c r="RZ87" s="272"/>
      <c r="SA87" s="272"/>
      <c r="SB87" s="272"/>
      <c r="SC87" s="272"/>
      <c r="SD87" s="272"/>
      <c r="SE87" s="272"/>
      <c r="SF87" s="272"/>
      <c r="SG87" s="272"/>
      <c r="SH87" s="272"/>
      <c r="SI87" s="272"/>
      <c r="SJ87" s="272"/>
      <c r="SK87" s="272"/>
      <c r="SL87" s="272"/>
      <c r="SM87" s="272"/>
      <c r="SN87" s="272"/>
      <c r="SO87" s="272"/>
      <c r="SP87" s="272"/>
      <c r="SQ87" s="272"/>
      <c r="SR87" s="272"/>
      <c r="SS87" s="272"/>
      <c r="ST87" s="272"/>
      <c r="SU87" s="272"/>
      <c r="SV87" s="272"/>
      <c r="SW87" s="272"/>
      <c r="SX87" s="272"/>
      <c r="SY87" s="272"/>
      <c r="SZ87" s="272"/>
      <c r="TA87" s="272"/>
      <c r="TB87" s="272"/>
      <c r="TC87" s="272"/>
      <c r="TD87" s="272"/>
      <c r="TE87" s="272"/>
      <c r="TF87" s="272"/>
      <c r="TG87" s="272"/>
      <c r="TH87" s="272"/>
      <c r="TI87" s="272"/>
      <c r="TJ87" s="272"/>
      <c r="TK87" s="272"/>
      <c r="TL87" s="272"/>
      <c r="TM87" s="272"/>
      <c r="TN87" s="272"/>
      <c r="TO87" s="272"/>
      <c r="TP87" s="272"/>
      <c r="TQ87" s="272"/>
      <c r="TR87" s="272"/>
      <c r="TS87" s="272"/>
      <c r="TT87" s="272"/>
      <c r="TU87" s="272"/>
      <c r="TV87" s="272"/>
      <c r="TW87" s="272"/>
      <c r="TX87" s="272"/>
      <c r="TY87" s="272"/>
      <c r="TZ87" s="272"/>
      <c r="UA87" s="272"/>
      <c r="UB87" s="272"/>
      <c r="UC87" s="272"/>
      <c r="UD87" s="272"/>
      <c r="UE87" s="272"/>
      <c r="UF87" s="272"/>
      <c r="UG87" s="272"/>
      <c r="UH87" s="272"/>
      <c r="UI87" s="272"/>
      <c r="UJ87" s="272"/>
      <c r="UK87" s="272"/>
      <c r="UL87" s="272"/>
      <c r="UM87" s="272"/>
      <c r="UN87" s="272"/>
      <c r="UO87" s="272"/>
      <c r="UP87" s="272"/>
      <c r="UQ87" s="272"/>
      <c r="UR87" s="272"/>
      <c r="US87" s="272"/>
      <c r="UT87" s="272"/>
      <c r="UU87" s="272"/>
      <c r="UV87" s="272"/>
      <c r="UW87" s="272"/>
      <c r="UX87" s="272"/>
      <c r="UY87" s="272"/>
      <c r="UZ87" s="272"/>
      <c r="VA87" s="272"/>
      <c r="VB87" s="272"/>
      <c r="VC87" s="272"/>
      <c r="VD87" s="272"/>
      <c r="VE87" s="272"/>
      <c r="VF87" s="272"/>
      <c r="VG87" s="272"/>
      <c r="VH87" s="272"/>
      <c r="VI87" s="272"/>
      <c r="VJ87" s="272"/>
      <c r="VK87" s="272"/>
      <c r="VL87" s="272"/>
      <c r="VM87" s="272"/>
      <c r="VN87" s="272"/>
      <c r="VO87" s="272"/>
      <c r="VP87" s="272"/>
      <c r="VQ87" s="272"/>
      <c r="VR87" s="272"/>
      <c r="VS87" s="272"/>
      <c r="VT87" s="272"/>
      <c r="VU87" s="272"/>
      <c r="VV87" s="272"/>
      <c r="VW87" s="272"/>
      <c r="VX87" s="272"/>
      <c r="VY87" s="272"/>
      <c r="VZ87" s="272"/>
      <c r="WA87" s="272"/>
      <c r="WB87" s="272"/>
      <c r="WC87" s="272"/>
      <c r="WD87" s="272"/>
      <c r="WE87" s="272"/>
      <c r="WF87" s="272"/>
      <c r="WG87" s="272"/>
      <c r="WH87" s="272"/>
      <c r="WI87" s="272"/>
      <c r="WJ87" s="272"/>
      <c r="WK87" s="272"/>
      <c r="WL87" s="272"/>
      <c r="WM87" s="272"/>
      <c r="WN87" s="272"/>
      <c r="WO87" s="272"/>
      <c r="WP87" s="272"/>
      <c r="WQ87" s="272"/>
      <c r="WR87" s="272"/>
      <c r="WS87" s="272"/>
      <c r="WT87" s="272"/>
      <c r="WU87" s="272"/>
      <c r="WV87" s="272"/>
      <c r="WW87" s="272"/>
      <c r="WX87" s="272"/>
      <c r="WY87" s="272"/>
      <c r="WZ87" s="272"/>
      <c r="XA87" s="272"/>
      <c r="XB87" s="272"/>
      <c r="XC87" s="272"/>
      <c r="XD87" s="272"/>
      <c r="XE87" s="272"/>
      <c r="XF87" s="272"/>
      <c r="XG87" s="272"/>
      <c r="XH87" s="272"/>
      <c r="XI87" s="272"/>
      <c r="XJ87" s="272"/>
      <c r="XK87" s="272"/>
      <c r="XL87" s="272"/>
      <c r="XM87" s="272"/>
      <c r="XN87" s="272"/>
      <c r="XO87" s="272"/>
      <c r="XP87" s="272"/>
      <c r="XQ87" s="272"/>
      <c r="XR87" s="272"/>
      <c r="XS87" s="272"/>
      <c r="XT87" s="272"/>
      <c r="XU87" s="272"/>
      <c r="XV87" s="272"/>
      <c r="XW87" s="272"/>
      <c r="XX87" s="272"/>
      <c r="XY87" s="272"/>
      <c r="XZ87" s="272"/>
      <c r="YA87" s="272"/>
      <c r="YB87" s="272"/>
      <c r="YC87" s="272"/>
      <c r="YD87" s="272"/>
      <c r="YE87" s="272"/>
      <c r="YF87" s="272"/>
      <c r="YG87" s="272"/>
      <c r="YH87" s="272"/>
      <c r="YI87" s="272"/>
      <c r="YJ87" s="272"/>
      <c r="YK87" s="272"/>
      <c r="YL87" s="272"/>
      <c r="YM87" s="272"/>
      <c r="YN87" s="272"/>
      <c r="YO87" s="272"/>
      <c r="YP87" s="272"/>
      <c r="YQ87" s="272"/>
      <c r="YR87" s="272"/>
      <c r="YS87" s="272"/>
      <c r="YT87" s="272"/>
      <c r="YU87" s="272"/>
      <c r="YV87" s="272"/>
      <c r="YW87" s="272"/>
      <c r="YX87" s="272"/>
      <c r="YY87" s="272"/>
      <c r="YZ87" s="272"/>
      <c r="ZA87" s="272"/>
      <c r="ZB87" s="272"/>
      <c r="ZC87" s="272"/>
      <c r="ZD87" s="272"/>
      <c r="ZE87" s="272"/>
      <c r="ZF87" s="272"/>
      <c r="ZG87" s="272"/>
      <c r="ZH87" s="272"/>
      <c r="ZI87" s="272"/>
      <c r="ZJ87" s="272"/>
      <c r="ZK87" s="272"/>
      <c r="ZL87" s="272"/>
      <c r="ZM87" s="272"/>
      <c r="ZN87" s="272"/>
      <c r="ZO87" s="272"/>
      <c r="ZP87" s="272"/>
      <c r="ZQ87" s="272"/>
      <c r="ZR87" s="272"/>
      <c r="ZS87" s="272"/>
      <c r="ZT87" s="272"/>
    </row>
    <row r="88" spans="1:696" s="62" customFormat="1" ht="13.5" thickBot="1">
      <c r="A88" s="48"/>
      <c r="B88" s="75"/>
      <c r="C88" s="32" t="s">
        <v>54</v>
      </c>
      <c r="D88" s="513"/>
      <c r="E88" s="534"/>
      <c r="F88" s="514"/>
      <c r="G88" s="515"/>
      <c r="H88" s="515"/>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2"/>
      <c r="ED88" s="272"/>
      <c r="EE88" s="272"/>
      <c r="EF88" s="272"/>
      <c r="EG88" s="272"/>
      <c r="EH88" s="272"/>
      <c r="EI88" s="272"/>
      <c r="EJ88" s="272"/>
      <c r="EK88" s="272"/>
      <c r="EL88" s="272"/>
      <c r="EM88" s="272"/>
      <c r="EN88" s="272"/>
      <c r="EO88" s="272"/>
      <c r="EP88" s="272"/>
      <c r="EQ88" s="272"/>
      <c r="ER88" s="272"/>
      <c r="ES88" s="272"/>
      <c r="ET88" s="272"/>
      <c r="EU88" s="272"/>
      <c r="EV88" s="272"/>
      <c r="EW88" s="272"/>
      <c r="EX88" s="272"/>
      <c r="EY88" s="272"/>
      <c r="EZ88" s="272"/>
      <c r="FA88" s="272"/>
      <c r="FB88" s="272"/>
      <c r="FC88" s="272"/>
      <c r="FD88" s="272"/>
      <c r="FE88" s="272"/>
      <c r="FF88" s="272"/>
      <c r="FG88" s="272"/>
      <c r="FH88" s="272"/>
      <c r="FI88" s="272"/>
      <c r="FJ88" s="272"/>
      <c r="FK88" s="272"/>
      <c r="FL88" s="272"/>
      <c r="FM88" s="272"/>
      <c r="FN88" s="272"/>
      <c r="FO88" s="272"/>
      <c r="FP88" s="272"/>
      <c r="FQ88" s="272"/>
      <c r="FR88" s="272"/>
      <c r="FS88" s="272"/>
      <c r="FT88" s="272"/>
      <c r="FU88" s="272"/>
      <c r="FV88" s="272"/>
      <c r="FW88" s="272"/>
      <c r="FX88" s="272"/>
      <c r="FY88" s="272"/>
      <c r="FZ88" s="272"/>
      <c r="GA88" s="272"/>
      <c r="GB88" s="272"/>
      <c r="GC88" s="272"/>
      <c r="GD88" s="272"/>
      <c r="GE88" s="272"/>
      <c r="GF88" s="272"/>
      <c r="GG88" s="272"/>
      <c r="GH88" s="272"/>
      <c r="GI88" s="272"/>
      <c r="GJ88" s="272"/>
      <c r="GK88" s="272"/>
      <c r="GL88" s="272"/>
      <c r="GM88" s="272"/>
      <c r="GN88" s="272"/>
      <c r="GO88" s="272"/>
      <c r="GP88" s="272"/>
      <c r="GQ88" s="272"/>
      <c r="GR88" s="272"/>
      <c r="GS88" s="272"/>
      <c r="GT88" s="272"/>
      <c r="GU88" s="272"/>
      <c r="GV88" s="272"/>
      <c r="GW88" s="272"/>
      <c r="GX88" s="272"/>
      <c r="GY88" s="272"/>
      <c r="GZ88" s="272"/>
      <c r="HA88" s="272"/>
      <c r="HB88" s="272"/>
      <c r="HC88" s="272"/>
      <c r="HD88" s="272"/>
      <c r="HE88" s="272"/>
      <c r="HF88" s="272"/>
      <c r="HG88" s="272"/>
      <c r="HH88" s="272"/>
      <c r="HI88" s="272"/>
      <c r="HJ88" s="272"/>
      <c r="HK88" s="272"/>
      <c r="HL88" s="272"/>
      <c r="HM88" s="272"/>
      <c r="HN88" s="272"/>
      <c r="HO88" s="272"/>
      <c r="HP88" s="272"/>
      <c r="HQ88" s="272"/>
      <c r="HR88" s="272"/>
      <c r="HS88" s="272"/>
      <c r="HT88" s="272"/>
      <c r="HU88" s="272"/>
      <c r="HV88" s="272"/>
      <c r="HW88" s="272"/>
      <c r="HX88" s="272"/>
      <c r="HY88" s="272"/>
      <c r="HZ88" s="272"/>
      <c r="IA88" s="272"/>
      <c r="IB88" s="272"/>
      <c r="IC88" s="272"/>
      <c r="ID88" s="272"/>
      <c r="IE88" s="272"/>
      <c r="IF88" s="272"/>
      <c r="IG88" s="272"/>
      <c r="IH88" s="272"/>
      <c r="II88" s="272"/>
      <c r="IJ88" s="272"/>
      <c r="IK88" s="272"/>
      <c r="IL88" s="272"/>
      <c r="IM88" s="272"/>
      <c r="IN88" s="272"/>
      <c r="IO88" s="272"/>
      <c r="IP88" s="272"/>
      <c r="IQ88" s="272"/>
      <c r="IR88" s="272"/>
      <c r="IS88" s="272"/>
      <c r="IT88" s="272"/>
      <c r="IU88" s="272"/>
      <c r="IV88" s="272"/>
      <c r="IW88" s="272"/>
      <c r="IX88" s="272"/>
      <c r="IY88" s="272"/>
      <c r="IZ88" s="272"/>
      <c r="JA88" s="272"/>
      <c r="JB88" s="272"/>
      <c r="JC88" s="272"/>
      <c r="JD88" s="272"/>
      <c r="JE88" s="272"/>
      <c r="JF88" s="272"/>
      <c r="JG88" s="272"/>
      <c r="JH88" s="272"/>
      <c r="JI88" s="272"/>
      <c r="JJ88" s="272"/>
      <c r="JK88" s="272"/>
      <c r="JL88" s="272"/>
      <c r="JM88" s="272"/>
      <c r="JN88" s="272"/>
      <c r="JO88" s="272"/>
      <c r="JP88" s="272"/>
      <c r="JQ88" s="272"/>
      <c r="JR88" s="272"/>
      <c r="JS88" s="272"/>
      <c r="JT88" s="272"/>
      <c r="JU88" s="272"/>
      <c r="JV88" s="272"/>
      <c r="JW88" s="272"/>
      <c r="JX88" s="272"/>
      <c r="JY88" s="272"/>
      <c r="JZ88" s="272"/>
      <c r="KA88" s="272"/>
      <c r="KB88" s="272"/>
      <c r="KC88" s="272"/>
      <c r="KD88" s="272"/>
      <c r="KE88" s="272"/>
      <c r="KF88" s="272"/>
      <c r="KG88" s="272"/>
      <c r="KH88" s="272"/>
      <c r="KI88" s="272"/>
      <c r="KJ88" s="272"/>
      <c r="KK88" s="272"/>
      <c r="KL88" s="272"/>
      <c r="KM88" s="272"/>
      <c r="KN88" s="272"/>
      <c r="KO88" s="272"/>
      <c r="KP88" s="272"/>
      <c r="KQ88" s="272"/>
      <c r="KR88" s="272"/>
      <c r="KS88" s="272"/>
      <c r="KT88" s="272"/>
      <c r="KU88" s="272"/>
      <c r="KV88" s="272"/>
      <c r="KW88" s="272"/>
      <c r="KX88" s="272"/>
      <c r="KY88" s="272"/>
      <c r="KZ88" s="272"/>
      <c r="LA88" s="272"/>
      <c r="LB88" s="272"/>
      <c r="LC88" s="272"/>
      <c r="LD88" s="272"/>
      <c r="LE88" s="272"/>
      <c r="LF88" s="272"/>
      <c r="LG88" s="272"/>
      <c r="LH88" s="272"/>
      <c r="LI88" s="272"/>
      <c r="LJ88" s="272"/>
      <c r="LK88" s="272"/>
      <c r="LL88" s="272"/>
      <c r="LM88" s="272"/>
      <c r="LN88" s="272"/>
      <c r="LO88" s="272"/>
      <c r="LP88" s="272"/>
      <c r="LQ88" s="272"/>
      <c r="LR88" s="272"/>
      <c r="LS88" s="272"/>
      <c r="LT88" s="272"/>
      <c r="LU88" s="272"/>
      <c r="LV88" s="272"/>
      <c r="LW88" s="272"/>
      <c r="LX88" s="272"/>
      <c r="LY88" s="272"/>
      <c r="LZ88" s="272"/>
      <c r="MA88" s="272"/>
      <c r="MB88" s="272"/>
      <c r="MC88" s="272"/>
      <c r="MD88" s="272"/>
      <c r="ME88" s="272"/>
      <c r="MF88" s="272"/>
      <c r="MG88" s="272"/>
      <c r="MH88" s="272"/>
      <c r="MI88" s="272"/>
      <c r="MJ88" s="272"/>
      <c r="MK88" s="272"/>
      <c r="ML88" s="272"/>
      <c r="MM88" s="272"/>
      <c r="MN88" s="272"/>
      <c r="MO88" s="272"/>
      <c r="MP88" s="272"/>
      <c r="MQ88" s="272"/>
      <c r="MR88" s="272"/>
      <c r="MS88" s="272"/>
      <c r="MT88" s="272"/>
      <c r="MU88" s="272"/>
      <c r="MV88" s="272"/>
      <c r="MW88" s="272"/>
      <c r="MX88" s="272"/>
      <c r="MY88" s="272"/>
      <c r="MZ88" s="272"/>
      <c r="NA88" s="272"/>
      <c r="NB88" s="272"/>
      <c r="NC88" s="272"/>
      <c r="ND88" s="272"/>
      <c r="NE88" s="272"/>
      <c r="NF88" s="272"/>
      <c r="NG88" s="272"/>
      <c r="NH88" s="272"/>
      <c r="NI88" s="272"/>
      <c r="NJ88" s="272"/>
      <c r="NK88" s="272"/>
      <c r="NL88" s="272"/>
      <c r="NM88" s="272"/>
      <c r="NN88" s="272"/>
      <c r="NO88" s="272"/>
      <c r="NP88" s="272"/>
      <c r="NQ88" s="272"/>
      <c r="NR88" s="272"/>
      <c r="NS88" s="272"/>
      <c r="NT88" s="272"/>
      <c r="NU88" s="272"/>
      <c r="NV88" s="272"/>
      <c r="NW88" s="272"/>
      <c r="NX88" s="272"/>
      <c r="NY88" s="272"/>
      <c r="NZ88" s="272"/>
      <c r="OA88" s="272"/>
      <c r="OB88" s="272"/>
      <c r="OC88" s="272"/>
      <c r="OD88" s="272"/>
      <c r="OE88" s="272"/>
      <c r="OF88" s="272"/>
      <c r="OG88" s="272"/>
      <c r="OH88" s="272"/>
      <c r="OI88" s="272"/>
      <c r="OJ88" s="272"/>
      <c r="OK88" s="272"/>
      <c r="OL88" s="272"/>
      <c r="OM88" s="272"/>
      <c r="ON88" s="272"/>
      <c r="OO88" s="272"/>
      <c r="OP88" s="272"/>
      <c r="OQ88" s="272"/>
      <c r="OR88" s="272"/>
      <c r="OS88" s="272"/>
      <c r="OT88" s="272"/>
      <c r="OU88" s="272"/>
      <c r="OV88" s="272"/>
      <c r="OW88" s="272"/>
      <c r="OX88" s="272"/>
      <c r="OY88" s="272"/>
      <c r="OZ88" s="272"/>
      <c r="PA88" s="272"/>
      <c r="PB88" s="272"/>
      <c r="PC88" s="272"/>
      <c r="PD88" s="272"/>
      <c r="PE88" s="272"/>
      <c r="PF88" s="272"/>
      <c r="PG88" s="272"/>
      <c r="PH88" s="272"/>
      <c r="PI88" s="272"/>
      <c r="PJ88" s="272"/>
      <c r="PK88" s="272"/>
      <c r="PL88" s="272"/>
      <c r="PM88" s="272"/>
      <c r="PN88" s="272"/>
      <c r="PO88" s="272"/>
      <c r="PP88" s="272"/>
      <c r="PQ88" s="272"/>
      <c r="PR88" s="272"/>
      <c r="PS88" s="272"/>
      <c r="PT88" s="272"/>
      <c r="PU88" s="272"/>
      <c r="PV88" s="272"/>
      <c r="PW88" s="272"/>
      <c r="PX88" s="272"/>
      <c r="PY88" s="272"/>
      <c r="PZ88" s="272"/>
      <c r="QA88" s="272"/>
      <c r="QB88" s="272"/>
      <c r="QC88" s="272"/>
      <c r="QD88" s="272"/>
      <c r="QE88" s="272"/>
      <c r="QF88" s="272"/>
      <c r="QG88" s="272"/>
      <c r="QH88" s="272"/>
      <c r="QI88" s="272"/>
      <c r="QJ88" s="272"/>
      <c r="QK88" s="272"/>
      <c r="QL88" s="272"/>
      <c r="QM88" s="272"/>
      <c r="QN88" s="272"/>
      <c r="QO88" s="272"/>
      <c r="QP88" s="272"/>
      <c r="QQ88" s="272"/>
      <c r="QR88" s="272"/>
      <c r="QS88" s="272"/>
      <c r="QT88" s="272"/>
      <c r="QU88" s="272"/>
      <c r="QV88" s="272"/>
      <c r="QW88" s="272"/>
      <c r="QX88" s="272"/>
      <c r="QY88" s="272"/>
      <c r="QZ88" s="272"/>
      <c r="RA88" s="272"/>
      <c r="RB88" s="272"/>
      <c r="RC88" s="272"/>
      <c r="RD88" s="272"/>
      <c r="RE88" s="272"/>
      <c r="RF88" s="272"/>
      <c r="RG88" s="272"/>
      <c r="RH88" s="272"/>
      <c r="RI88" s="272"/>
      <c r="RJ88" s="272"/>
      <c r="RK88" s="272"/>
      <c r="RL88" s="272"/>
      <c r="RM88" s="272"/>
      <c r="RN88" s="272"/>
      <c r="RO88" s="272"/>
      <c r="RP88" s="272"/>
      <c r="RQ88" s="272"/>
      <c r="RR88" s="272"/>
      <c r="RS88" s="272"/>
      <c r="RT88" s="272"/>
      <c r="RU88" s="272"/>
      <c r="RV88" s="272"/>
      <c r="RW88" s="272"/>
      <c r="RX88" s="272"/>
      <c r="RY88" s="272"/>
      <c r="RZ88" s="272"/>
      <c r="SA88" s="272"/>
      <c r="SB88" s="272"/>
      <c r="SC88" s="272"/>
      <c r="SD88" s="272"/>
      <c r="SE88" s="272"/>
      <c r="SF88" s="272"/>
      <c r="SG88" s="272"/>
      <c r="SH88" s="272"/>
      <c r="SI88" s="272"/>
      <c r="SJ88" s="272"/>
      <c r="SK88" s="272"/>
      <c r="SL88" s="272"/>
      <c r="SM88" s="272"/>
      <c r="SN88" s="272"/>
      <c r="SO88" s="272"/>
      <c r="SP88" s="272"/>
      <c r="SQ88" s="272"/>
      <c r="SR88" s="272"/>
      <c r="SS88" s="272"/>
      <c r="ST88" s="272"/>
      <c r="SU88" s="272"/>
      <c r="SV88" s="272"/>
      <c r="SW88" s="272"/>
      <c r="SX88" s="272"/>
      <c r="SY88" s="272"/>
      <c r="SZ88" s="272"/>
      <c r="TA88" s="272"/>
      <c r="TB88" s="272"/>
      <c r="TC88" s="272"/>
      <c r="TD88" s="272"/>
      <c r="TE88" s="272"/>
      <c r="TF88" s="272"/>
      <c r="TG88" s="272"/>
      <c r="TH88" s="272"/>
      <c r="TI88" s="272"/>
      <c r="TJ88" s="272"/>
      <c r="TK88" s="272"/>
      <c r="TL88" s="272"/>
      <c r="TM88" s="272"/>
      <c r="TN88" s="272"/>
      <c r="TO88" s="272"/>
      <c r="TP88" s="272"/>
      <c r="TQ88" s="272"/>
      <c r="TR88" s="272"/>
      <c r="TS88" s="272"/>
      <c r="TT88" s="272"/>
      <c r="TU88" s="272"/>
      <c r="TV88" s="272"/>
      <c r="TW88" s="272"/>
      <c r="TX88" s="272"/>
      <c r="TY88" s="272"/>
      <c r="TZ88" s="272"/>
      <c r="UA88" s="272"/>
      <c r="UB88" s="272"/>
      <c r="UC88" s="272"/>
      <c r="UD88" s="272"/>
      <c r="UE88" s="272"/>
      <c r="UF88" s="272"/>
      <c r="UG88" s="272"/>
      <c r="UH88" s="272"/>
      <c r="UI88" s="272"/>
      <c r="UJ88" s="272"/>
      <c r="UK88" s="272"/>
      <c r="UL88" s="272"/>
      <c r="UM88" s="272"/>
      <c r="UN88" s="272"/>
      <c r="UO88" s="272"/>
      <c r="UP88" s="272"/>
      <c r="UQ88" s="272"/>
      <c r="UR88" s="272"/>
      <c r="US88" s="272"/>
      <c r="UT88" s="272"/>
      <c r="UU88" s="272"/>
      <c r="UV88" s="272"/>
      <c r="UW88" s="272"/>
      <c r="UX88" s="272"/>
      <c r="UY88" s="272"/>
      <c r="UZ88" s="272"/>
      <c r="VA88" s="272"/>
      <c r="VB88" s="272"/>
      <c r="VC88" s="272"/>
      <c r="VD88" s="272"/>
      <c r="VE88" s="272"/>
      <c r="VF88" s="272"/>
      <c r="VG88" s="272"/>
      <c r="VH88" s="272"/>
      <c r="VI88" s="272"/>
      <c r="VJ88" s="272"/>
      <c r="VK88" s="272"/>
      <c r="VL88" s="272"/>
      <c r="VM88" s="272"/>
      <c r="VN88" s="272"/>
      <c r="VO88" s="272"/>
      <c r="VP88" s="272"/>
      <c r="VQ88" s="272"/>
      <c r="VR88" s="272"/>
      <c r="VS88" s="272"/>
      <c r="VT88" s="272"/>
      <c r="VU88" s="272"/>
      <c r="VV88" s="272"/>
      <c r="VW88" s="272"/>
      <c r="VX88" s="272"/>
      <c r="VY88" s="272"/>
      <c r="VZ88" s="272"/>
      <c r="WA88" s="272"/>
      <c r="WB88" s="272"/>
      <c r="WC88" s="272"/>
      <c r="WD88" s="272"/>
      <c r="WE88" s="272"/>
      <c r="WF88" s="272"/>
      <c r="WG88" s="272"/>
      <c r="WH88" s="272"/>
      <c r="WI88" s="272"/>
      <c r="WJ88" s="272"/>
      <c r="WK88" s="272"/>
      <c r="WL88" s="272"/>
      <c r="WM88" s="272"/>
      <c r="WN88" s="272"/>
      <c r="WO88" s="272"/>
      <c r="WP88" s="272"/>
      <c r="WQ88" s="272"/>
      <c r="WR88" s="272"/>
      <c r="WS88" s="272"/>
      <c r="WT88" s="272"/>
      <c r="WU88" s="272"/>
      <c r="WV88" s="272"/>
      <c r="WW88" s="272"/>
      <c r="WX88" s="272"/>
      <c r="WY88" s="272"/>
      <c r="WZ88" s="272"/>
      <c r="XA88" s="272"/>
      <c r="XB88" s="272"/>
      <c r="XC88" s="272"/>
      <c r="XD88" s="272"/>
      <c r="XE88" s="272"/>
      <c r="XF88" s="272"/>
      <c r="XG88" s="272"/>
      <c r="XH88" s="272"/>
      <c r="XI88" s="272"/>
      <c r="XJ88" s="272"/>
      <c r="XK88" s="272"/>
      <c r="XL88" s="272"/>
      <c r="XM88" s="272"/>
      <c r="XN88" s="272"/>
      <c r="XO88" s="272"/>
      <c r="XP88" s="272"/>
      <c r="XQ88" s="272"/>
      <c r="XR88" s="272"/>
      <c r="XS88" s="272"/>
      <c r="XT88" s="272"/>
      <c r="XU88" s="272"/>
      <c r="XV88" s="272"/>
      <c r="XW88" s="272"/>
      <c r="XX88" s="272"/>
      <c r="XY88" s="272"/>
      <c r="XZ88" s="272"/>
      <c r="YA88" s="272"/>
      <c r="YB88" s="272"/>
      <c r="YC88" s="272"/>
      <c r="YD88" s="272"/>
      <c r="YE88" s="272"/>
      <c r="YF88" s="272"/>
      <c r="YG88" s="272"/>
      <c r="YH88" s="272"/>
      <c r="YI88" s="272"/>
      <c r="YJ88" s="272"/>
      <c r="YK88" s="272"/>
      <c r="YL88" s="272"/>
      <c r="YM88" s="272"/>
      <c r="YN88" s="272"/>
      <c r="YO88" s="272"/>
      <c r="YP88" s="272"/>
      <c r="YQ88" s="272"/>
      <c r="YR88" s="272"/>
      <c r="YS88" s="272"/>
      <c r="YT88" s="272"/>
      <c r="YU88" s="272"/>
      <c r="YV88" s="272"/>
      <c r="YW88" s="272"/>
      <c r="YX88" s="272"/>
      <c r="YY88" s="272"/>
      <c r="YZ88" s="272"/>
      <c r="ZA88" s="272"/>
      <c r="ZB88" s="272"/>
      <c r="ZC88" s="272"/>
      <c r="ZD88" s="272"/>
      <c r="ZE88" s="272"/>
      <c r="ZF88" s="272"/>
      <c r="ZG88" s="272"/>
      <c r="ZH88" s="272"/>
      <c r="ZI88" s="272"/>
      <c r="ZJ88" s="272"/>
      <c r="ZK88" s="272"/>
      <c r="ZL88" s="272"/>
      <c r="ZM88" s="272"/>
      <c r="ZN88" s="272"/>
      <c r="ZO88" s="272"/>
      <c r="ZP88" s="272"/>
      <c r="ZQ88" s="272"/>
      <c r="ZR88" s="272"/>
      <c r="ZS88" s="272"/>
      <c r="ZT88" s="272"/>
    </row>
    <row r="89" spans="1:696" s="61" customFormat="1" ht="25.5">
      <c r="A89" s="69" t="s">
        <v>14</v>
      </c>
      <c r="B89" s="70" t="s">
        <v>34</v>
      </c>
      <c r="C89" s="30" t="s">
        <v>52</v>
      </c>
      <c r="D89" s="501"/>
      <c r="E89" s="531"/>
      <c r="F89" s="502"/>
      <c r="G89" s="503"/>
      <c r="H89" s="503"/>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272"/>
      <c r="BL89" s="272"/>
      <c r="BM89" s="272"/>
      <c r="BN89" s="272"/>
      <c r="BO89" s="272"/>
      <c r="BP89" s="272"/>
      <c r="BQ89" s="272"/>
      <c r="BR89" s="272"/>
      <c r="BS89" s="272"/>
      <c r="BT89" s="272"/>
      <c r="BU89" s="272"/>
      <c r="BV89" s="272"/>
      <c r="BW89" s="272"/>
      <c r="BX89" s="272"/>
      <c r="BY89" s="272"/>
      <c r="BZ89" s="272"/>
      <c r="CA89" s="272"/>
      <c r="CB89" s="272"/>
      <c r="CC89" s="272"/>
      <c r="CD89" s="272"/>
      <c r="CE89" s="272"/>
      <c r="CF89" s="272"/>
      <c r="CG89" s="272"/>
      <c r="CH89" s="272"/>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2"/>
      <c r="DF89" s="272"/>
      <c r="DG89" s="272"/>
      <c r="DH89" s="272"/>
      <c r="DI89" s="272"/>
      <c r="DJ89" s="272"/>
      <c r="DK89" s="272"/>
      <c r="DL89" s="272"/>
      <c r="DM89" s="272"/>
      <c r="DN89" s="272"/>
      <c r="DO89" s="272"/>
      <c r="DP89" s="272"/>
      <c r="DQ89" s="272"/>
      <c r="DR89" s="272"/>
      <c r="DS89" s="272"/>
      <c r="DT89" s="272"/>
      <c r="DU89" s="272"/>
      <c r="DV89" s="272"/>
      <c r="DW89" s="272"/>
      <c r="DX89" s="272"/>
      <c r="DY89" s="272"/>
      <c r="DZ89" s="272"/>
      <c r="EA89" s="272"/>
      <c r="EB89" s="272"/>
      <c r="EC89" s="272"/>
      <c r="ED89" s="272"/>
      <c r="EE89" s="272"/>
      <c r="EF89" s="272"/>
      <c r="EG89" s="272"/>
      <c r="EH89" s="272"/>
      <c r="EI89" s="272"/>
      <c r="EJ89" s="272"/>
      <c r="EK89" s="272"/>
      <c r="EL89" s="272"/>
      <c r="EM89" s="272"/>
      <c r="EN89" s="272"/>
      <c r="EO89" s="272"/>
      <c r="EP89" s="272"/>
      <c r="EQ89" s="272"/>
      <c r="ER89" s="272"/>
      <c r="ES89" s="272"/>
      <c r="ET89" s="272"/>
      <c r="EU89" s="272"/>
      <c r="EV89" s="272"/>
      <c r="EW89" s="272"/>
      <c r="EX89" s="272"/>
      <c r="EY89" s="272"/>
      <c r="EZ89" s="272"/>
      <c r="FA89" s="272"/>
      <c r="FB89" s="272"/>
      <c r="FC89" s="272"/>
      <c r="FD89" s="272"/>
      <c r="FE89" s="272"/>
      <c r="FF89" s="272"/>
      <c r="FG89" s="272"/>
      <c r="FH89" s="272"/>
      <c r="FI89" s="272"/>
      <c r="FJ89" s="272"/>
      <c r="FK89" s="272"/>
      <c r="FL89" s="272"/>
      <c r="FM89" s="272"/>
      <c r="FN89" s="272"/>
      <c r="FO89" s="272"/>
      <c r="FP89" s="272"/>
      <c r="FQ89" s="272"/>
      <c r="FR89" s="272"/>
      <c r="FS89" s="272"/>
      <c r="FT89" s="272"/>
      <c r="FU89" s="272"/>
      <c r="FV89" s="272"/>
      <c r="FW89" s="272"/>
      <c r="FX89" s="272"/>
      <c r="FY89" s="272"/>
      <c r="FZ89" s="272"/>
      <c r="GA89" s="272"/>
      <c r="GB89" s="272"/>
      <c r="GC89" s="272"/>
      <c r="GD89" s="272"/>
      <c r="GE89" s="272"/>
      <c r="GF89" s="272"/>
      <c r="GG89" s="272"/>
      <c r="GH89" s="272"/>
      <c r="GI89" s="272"/>
      <c r="GJ89" s="272"/>
      <c r="GK89" s="272"/>
      <c r="GL89" s="272"/>
      <c r="GM89" s="272"/>
      <c r="GN89" s="272"/>
      <c r="GO89" s="272"/>
      <c r="GP89" s="272"/>
      <c r="GQ89" s="272"/>
      <c r="GR89" s="272"/>
      <c r="GS89" s="272"/>
      <c r="GT89" s="272"/>
      <c r="GU89" s="272"/>
      <c r="GV89" s="272"/>
      <c r="GW89" s="272"/>
      <c r="GX89" s="272"/>
      <c r="GY89" s="272"/>
      <c r="GZ89" s="272"/>
      <c r="HA89" s="272"/>
      <c r="HB89" s="272"/>
      <c r="HC89" s="272"/>
      <c r="HD89" s="272"/>
      <c r="HE89" s="272"/>
      <c r="HF89" s="272"/>
      <c r="HG89" s="272"/>
      <c r="HH89" s="272"/>
      <c r="HI89" s="272"/>
      <c r="HJ89" s="272"/>
      <c r="HK89" s="272"/>
      <c r="HL89" s="272"/>
      <c r="HM89" s="272"/>
      <c r="HN89" s="272"/>
      <c r="HO89" s="272"/>
      <c r="HP89" s="272"/>
      <c r="HQ89" s="272"/>
      <c r="HR89" s="272"/>
      <c r="HS89" s="272"/>
      <c r="HT89" s="272"/>
      <c r="HU89" s="272"/>
      <c r="HV89" s="272"/>
      <c r="HW89" s="272"/>
      <c r="HX89" s="272"/>
      <c r="HY89" s="272"/>
      <c r="HZ89" s="272"/>
      <c r="IA89" s="272"/>
      <c r="IB89" s="272"/>
      <c r="IC89" s="272"/>
      <c r="ID89" s="272"/>
      <c r="IE89" s="272"/>
      <c r="IF89" s="272"/>
      <c r="IG89" s="272"/>
      <c r="IH89" s="272"/>
      <c r="II89" s="272"/>
      <c r="IJ89" s="272"/>
      <c r="IK89" s="272"/>
      <c r="IL89" s="272"/>
      <c r="IM89" s="272"/>
      <c r="IN89" s="272"/>
      <c r="IO89" s="272"/>
      <c r="IP89" s="272"/>
      <c r="IQ89" s="272"/>
      <c r="IR89" s="272"/>
      <c r="IS89" s="272"/>
      <c r="IT89" s="272"/>
      <c r="IU89" s="272"/>
      <c r="IV89" s="272"/>
      <c r="IW89" s="272"/>
      <c r="IX89" s="272"/>
      <c r="IY89" s="272"/>
      <c r="IZ89" s="272"/>
      <c r="JA89" s="272"/>
      <c r="JB89" s="272"/>
      <c r="JC89" s="272"/>
      <c r="JD89" s="272"/>
      <c r="JE89" s="272"/>
      <c r="JF89" s="272"/>
      <c r="JG89" s="272"/>
      <c r="JH89" s="272"/>
      <c r="JI89" s="272"/>
      <c r="JJ89" s="272"/>
      <c r="JK89" s="272"/>
      <c r="JL89" s="272"/>
      <c r="JM89" s="272"/>
      <c r="JN89" s="272"/>
      <c r="JO89" s="272"/>
      <c r="JP89" s="272"/>
      <c r="JQ89" s="272"/>
      <c r="JR89" s="272"/>
      <c r="JS89" s="272"/>
      <c r="JT89" s="272"/>
      <c r="JU89" s="272"/>
      <c r="JV89" s="272"/>
      <c r="JW89" s="272"/>
      <c r="JX89" s="272"/>
      <c r="JY89" s="272"/>
      <c r="JZ89" s="272"/>
      <c r="KA89" s="272"/>
      <c r="KB89" s="272"/>
      <c r="KC89" s="272"/>
      <c r="KD89" s="272"/>
      <c r="KE89" s="272"/>
      <c r="KF89" s="272"/>
      <c r="KG89" s="272"/>
      <c r="KH89" s="272"/>
      <c r="KI89" s="272"/>
      <c r="KJ89" s="272"/>
      <c r="KK89" s="272"/>
      <c r="KL89" s="272"/>
      <c r="KM89" s="272"/>
      <c r="KN89" s="272"/>
      <c r="KO89" s="272"/>
      <c r="KP89" s="272"/>
      <c r="KQ89" s="272"/>
      <c r="KR89" s="272"/>
      <c r="KS89" s="272"/>
      <c r="KT89" s="272"/>
      <c r="KU89" s="272"/>
      <c r="KV89" s="272"/>
      <c r="KW89" s="272"/>
      <c r="KX89" s="272"/>
      <c r="KY89" s="272"/>
      <c r="KZ89" s="272"/>
      <c r="LA89" s="272"/>
      <c r="LB89" s="272"/>
      <c r="LC89" s="272"/>
      <c r="LD89" s="272"/>
      <c r="LE89" s="272"/>
      <c r="LF89" s="272"/>
      <c r="LG89" s="272"/>
      <c r="LH89" s="272"/>
      <c r="LI89" s="272"/>
      <c r="LJ89" s="272"/>
      <c r="LK89" s="272"/>
      <c r="LL89" s="272"/>
      <c r="LM89" s="272"/>
      <c r="LN89" s="272"/>
      <c r="LO89" s="272"/>
      <c r="LP89" s="272"/>
      <c r="LQ89" s="272"/>
      <c r="LR89" s="272"/>
      <c r="LS89" s="272"/>
      <c r="LT89" s="272"/>
      <c r="LU89" s="272"/>
      <c r="LV89" s="272"/>
      <c r="LW89" s="272"/>
      <c r="LX89" s="272"/>
      <c r="LY89" s="272"/>
      <c r="LZ89" s="272"/>
      <c r="MA89" s="272"/>
      <c r="MB89" s="272"/>
      <c r="MC89" s="272"/>
      <c r="MD89" s="272"/>
      <c r="ME89" s="272"/>
      <c r="MF89" s="272"/>
      <c r="MG89" s="272"/>
      <c r="MH89" s="272"/>
      <c r="MI89" s="272"/>
      <c r="MJ89" s="272"/>
      <c r="MK89" s="272"/>
      <c r="ML89" s="272"/>
      <c r="MM89" s="272"/>
      <c r="MN89" s="272"/>
      <c r="MO89" s="272"/>
      <c r="MP89" s="272"/>
      <c r="MQ89" s="272"/>
      <c r="MR89" s="272"/>
      <c r="MS89" s="272"/>
      <c r="MT89" s="272"/>
      <c r="MU89" s="272"/>
      <c r="MV89" s="272"/>
      <c r="MW89" s="272"/>
      <c r="MX89" s="272"/>
      <c r="MY89" s="272"/>
      <c r="MZ89" s="272"/>
      <c r="NA89" s="272"/>
      <c r="NB89" s="272"/>
      <c r="NC89" s="272"/>
      <c r="ND89" s="272"/>
      <c r="NE89" s="272"/>
      <c r="NF89" s="272"/>
      <c r="NG89" s="272"/>
      <c r="NH89" s="272"/>
      <c r="NI89" s="272"/>
      <c r="NJ89" s="272"/>
      <c r="NK89" s="272"/>
      <c r="NL89" s="272"/>
      <c r="NM89" s="272"/>
      <c r="NN89" s="272"/>
      <c r="NO89" s="272"/>
      <c r="NP89" s="272"/>
      <c r="NQ89" s="272"/>
      <c r="NR89" s="272"/>
      <c r="NS89" s="272"/>
      <c r="NT89" s="272"/>
      <c r="NU89" s="272"/>
      <c r="NV89" s="272"/>
      <c r="NW89" s="272"/>
      <c r="NX89" s="272"/>
      <c r="NY89" s="272"/>
      <c r="NZ89" s="272"/>
      <c r="OA89" s="272"/>
      <c r="OB89" s="272"/>
      <c r="OC89" s="272"/>
      <c r="OD89" s="272"/>
      <c r="OE89" s="272"/>
      <c r="OF89" s="272"/>
      <c r="OG89" s="272"/>
      <c r="OH89" s="272"/>
      <c r="OI89" s="272"/>
      <c r="OJ89" s="272"/>
      <c r="OK89" s="272"/>
      <c r="OL89" s="272"/>
      <c r="OM89" s="272"/>
      <c r="ON89" s="272"/>
      <c r="OO89" s="272"/>
      <c r="OP89" s="272"/>
      <c r="OQ89" s="272"/>
      <c r="OR89" s="272"/>
      <c r="OS89" s="272"/>
      <c r="OT89" s="272"/>
      <c r="OU89" s="272"/>
      <c r="OV89" s="272"/>
      <c r="OW89" s="272"/>
      <c r="OX89" s="272"/>
      <c r="OY89" s="272"/>
      <c r="OZ89" s="272"/>
      <c r="PA89" s="272"/>
      <c r="PB89" s="272"/>
      <c r="PC89" s="272"/>
      <c r="PD89" s="272"/>
      <c r="PE89" s="272"/>
      <c r="PF89" s="272"/>
      <c r="PG89" s="272"/>
      <c r="PH89" s="272"/>
      <c r="PI89" s="272"/>
      <c r="PJ89" s="272"/>
      <c r="PK89" s="272"/>
      <c r="PL89" s="272"/>
      <c r="PM89" s="272"/>
      <c r="PN89" s="272"/>
      <c r="PO89" s="272"/>
      <c r="PP89" s="272"/>
      <c r="PQ89" s="272"/>
      <c r="PR89" s="272"/>
      <c r="PS89" s="272"/>
      <c r="PT89" s="272"/>
      <c r="PU89" s="272"/>
      <c r="PV89" s="272"/>
      <c r="PW89" s="272"/>
      <c r="PX89" s="272"/>
      <c r="PY89" s="272"/>
      <c r="PZ89" s="272"/>
      <c r="QA89" s="272"/>
      <c r="QB89" s="272"/>
      <c r="QC89" s="272"/>
      <c r="QD89" s="272"/>
      <c r="QE89" s="272"/>
      <c r="QF89" s="272"/>
      <c r="QG89" s="272"/>
      <c r="QH89" s="272"/>
      <c r="QI89" s="272"/>
      <c r="QJ89" s="272"/>
      <c r="QK89" s="272"/>
      <c r="QL89" s="272"/>
      <c r="QM89" s="272"/>
      <c r="QN89" s="272"/>
      <c r="QO89" s="272"/>
      <c r="QP89" s="272"/>
      <c r="QQ89" s="272"/>
      <c r="QR89" s="272"/>
      <c r="QS89" s="272"/>
      <c r="QT89" s="272"/>
      <c r="QU89" s="272"/>
      <c r="QV89" s="272"/>
      <c r="QW89" s="272"/>
      <c r="QX89" s="272"/>
      <c r="QY89" s="272"/>
      <c r="QZ89" s="272"/>
      <c r="RA89" s="272"/>
      <c r="RB89" s="272"/>
      <c r="RC89" s="272"/>
      <c r="RD89" s="272"/>
      <c r="RE89" s="272"/>
      <c r="RF89" s="272"/>
      <c r="RG89" s="272"/>
      <c r="RH89" s="272"/>
      <c r="RI89" s="272"/>
      <c r="RJ89" s="272"/>
      <c r="RK89" s="272"/>
      <c r="RL89" s="272"/>
      <c r="RM89" s="272"/>
      <c r="RN89" s="272"/>
      <c r="RO89" s="272"/>
      <c r="RP89" s="272"/>
      <c r="RQ89" s="272"/>
      <c r="RR89" s="272"/>
      <c r="RS89" s="272"/>
      <c r="RT89" s="272"/>
      <c r="RU89" s="272"/>
      <c r="RV89" s="272"/>
      <c r="RW89" s="272"/>
      <c r="RX89" s="272"/>
      <c r="RY89" s="272"/>
      <c r="RZ89" s="272"/>
      <c r="SA89" s="272"/>
      <c r="SB89" s="272"/>
      <c r="SC89" s="272"/>
      <c r="SD89" s="272"/>
      <c r="SE89" s="272"/>
      <c r="SF89" s="272"/>
      <c r="SG89" s="272"/>
      <c r="SH89" s="272"/>
      <c r="SI89" s="272"/>
      <c r="SJ89" s="272"/>
      <c r="SK89" s="272"/>
      <c r="SL89" s="272"/>
      <c r="SM89" s="272"/>
      <c r="SN89" s="272"/>
      <c r="SO89" s="272"/>
      <c r="SP89" s="272"/>
      <c r="SQ89" s="272"/>
      <c r="SR89" s="272"/>
      <c r="SS89" s="272"/>
      <c r="ST89" s="272"/>
      <c r="SU89" s="272"/>
      <c r="SV89" s="272"/>
      <c r="SW89" s="272"/>
      <c r="SX89" s="272"/>
      <c r="SY89" s="272"/>
      <c r="SZ89" s="272"/>
      <c r="TA89" s="272"/>
      <c r="TB89" s="272"/>
      <c r="TC89" s="272"/>
      <c r="TD89" s="272"/>
      <c r="TE89" s="272"/>
      <c r="TF89" s="272"/>
      <c r="TG89" s="272"/>
      <c r="TH89" s="272"/>
      <c r="TI89" s="272"/>
      <c r="TJ89" s="272"/>
      <c r="TK89" s="272"/>
      <c r="TL89" s="272"/>
      <c r="TM89" s="272"/>
      <c r="TN89" s="272"/>
      <c r="TO89" s="272"/>
      <c r="TP89" s="272"/>
      <c r="TQ89" s="272"/>
      <c r="TR89" s="272"/>
      <c r="TS89" s="272"/>
      <c r="TT89" s="272"/>
      <c r="TU89" s="272"/>
      <c r="TV89" s="272"/>
      <c r="TW89" s="272"/>
      <c r="TX89" s="272"/>
      <c r="TY89" s="272"/>
      <c r="TZ89" s="272"/>
      <c r="UA89" s="272"/>
      <c r="UB89" s="272"/>
      <c r="UC89" s="272"/>
      <c r="UD89" s="272"/>
      <c r="UE89" s="272"/>
      <c r="UF89" s="272"/>
      <c r="UG89" s="272"/>
      <c r="UH89" s="272"/>
      <c r="UI89" s="272"/>
      <c r="UJ89" s="272"/>
      <c r="UK89" s="272"/>
      <c r="UL89" s="272"/>
      <c r="UM89" s="272"/>
      <c r="UN89" s="272"/>
      <c r="UO89" s="272"/>
      <c r="UP89" s="272"/>
      <c r="UQ89" s="272"/>
      <c r="UR89" s="272"/>
      <c r="US89" s="272"/>
      <c r="UT89" s="272"/>
      <c r="UU89" s="272"/>
      <c r="UV89" s="272"/>
      <c r="UW89" s="272"/>
      <c r="UX89" s="272"/>
      <c r="UY89" s="272"/>
      <c r="UZ89" s="272"/>
      <c r="VA89" s="272"/>
      <c r="VB89" s="272"/>
      <c r="VC89" s="272"/>
      <c r="VD89" s="272"/>
      <c r="VE89" s="272"/>
      <c r="VF89" s="272"/>
      <c r="VG89" s="272"/>
      <c r="VH89" s="272"/>
      <c r="VI89" s="272"/>
      <c r="VJ89" s="272"/>
      <c r="VK89" s="272"/>
      <c r="VL89" s="272"/>
      <c r="VM89" s="272"/>
      <c r="VN89" s="272"/>
      <c r="VO89" s="272"/>
      <c r="VP89" s="272"/>
      <c r="VQ89" s="272"/>
      <c r="VR89" s="272"/>
      <c r="VS89" s="272"/>
      <c r="VT89" s="272"/>
      <c r="VU89" s="272"/>
      <c r="VV89" s="272"/>
      <c r="VW89" s="272"/>
      <c r="VX89" s="272"/>
      <c r="VY89" s="272"/>
      <c r="VZ89" s="272"/>
      <c r="WA89" s="272"/>
      <c r="WB89" s="272"/>
      <c r="WC89" s="272"/>
      <c r="WD89" s="272"/>
      <c r="WE89" s="272"/>
      <c r="WF89" s="272"/>
      <c r="WG89" s="272"/>
      <c r="WH89" s="272"/>
      <c r="WI89" s="272"/>
      <c r="WJ89" s="272"/>
      <c r="WK89" s="272"/>
      <c r="WL89" s="272"/>
      <c r="WM89" s="272"/>
      <c r="WN89" s="272"/>
      <c r="WO89" s="272"/>
      <c r="WP89" s="272"/>
      <c r="WQ89" s="272"/>
      <c r="WR89" s="272"/>
      <c r="WS89" s="272"/>
      <c r="WT89" s="272"/>
      <c r="WU89" s="272"/>
      <c r="WV89" s="272"/>
      <c r="WW89" s="272"/>
      <c r="WX89" s="272"/>
      <c r="WY89" s="272"/>
      <c r="WZ89" s="272"/>
      <c r="XA89" s="272"/>
      <c r="XB89" s="272"/>
      <c r="XC89" s="272"/>
      <c r="XD89" s="272"/>
      <c r="XE89" s="272"/>
      <c r="XF89" s="272"/>
      <c r="XG89" s="272"/>
      <c r="XH89" s="272"/>
      <c r="XI89" s="272"/>
      <c r="XJ89" s="272"/>
      <c r="XK89" s="272"/>
      <c r="XL89" s="272"/>
      <c r="XM89" s="272"/>
      <c r="XN89" s="272"/>
      <c r="XO89" s="272"/>
      <c r="XP89" s="272"/>
      <c r="XQ89" s="272"/>
      <c r="XR89" s="272"/>
      <c r="XS89" s="272"/>
      <c r="XT89" s="272"/>
      <c r="XU89" s="272"/>
      <c r="XV89" s="272"/>
      <c r="XW89" s="272"/>
      <c r="XX89" s="272"/>
      <c r="XY89" s="272"/>
      <c r="XZ89" s="272"/>
      <c r="YA89" s="272"/>
      <c r="YB89" s="272"/>
      <c r="YC89" s="272"/>
      <c r="YD89" s="272"/>
      <c r="YE89" s="272"/>
      <c r="YF89" s="272"/>
      <c r="YG89" s="272"/>
      <c r="YH89" s="272"/>
      <c r="YI89" s="272"/>
      <c r="YJ89" s="272"/>
      <c r="YK89" s="272"/>
      <c r="YL89" s="272"/>
      <c r="YM89" s="272"/>
      <c r="YN89" s="272"/>
      <c r="YO89" s="272"/>
      <c r="YP89" s="272"/>
      <c r="YQ89" s="272"/>
      <c r="YR89" s="272"/>
      <c r="YS89" s="272"/>
      <c r="YT89" s="272"/>
      <c r="YU89" s="272"/>
      <c r="YV89" s="272"/>
      <c r="YW89" s="272"/>
      <c r="YX89" s="272"/>
      <c r="YY89" s="272"/>
      <c r="YZ89" s="272"/>
      <c r="ZA89" s="272"/>
      <c r="ZB89" s="272"/>
      <c r="ZC89" s="272"/>
      <c r="ZD89" s="272"/>
      <c r="ZE89" s="272"/>
      <c r="ZF89" s="272"/>
      <c r="ZG89" s="272"/>
      <c r="ZH89" s="272"/>
      <c r="ZI89" s="272"/>
      <c r="ZJ89" s="272"/>
      <c r="ZK89" s="272"/>
      <c r="ZL89" s="272"/>
      <c r="ZM89" s="272"/>
      <c r="ZN89" s="272"/>
      <c r="ZO89" s="272"/>
      <c r="ZP89" s="272"/>
      <c r="ZQ89" s="272"/>
      <c r="ZR89" s="272"/>
      <c r="ZS89" s="272"/>
      <c r="ZT89" s="272"/>
    </row>
    <row r="90" spans="1:696" s="19" customFormat="1" ht="15">
      <c r="A90" s="47"/>
      <c r="B90" s="74"/>
      <c r="C90" s="55" t="s">
        <v>53</v>
      </c>
      <c r="D90" s="55"/>
      <c r="E90" s="57"/>
      <c r="F90" s="57"/>
      <c r="G90" s="263"/>
      <c r="H90" s="263"/>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c r="BJ90" s="272"/>
      <c r="BK90" s="272"/>
      <c r="BL90" s="272"/>
      <c r="BM90" s="272"/>
      <c r="BN90" s="272"/>
      <c r="BO90" s="272"/>
      <c r="BP90" s="272"/>
      <c r="BQ90" s="272"/>
      <c r="BR90" s="272"/>
      <c r="BS90" s="272"/>
      <c r="BT90" s="272"/>
      <c r="BU90" s="272"/>
      <c r="BV90" s="272"/>
      <c r="BW90" s="272"/>
      <c r="BX90" s="272"/>
      <c r="BY90" s="272"/>
      <c r="BZ90" s="272"/>
      <c r="CA90" s="272"/>
      <c r="CB90" s="272"/>
      <c r="CC90" s="272"/>
      <c r="CD90" s="272"/>
      <c r="CE90" s="272"/>
      <c r="CF90" s="272"/>
      <c r="CG90" s="272"/>
      <c r="CH90" s="272"/>
      <c r="CI90" s="272"/>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2"/>
      <c r="EE90" s="272"/>
      <c r="EF90" s="272"/>
      <c r="EG90" s="272"/>
      <c r="EH90" s="272"/>
      <c r="EI90" s="272"/>
      <c r="EJ90" s="272"/>
      <c r="EK90" s="272"/>
      <c r="EL90" s="272"/>
      <c r="EM90" s="272"/>
      <c r="EN90" s="272"/>
      <c r="EO90" s="272"/>
      <c r="EP90" s="272"/>
      <c r="EQ90" s="272"/>
      <c r="ER90" s="272"/>
      <c r="ES90" s="272"/>
      <c r="ET90" s="272"/>
      <c r="EU90" s="272"/>
      <c r="EV90" s="272"/>
      <c r="EW90" s="272"/>
      <c r="EX90" s="272"/>
      <c r="EY90" s="272"/>
      <c r="EZ90" s="272"/>
      <c r="FA90" s="272"/>
      <c r="FB90" s="272"/>
      <c r="FC90" s="272"/>
      <c r="FD90" s="272"/>
      <c r="FE90" s="272"/>
      <c r="FF90" s="272"/>
      <c r="FG90" s="272"/>
      <c r="FH90" s="272"/>
      <c r="FI90" s="272"/>
      <c r="FJ90" s="272"/>
      <c r="FK90" s="272"/>
      <c r="FL90" s="272"/>
      <c r="FM90" s="272"/>
      <c r="FN90" s="272"/>
      <c r="FO90" s="272"/>
      <c r="FP90" s="272"/>
      <c r="FQ90" s="272"/>
      <c r="FR90" s="272"/>
      <c r="FS90" s="272"/>
      <c r="FT90" s="272"/>
      <c r="FU90" s="272"/>
      <c r="FV90" s="272"/>
      <c r="FW90" s="272"/>
      <c r="FX90" s="272"/>
      <c r="FY90" s="272"/>
      <c r="FZ90" s="272"/>
      <c r="GA90" s="272"/>
      <c r="GB90" s="272"/>
      <c r="GC90" s="272"/>
      <c r="GD90" s="272"/>
      <c r="GE90" s="272"/>
      <c r="GF90" s="272"/>
      <c r="GG90" s="272"/>
      <c r="GH90" s="272"/>
      <c r="GI90" s="272"/>
      <c r="GJ90" s="272"/>
      <c r="GK90" s="272"/>
      <c r="GL90" s="272"/>
      <c r="GM90" s="272"/>
      <c r="GN90" s="272"/>
      <c r="GO90" s="272"/>
      <c r="GP90" s="272"/>
      <c r="GQ90" s="272"/>
      <c r="GR90" s="272"/>
      <c r="GS90" s="272"/>
      <c r="GT90" s="272"/>
      <c r="GU90" s="272"/>
      <c r="GV90" s="272"/>
      <c r="GW90" s="272"/>
      <c r="GX90" s="272"/>
      <c r="GY90" s="272"/>
      <c r="GZ90" s="272"/>
      <c r="HA90" s="272"/>
      <c r="HB90" s="272"/>
      <c r="HC90" s="272"/>
      <c r="HD90" s="272"/>
      <c r="HE90" s="272"/>
      <c r="HF90" s="272"/>
      <c r="HG90" s="272"/>
      <c r="HH90" s="272"/>
      <c r="HI90" s="272"/>
      <c r="HJ90" s="272"/>
      <c r="HK90" s="272"/>
      <c r="HL90" s="272"/>
      <c r="HM90" s="272"/>
      <c r="HN90" s="272"/>
      <c r="HO90" s="272"/>
      <c r="HP90" s="272"/>
      <c r="HQ90" s="272"/>
      <c r="HR90" s="272"/>
      <c r="HS90" s="272"/>
      <c r="HT90" s="272"/>
      <c r="HU90" s="272"/>
      <c r="HV90" s="272"/>
      <c r="HW90" s="272"/>
      <c r="HX90" s="272"/>
      <c r="HY90" s="272"/>
      <c r="HZ90" s="272"/>
      <c r="IA90" s="272"/>
      <c r="IB90" s="272"/>
      <c r="IC90" s="272"/>
      <c r="ID90" s="272"/>
      <c r="IE90" s="272"/>
      <c r="IF90" s="272"/>
      <c r="IG90" s="272"/>
      <c r="IH90" s="272"/>
      <c r="II90" s="272"/>
      <c r="IJ90" s="272"/>
      <c r="IK90" s="272"/>
      <c r="IL90" s="272"/>
      <c r="IM90" s="272"/>
      <c r="IN90" s="272"/>
      <c r="IO90" s="272"/>
      <c r="IP90" s="272"/>
      <c r="IQ90" s="272"/>
      <c r="IR90" s="272"/>
      <c r="IS90" s="272"/>
      <c r="IT90" s="272"/>
      <c r="IU90" s="272"/>
      <c r="IV90" s="272"/>
      <c r="IW90" s="272"/>
      <c r="IX90" s="272"/>
      <c r="IY90" s="272"/>
      <c r="IZ90" s="272"/>
      <c r="JA90" s="272"/>
      <c r="JB90" s="272"/>
      <c r="JC90" s="272"/>
      <c r="JD90" s="272"/>
      <c r="JE90" s="272"/>
      <c r="JF90" s="272"/>
      <c r="JG90" s="272"/>
      <c r="JH90" s="272"/>
      <c r="JI90" s="272"/>
      <c r="JJ90" s="272"/>
      <c r="JK90" s="272"/>
      <c r="JL90" s="272"/>
      <c r="JM90" s="272"/>
      <c r="JN90" s="272"/>
      <c r="JO90" s="272"/>
      <c r="JP90" s="272"/>
      <c r="JQ90" s="272"/>
      <c r="JR90" s="272"/>
      <c r="JS90" s="272"/>
      <c r="JT90" s="272"/>
      <c r="JU90" s="272"/>
      <c r="JV90" s="272"/>
      <c r="JW90" s="272"/>
      <c r="JX90" s="272"/>
      <c r="JY90" s="272"/>
      <c r="JZ90" s="272"/>
      <c r="KA90" s="272"/>
      <c r="KB90" s="272"/>
      <c r="KC90" s="272"/>
      <c r="KD90" s="272"/>
      <c r="KE90" s="272"/>
      <c r="KF90" s="272"/>
      <c r="KG90" s="272"/>
      <c r="KH90" s="272"/>
      <c r="KI90" s="272"/>
      <c r="KJ90" s="272"/>
      <c r="KK90" s="272"/>
      <c r="KL90" s="272"/>
      <c r="KM90" s="272"/>
      <c r="KN90" s="272"/>
      <c r="KO90" s="272"/>
      <c r="KP90" s="272"/>
      <c r="KQ90" s="272"/>
      <c r="KR90" s="272"/>
      <c r="KS90" s="272"/>
      <c r="KT90" s="272"/>
      <c r="KU90" s="272"/>
      <c r="KV90" s="272"/>
      <c r="KW90" s="272"/>
      <c r="KX90" s="272"/>
      <c r="KY90" s="272"/>
      <c r="KZ90" s="272"/>
      <c r="LA90" s="272"/>
      <c r="LB90" s="272"/>
      <c r="LC90" s="272"/>
      <c r="LD90" s="272"/>
      <c r="LE90" s="272"/>
      <c r="LF90" s="272"/>
      <c r="LG90" s="272"/>
      <c r="LH90" s="272"/>
      <c r="LI90" s="272"/>
      <c r="LJ90" s="272"/>
      <c r="LK90" s="272"/>
      <c r="LL90" s="272"/>
      <c r="LM90" s="272"/>
      <c r="LN90" s="272"/>
      <c r="LO90" s="272"/>
      <c r="LP90" s="272"/>
      <c r="LQ90" s="272"/>
      <c r="LR90" s="272"/>
      <c r="LS90" s="272"/>
      <c r="LT90" s="272"/>
      <c r="LU90" s="272"/>
      <c r="LV90" s="272"/>
      <c r="LW90" s="272"/>
      <c r="LX90" s="272"/>
      <c r="LY90" s="272"/>
      <c r="LZ90" s="272"/>
      <c r="MA90" s="272"/>
      <c r="MB90" s="272"/>
      <c r="MC90" s="272"/>
      <c r="MD90" s="272"/>
      <c r="ME90" s="272"/>
      <c r="MF90" s="272"/>
      <c r="MG90" s="272"/>
      <c r="MH90" s="272"/>
      <c r="MI90" s="272"/>
      <c r="MJ90" s="272"/>
      <c r="MK90" s="272"/>
      <c r="ML90" s="272"/>
      <c r="MM90" s="272"/>
      <c r="MN90" s="272"/>
      <c r="MO90" s="272"/>
      <c r="MP90" s="272"/>
      <c r="MQ90" s="272"/>
      <c r="MR90" s="272"/>
      <c r="MS90" s="272"/>
      <c r="MT90" s="272"/>
      <c r="MU90" s="272"/>
      <c r="MV90" s="272"/>
      <c r="MW90" s="272"/>
      <c r="MX90" s="272"/>
      <c r="MY90" s="272"/>
      <c r="MZ90" s="272"/>
      <c r="NA90" s="272"/>
      <c r="NB90" s="272"/>
      <c r="NC90" s="272"/>
      <c r="ND90" s="272"/>
      <c r="NE90" s="272"/>
      <c r="NF90" s="272"/>
      <c r="NG90" s="272"/>
      <c r="NH90" s="272"/>
      <c r="NI90" s="272"/>
      <c r="NJ90" s="272"/>
      <c r="NK90" s="272"/>
      <c r="NL90" s="272"/>
      <c r="NM90" s="272"/>
      <c r="NN90" s="272"/>
      <c r="NO90" s="272"/>
      <c r="NP90" s="272"/>
      <c r="NQ90" s="272"/>
      <c r="NR90" s="272"/>
      <c r="NS90" s="272"/>
      <c r="NT90" s="272"/>
      <c r="NU90" s="272"/>
      <c r="NV90" s="272"/>
      <c r="NW90" s="272"/>
      <c r="NX90" s="272"/>
      <c r="NY90" s="272"/>
      <c r="NZ90" s="272"/>
      <c r="OA90" s="272"/>
      <c r="OB90" s="272"/>
      <c r="OC90" s="272"/>
      <c r="OD90" s="272"/>
      <c r="OE90" s="272"/>
      <c r="OF90" s="272"/>
      <c r="OG90" s="272"/>
      <c r="OH90" s="272"/>
      <c r="OI90" s="272"/>
      <c r="OJ90" s="272"/>
      <c r="OK90" s="272"/>
      <c r="OL90" s="272"/>
      <c r="OM90" s="272"/>
      <c r="ON90" s="272"/>
      <c r="OO90" s="272"/>
      <c r="OP90" s="272"/>
      <c r="OQ90" s="272"/>
      <c r="OR90" s="272"/>
      <c r="OS90" s="272"/>
      <c r="OT90" s="272"/>
      <c r="OU90" s="272"/>
      <c r="OV90" s="272"/>
      <c r="OW90" s="272"/>
      <c r="OX90" s="272"/>
      <c r="OY90" s="272"/>
      <c r="OZ90" s="272"/>
      <c r="PA90" s="272"/>
      <c r="PB90" s="272"/>
      <c r="PC90" s="272"/>
      <c r="PD90" s="272"/>
      <c r="PE90" s="272"/>
      <c r="PF90" s="272"/>
      <c r="PG90" s="272"/>
      <c r="PH90" s="272"/>
      <c r="PI90" s="272"/>
      <c r="PJ90" s="272"/>
      <c r="PK90" s="272"/>
      <c r="PL90" s="272"/>
      <c r="PM90" s="272"/>
      <c r="PN90" s="272"/>
      <c r="PO90" s="272"/>
      <c r="PP90" s="272"/>
      <c r="PQ90" s="272"/>
      <c r="PR90" s="272"/>
      <c r="PS90" s="272"/>
      <c r="PT90" s="272"/>
      <c r="PU90" s="272"/>
      <c r="PV90" s="272"/>
      <c r="PW90" s="272"/>
      <c r="PX90" s="272"/>
      <c r="PY90" s="272"/>
      <c r="PZ90" s="272"/>
      <c r="QA90" s="272"/>
      <c r="QB90" s="272"/>
      <c r="QC90" s="272"/>
      <c r="QD90" s="272"/>
      <c r="QE90" s="272"/>
      <c r="QF90" s="272"/>
      <c r="QG90" s="272"/>
      <c r="QH90" s="272"/>
      <c r="QI90" s="272"/>
      <c r="QJ90" s="272"/>
      <c r="QK90" s="272"/>
      <c r="QL90" s="272"/>
      <c r="QM90" s="272"/>
      <c r="QN90" s="272"/>
      <c r="QO90" s="272"/>
      <c r="QP90" s="272"/>
      <c r="QQ90" s="272"/>
      <c r="QR90" s="272"/>
      <c r="QS90" s="272"/>
      <c r="QT90" s="272"/>
      <c r="QU90" s="272"/>
      <c r="QV90" s="272"/>
      <c r="QW90" s="272"/>
      <c r="QX90" s="272"/>
      <c r="QY90" s="272"/>
      <c r="QZ90" s="272"/>
      <c r="RA90" s="272"/>
      <c r="RB90" s="272"/>
      <c r="RC90" s="272"/>
      <c r="RD90" s="272"/>
      <c r="RE90" s="272"/>
      <c r="RF90" s="272"/>
      <c r="RG90" s="272"/>
      <c r="RH90" s="272"/>
      <c r="RI90" s="272"/>
      <c r="RJ90" s="272"/>
      <c r="RK90" s="272"/>
      <c r="RL90" s="272"/>
      <c r="RM90" s="272"/>
      <c r="RN90" s="272"/>
      <c r="RO90" s="272"/>
      <c r="RP90" s="272"/>
      <c r="RQ90" s="272"/>
      <c r="RR90" s="272"/>
      <c r="RS90" s="272"/>
      <c r="RT90" s="272"/>
      <c r="RU90" s="272"/>
      <c r="RV90" s="272"/>
      <c r="RW90" s="272"/>
      <c r="RX90" s="272"/>
      <c r="RY90" s="272"/>
      <c r="RZ90" s="272"/>
      <c r="SA90" s="272"/>
      <c r="SB90" s="272"/>
      <c r="SC90" s="272"/>
      <c r="SD90" s="272"/>
      <c r="SE90" s="272"/>
      <c r="SF90" s="272"/>
      <c r="SG90" s="272"/>
      <c r="SH90" s="272"/>
      <c r="SI90" s="272"/>
      <c r="SJ90" s="272"/>
      <c r="SK90" s="272"/>
      <c r="SL90" s="272"/>
      <c r="SM90" s="272"/>
      <c r="SN90" s="272"/>
      <c r="SO90" s="272"/>
      <c r="SP90" s="272"/>
      <c r="SQ90" s="272"/>
      <c r="SR90" s="272"/>
      <c r="SS90" s="272"/>
      <c r="ST90" s="272"/>
      <c r="SU90" s="272"/>
      <c r="SV90" s="272"/>
      <c r="SW90" s="272"/>
      <c r="SX90" s="272"/>
      <c r="SY90" s="272"/>
      <c r="SZ90" s="272"/>
      <c r="TA90" s="272"/>
      <c r="TB90" s="272"/>
      <c r="TC90" s="272"/>
      <c r="TD90" s="272"/>
      <c r="TE90" s="272"/>
      <c r="TF90" s="272"/>
      <c r="TG90" s="272"/>
      <c r="TH90" s="272"/>
      <c r="TI90" s="272"/>
      <c r="TJ90" s="272"/>
      <c r="TK90" s="272"/>
      <c r="TL90" s="272"/>
      <c r="TM90" s="272"/>
      <c r="TN90" s="272"/>
      <c r="TO90" s="272"/>
      <c r="TP90" s="272"/>
      <c r="TQ90" s="272"/>
      <c r="TR90" s="272"/>
      <c r="TS90" s="272"/>
      <c r="TT90" s="272"/>
      <c r="TU90" s="272"/>
      <c r="TV90" s="272"/>
      <c r="TW90" s="272"/>
      <c r="TX90" s="272"/>
      <c r="TY90" s="272"/>
      <c r="TZ90" s="272"/>
      <c r="UA90" s="272"/>
      <c r="UB90" s="272"/>
      <c r="UC90" s="272"/>
      <c r="UD90" s="272"/>
      <c r="UE90" s="272"/>
      <c r="UF90" s="272"/>
      <c r="UG90" s="272"/>
      <c r="UH90" s="272"/>
      <c r="UI90" s="272"/>
      <c r="UJ90" s="272"/>
      <c r="UK90" s="272"/>
      <c r="UL90" s="272"/>
      <c r="UM90" s="272"/>
      <c r="UN90" s="272"/>
      <c r="UO90" s="272"/>
      <c r="UP90" s="272"/>
      <c r="UQ90" s="272"/>
      <c r="UR90" s="272"/>
      <c r="US90" s="272"/>
      <c r="UT90" s="272"/>
      <c r="UU90" s="272"/>
      <c r="UV90" s="272"/>
      <c r="UW90" s="272"/>
      <c r="UX90" s="272"/>
      <c r="UY90" s="272"/>
      <c r="UZ90" s="272"/>
      <c r="VA90" s="272"/>
      <c r="VB90" s="272"/>
      <c r="VC90" s="272"/>
      <c r="VD90" s="272"/>
      <c r="VE90" s="272"/>
      <c r="VF90" s="272"/>
      <c r="VG90" s="272"/>
      <c r="VH90" s="272"/>
      <c r="VI90" s="272"/>
      <c r="VJ90" s="272"/>
      <c r="VK90" s="272"/>
      <c r="VL90" s="272"/>
      <c r="VM90" s="272"/>
      <c r="VN90" s="272"/>
      <c r="VO90" s="272"/>
      <c r="VP90" s="272"/>
      <c r="VQ90" s="272"/>
      <c r="VR90" s="272"/>
      <c r="VS90" s="272"/>
      <c r="VT90" s="272"/>
      <c r="VU90" s="272"/>
      <c r="VV90" s="272"/>
      <c r="VW90" s="272"/>
      <c r="VX90" s="272"/>
      <c r="VY90" s="272"/>
      <c r="VZ90" s="272"/>
      <c r="WA90" s="272"/>
      <c r="WB90" s="272"/>
      <c r="WC90" s="272"/>
      <c r="WD90" s="272"/>
      <c r="WE90" s="272"/>
      <c r="WF90" s="272"/>
      <c r="WG90" s="272"/>
      <c r="WH90" s="272"/>
      <c r="WI90" s="272"/>
      <c r="WJ90" s="272"/>
      <c r="WK90" s="272"/>
      <c r="WL90" s="272"/>
      <c r="WM90" s="272"/>
      <c r="WN90" s="272"/>
      <c r="WO90" s="272"/>
      <c r="WP90" s="272"/>
      <c r="WQ90" s="272"/>
      <c r="WR90" s="272"/>
      <c r="WS90" s="272"/>
      <c r="WT90" s="272"/>
      <c r="WU90" s="272"/>
      <c r="WV90" s="272"/>
      <c r="WW90" s="272"/>
      <c r="WX90" s="272"/>
      <c r="WY90" s="272"/>
      <c r="WZ90" s="272"/>
      <c r="XA90" s="272"/>
      <c r="XB90" s="272"/>
      <c r="XC90" s="272"/>
      <c r="XD90" s="272"/>
      <c r="XE90" s="272"/>
      <c r="XF90" s="272"/>
      <c r="XG90" s="272"/>
      <c r="XH90" s="272"/>
      <c r="XI90" s="272"/>
      <c r="XJ90" s="272"/>
      <c r="XK90" s="272"/>
      <c r="XL90" s="272"/>
      <c r="XM90" s="272"/>
      <c r="XN90" s="272"/>
      <c r="XO90" s="272"/>
      <c r="XP90" s="272"/>
      <c r="XQ90" s="272"/>
      <c r="XR90" s="272"/>
      <c r="XS90" s="272"/>
      <c r="XT90" s="272"/>
      <c r="XU90" s="272"/>
      <c r="XV90" s="272"/>
      <c r="XW90" s="272"/>
      <c r="XX90" s="272"/>
      <c r="XY90" s="272"/>
      <c r="XZ90" s="272"/>
      <c r="YA90" s="272"/>
      <c r="YB90" s="272"/>
      <c r="YC90" s="272"/>
      <c r="YD90" s="272"/>
      <c r="YE90" s="272"/>
      <c r="YF90" s="272"/>
      <c r="YG90" s="272"/>
      <c r="YH90" s="272"/>
      <c r="YI90" s="272"/>
      <c r="YJ90" s="272"/>
      <c r="YK90" s="272"/>
      <c r="YL90" s="272"/>
      <c r="YM90" s="272"/>
      <c r="YN90" s="272"/>
      <c r="YO90" s="272"/>
      <c r="YP90" s="272"/>
      <c r="YQ90" s="272"/>
      <c r="YR90" s="272"/>
      <c r="YS90" s="272"/>
      <c r="YT90" s="272"/>
      <c r="YU90" s="272"/>
      <c r="YV90" s="272"/>
      <c r="YW90" s="272"/>
      <c r="YX90" s="272"/>
      <c r="YY90" s="272"/>
      <c r="YZ90" s="272"/>
      <c r="ZA90" s="272"/>
      <c r="ZB90" s="272"/>
      <c r="ZC90" s="272"/>
      <c r="ZD90" s="272"/>
      <c r="ZE90" s="272"/>
      <c r="ZF90" s="272"/>
      <c r="ZG90" s="272"/>
      <c r="ZH90" s="272"/>
      <c r="ZI90" s="272"/>
      <c r="ZJ90" s="272"/>
      <c r="ZK90" s="272"/>
      <c r="ZL90" s="272"/>
      <c r="ZM90" s="272"/>
      <c r="ZN90" s="272"/>
      <c r="ZO90" s="272"/>
      <c r="ZP90" s="272"/>
      <c r="ZQ90" s="272"/>
      <c r="ZR90" s="272"/>
      <c r="ZS90" s="272"/>
      <c r="ZT90" s="272"/>
    </row>
    <row r="91" spans="1:696" s="62" customFormat="1" ht="13.5" thickBot="1">
      <c r="A91" s="48"/>
      <c r="B91" s="75"/>
      <c r="C91" s="58" t="s">
        <v>54</v>
      </c>
      <c r="D91" s="58"/>
      <c r="E91" s="60"/>
      <c r="F91" s="60"/>
      <c r="G91" s="264"/>
      <c r="H91" s="264"/>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2"/>
      <c r="CC91" s="272"/>
      <c r="CD91" s="272"/>
      <c r="CE91" s="272"/>
      <c r="CF91" s="272"/>
      <c r="CG91" s="272"/>
      <c r="CH91" s="272"/>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2"/>
      <c r="EB91" s="272"/>
      <c r="EC91" s="272"/>
      <c r="ED91" s="272"/>
      <c r="EE91" s="272"/>
      <c r="EF91" s="272"/>
      <c r="EG91" s="272"/>
      <c r="EH91" s="272"/>
      <c r="EI91" s="272"/>
      <c r="EJ91" s="272"/>
      <c r="EK91" s="272"/>
      <c r="EL91" s="272"/>
      <c r="EM91" s="272"/>
      <c r="EN91" s="272"/>
      <c r="EO91" s="272"/>
      <c r="EP91" s="272"/>
      <c r="EQ91" s="272"/>
      <c r="ER91" s="272"/>
      <c r="ES91" s="272"/>
      <c r="ET91" s="272"/>
      <c r="EU91" s="272"/>
      <c r="EV91" s="272"/>
      <c r="EW91" s="272"/>
      <c r="EX91" s="272"/>
      <c r="EY91" s="272"/>
      <c r="EZ91" s="272"/>
      <c r="FA91" s="272"/>
      <c r="FB91" s="272"/>
      <c r="FC91" s="272"/>
      <c r="FD91" s="272"/>
      <c r="FE91" s="272"/>
      <c r="FF91" s="272"/>
      <c r="FG91" s="272"/>
      <c r="FH91" s="272"/>
      <c r="FI91" s="272"/>
      <c r="FJ91" s="272"/>
      <c r="FK91" s="272"/>
      <c r="FL91" s="272"/>
      <c r="FM91" s="272"/>
      <c r="FN91" s="272"/>
      <c r="FO91" s="272"/>
      <c r="FP91" s="272"/>
      <c r="FQ91" s="272"/>
      <c r="FR91" s="272"/>
      <c r="FS91" s="272"/>
      <c r="FT91" s="272"/>
      <c r="FU91" s="272"/>
      <c r="FV91" s="272"/>
      <c r="FW91" s="272"/>
      <c r="FX91" s="272"/>
      <c r="FY91" s="272"/>
      <c r="FZ91" s="272"/>
      <c r="GA91" s="272"/>
      <c r="GB91" s="272"/>
      <c r="GC91" s="272"/>
      <c r="GD91" s="272"/>
      <c r="GE91" s="272"/>
      <c r="GF91" s="272"/>
      <c r="GG91" s="272"/>
      <c r="GH91" s="272"/>
      <c r="GI91" s="272"/>
      <c r="GJ91" s="272"/>
      <c r="GK91" s="272"/>
      <c r="GL91" s="272"/>
      <c r="GM91" s="272"/>
      <c r="GN91" s="272"/>
      <c r="GO91" s="272"/>
      <c r="GP91" s="272"/>
      <c r="GQ91" s="272"/>
      <c r="GR91" s="272"/>
      <c r="GS91" s="272"/>
      <c r="GT91" s="272"/>
      <c r="GU91" s="272"/>
      <c r="GV91" s="272"/>
      <c r="GW91" s="272"/>
      <c r="GX91" s="272"/>
      <c r="GY91" s="272"/>
      <c r="GZ91" s="272"/>
      <c r="HA91" s="272"/>
      <c r="HB91" s="272"/>
      <c r="HC91" s="272"/>
      <c r="HD91" s="272"/>
      <c r="HE91" s="272"/>
      <c r="HF91" s="272"/>
      <c r="HG91" s="272"/>
      <c r="HH91" s="272"/>
      <c r="HI91" s="272"/>
      <c r="HJ91" s="272"/>
      <c r="HK91" s="272"/>
      <c r="HL91" s="272"/>
      <c r="HM91" s="272"/>
      <c r="HN91" s="272"/>
      <c r="HO91" s="272"/>
      <c r="HP91" s="272"/>
      <c r="HQ91" s="272"/>
      <c r="HR91" s="272"/>
      <c r="HS91" s="272"/>
      <c r="HT91" s="272"/>
      <c r="HU91" s="272"/>
      <c r="HV91" s="272"/>
      <c r="HW91" s="272"/>
      <c r="HX91" s="272"/>
      <c r="HY91" s="272"/>
      <c r="HZ91" s="272"/>
      <c r="IA91" s="272"/>
      <c r="IB91" s="272"/>
      <c r="IC91" s="272"/>
      <c r="ID91" s="272"/>
      <c r="IE91" s="272"/>
      <c r="IF91" s="272"/>
      <c r="IG91" s="272"/>
      <c r="IH91" s="272"/>
      <c r="II91" s="272"/>
      <c r="IJ91" s="272"/>
      <c r="IK91" s="272"/>
      <c r="IL91" s="272"/>
      <c r="IM91" s="272"/>
      <c r="IN91" s="272"/>
      <c r="IO91" s="272"/>
      <c r="IP91" s="272"/>
      <c r="IQ91" s="272"/>
      <c r="IR91" s="272"/>
      <c r="IS91" s="272"/>
      <c r="IT91" s="272"/>
      <c r="IU91" s="272"/>
      <c r="IV91" s="272"/>
      <c r="IW91" s="272"/>
      <c r="IX91" s="272"/>
      <c r="IY91" s="272"/>
      <c r="IZ91" s="272"/>
      <c r="JA91" s="272"/>
      <c r="JB91" s="272"/>
      <c r="JC91" s="272"/>
      <c r="JD91" s="272"/>
      <c r="JE91" s="272"/>
      <c r="JF91" s="272"/>
      <c r="JG91" s="272"/>
      <c r="JH91" s="272"/>
      <c r="JI91" s="272"/>
      <c r="JJ91" s="272"/>
      <c r="JK91" s="272"/>
      <c r="JL91" s="272"/>
      <c r="JM91" s="272"/>
      <c r="JN91" s="272"/>
      <c r="JO91" s="272"/>
      <c r="JP91" s="272"/>
      <c r="JQ91" s="272"/>
      <c r="JR91" s="272"/>
      <c r="JS91" s="272"/>
      <c r="JT91" s="272"/>
      <c r="JU91" s="272"/>
      <c r="JV91" s="272"/>
      <c r="JW91" s="272"/>
      <c r="JX91" s="272"/>
      <c r="JY91" s="272"/>
      <c r="JZ91" s="272"/>
      <c r="KA91" s="272"/>
      <c r="KB91" s="272"/>
      <c r="KC91" s="272"/>
      <c r="KD91" s="272"/>
      <c r="KE91" s="272"/>
      <c r="KF91" s="272"/>
      <c r="KG91" s="272"/>
      <c r="KH91" s="272"/>
      <c r="KI91" s="272"/>
      <c r="KJ91" s="272"/>
      <c r="KK91" s="272"/>
      <c r="KL91" s="272"/>
      <c r="KM91" s="272"/>
      <c r="KN91" s="272"/>
      <c r="KO91" s="272"/>
      <c r="KP91" s="272"/>
      <c r="KQ91" s="272"/>
      <c r="KR91" s="272"/>
      <c r="KS91" s="272"/>
      <c r="KT91" s="272"/>
      <c r="KU91" s="272"/>
      <c r="KV91" s="272"/>
      <c r="KW91" s="272"/>
      <c r="KX91" s="272"/>
      <c r="KY91" s="272"/>
      <c r="KZ91" s="272"/>
      <c r="LA91" s="272"/>
      <c r="LB91" s="272"/>
      <c r="LC91" s="272"/>
      <c r="LD91" s="272"/>
      <c r="LE91" s="272"/>
      <c r="LF91" s="272"/>
      <c r="LG91" s="272"/>
      <c r="LH91" s="272"/>
      <c r="LI91" s="272"/>
      <c r="LJ91" s="272"/>
      <c r="LK91" s="272"/>
      <c r="LL91" s="272"/>
      <c r="LM91" s="272"/>
      <c r="LN91" s="272"/>
      <c r="LO91" s="272"/>
      <c r="LP91" s="272"/>
      <c r="LQ91" s="272"/>
      <c r="LR91" s="272"/>
      <c r="LS91" s="272"/>
      <c r="LT91" s="272"/>
      <c r="LU91" s="272"/>
      <c r="LV91" s="272"/>
      <c r="LW91" s="272"/>
      <c r="LX91" s="272"/>
      <c r="LY91" s="272"/>
      <c r="LZ91" s="272"/>
      <c r="MA91" s="272"/>
      <c r="MB91" s="272"/>
      <c r="MC91" s="272"/>
      <c r="MD91" s="272"/>
      <c r="ME91" s="272"/>
      <c r="MF91" s="272"/>
      <c r="MG91" s="272"/>
      <c r="MH91" s="272"/>
      <c r="MI91" s="272"/>
      <c r="MJ91" s="272"/>
      <c r="MK91" s="272"/>
      <c r="ML91" s="272"/>
      <c r="MM91" s="272"/>
      <c r="MN91" s="272"/>
      <c r="MO91" s="272"/>
      <c r="MP91" s="272"/>
      <c r="MQ91" s="272"/>
      <c r="MR91" s="272"/>
      <c r="MS91" s="272"/>
      <c r="MT91" s="272"/>
      <c r="MU91" s="272"/>
      <c r="MV91" s="272"/>
      <c r="MW91" s="272"/>
      <c r="MX91" s="272"/>
      <c r="MY91" s="272"/>
      <c r="MZ91" s="272"/>
      <c r="NA91" s="272"/>
      <c r="NB91" s="272"/>
      <c r="NC91" s="272"/>
      <c r="ND91" s="272"/>
      <c r="NE91" s="272"/>
      <c r="NF91" s="272"/>
      <c r="NG91" s="272"/>
      <c r="NH91" s="272"/>
      <c r="NI91" s="272"/>
      <c r="NJ91" s="272"/>
      <c r="NK91" s="272"/>
      <c r="NL91" s="272"/>
      <c r="NM91" s="272"/>
      <c r="NN91" s="272"/>
      <c r="NO91" s="272"/>
      <c r="NP91" s="272"/>
      <c r="NQ91" s="272"/>
      <c r="NR91" s="272"/>
      <c r="NS91" s="272"/>
      <c r="NT91" s="272"/>
      <c r="NU91" s="272"/>
      <c r="NV91" s="272"/>
      <c r="NW91" s="272"/>
      <c r="NX91" s="272"/>
      <c r="NY91" s="272"/>
      <c r="NZ91" s="272"/>
      <c r="OA91" s="272"/>
      <c r="OB91" s="272"/>
      <c r="OC91" s="272"/>
      <c r="OD91" s="272"/>
      <c r="OE91" s="272"/>
      <c r="OF91" s="272"/>
      <c r="OG91" s="272"/>
      <c r="OH91" s="272"/>
      <c r="OI91" s="272"/>
      <c r="OJ91" s="272"/>
      <c r="OK91" s="272"/>
      <c r="OL91" s="272"/>
      <c r="OM91" s="272"/>
      <c r="ON91" s="272"/>
      <c r="OO91" s="272"/>
      <c r="OP91" s="272"/>
      <c r="OQ91" s="272"/>
      <c r="OR91" s="272"/>
      <c r="OS91" s="272"/>
      <c r="OT91" s="272"/>
      <c r="OU91" s="272"/>
      <c r="OV91" s="272"/>
      <c r="OW91" s="272"/>
      <c r="OX91" s="272"/>
      <c r="OY91" s="272"/>
      <c r="OZ91" s="272"/>
      <c r="PA91" s="272"/>
      <c r="PB91" s="272"/>
      <c r="PC91" s="272"/>
      <c r="PD91" s="272"/>
      <c r="PE91" s="272"/>
      <c r="PF91" s="272"/>
      <c r="PG91" s="272"/>
      <c r="PH91" s="272"/>
      <c r="PI91" s="272"/>
      <c r="PJ91" s="272"/>
      <c r="PK91" s="272"/>
      <c r="PL91" s="272"/>
      <c r="PM91" s="272"/>
      <c r="PN91" s="272"/>
      <c r="PO91" s="272"/>
      <c r="PP91" s="272"/>
      <c r="PQ91" s="272"/>
      <c r="PR91" s="272"/>
      <c r="PS91" s="272"/>
      <c r="PT91" s="272"/>
      <c r="PU91" s="272"/>
      <c r="PV91" s="272"/>
      <c r="PW91" s="272"/>
      <c r="PX91" s="272"/>
      <c r="PY91" s="272"/>
      <c r="PZ91" s="272"/>
      <c r="QA91" s="272"/>
      <c r="QB91" s="272"/>
      <c r="QC91" s="272"/>
      <c r="QD91" s="272"/>
      <c r="QE91" s="272"/>
      <c r="QF91" s="272"/>
      <c r="QG91" s="272"/>
      <c r="QH91" s="272"/>
      <c r="QI91" s="272"/>
      <c r="QJ91" s="272"/>
      <c r="QK91" s="272"/>
      <c r="QL91" s="272"/>
      <c r="QM91" s="272"/>
      <c r="QN91" s="272"/>
      <c r="QO91" s="272"/>
      <c r="QP91" s="272"/>
      <c r="QQ91" s="272"/>
      <c r="QR91" s="272"/>
      <c r="QS91" s="272"/>
      <c r="QT91" s="272"/>
      <c r="QU91" s="272"/>
      <c r="QV91" s="272"/>
      <c r="QW91" s="272"/>
      <c r="QX91" s="272"/>
      <c r="QY91" s="272"/>
      <c r="QZ91" s="272"/>
      <c r="RA91" s="272"/>
      <c r="RB91" s="272"/>
      <c r="RC91" s="272"/>
      <c r="RD91" s="272"/>
      <c r="RE91" s="272"/>
      <c r="RF91" s="272"/>
      <c r="RG91" s="272"/>
      <c r="RH91" s="272"/>
      <c r="RI91" s="272"/>
      <c r="RJ91" s="272"/>
      <c r="RK91" s="272"/>
      <c r="RL91" s="272"/>
      <c r="RM91" s="272"/>
      <c r="RN91" s="272"/>
      <c r="RO91" s="272"/>
      <c r="RP91" s="272"/>
      <c r="RQ91" s="272"/>
      <c r="RR91" s="272"/>
      <c r="RS91" s="272"/>
      <c r="RT91" s="272"/>
      <c r="RU91" s="272"/>
      <c r="RV91" s="272"/>
      <c r="RW91" s="272"/>
      <c r="RX91" s="272"/>
      <c r="RY91" s="272"/>
      <c r="RZ91" s="272"/>
      <c r="SA91" s="272"/>
      <c r="SB91" s="272"/>
      <c r="SC91" s="272"/>
      <c r="SD91" s="272"/>
      <c r="SE91" s="272"/>
      <c r="SF91" s="272"/>
      <c r="SG91" s="272"/>
      <c r="SH91" s="272"/>
      <c r="SI91" s="272"/>
      <c r="SJ91" s="272"/>
      <c r="SK91" s="272"/>
      <c r="SL91" s="272"/>
      <c r="SM91" s="272"/>
      <c r="SN91" s="272"/>
      <c r="SO91" s="272"/>
      <c r="SP91" s="272"/>
      <c r="SQ91" s="272"/>
      <c r="SR91" s="272"/>
      <c r="SS91" s="272"/>
      <c r="ST91" s="272"/>
      <c r="SU91" s="272"/>
      <c r="SV91" s="272"/>
      <c r="SW91" s="272"/>
      <c r="SX91" s="272"/>
      <c r="SY91" s="272"/>
      <c r="SZ91" s="272"/>
      <c r="TA91" s="272"/>
      <c r="TB91" s="272"/>
      <c r="TC91" s="272"/>
      <c r="TD91" s="272"/>
      <c r="TE91" s="272"/>
      <c r="TF91" s="272"/>
      <c r="TG91" s="272"/>
      <c r="TH91" s="272"/>
      <c r="TI91" s="272"/>
      <c r="TJ91" s="272"/>
      <c r="TK91" s="272"/>
      <c r="TL91" s="272"/>
      <c r="TM91" s="272"/>
      <c r="TN91" s="272"/>
      <c r="TO91" s="272"/>
      <c r="TP91" s="272"/>
      <c r="TQ91" s="272"/>
      <c r="TR91" s="272"/>
      <c r="TS91" s="272"/>
      <c r="TT91" s="272"/>
      <c r="TU91" s="272"/>
      <c r="TV91" s="272"/>
      <c r="TW91" s="272"/>
      <c r="TX91" s="272"/>
      <c r="TY91" s="272"/>
      <c r="TZ91" s="272"/>
      <c r="UA91" s="272"/>
      <c r="UB91" s="272"/>
      <c r="UC91" s="272"/>
      <c r="UD91" s="272"/>
      <c r="UE91" s="272"/>
      <c r="UF91" s="272"/>
      <c r="UG91" s="272"/>
      <c r="UH91" s="272"/>
      <c r="UI91" s="272"/>
      <c r="UJ91" s="272"/>
      <c r="UK91" s="272"/>
      <c r="UL91" s="272"/>
      <c r="UM91" s="272"/>
      <c r="UN91" s="272"/>
      <c r="UO91" s="272"/>
      <c r="UP91" s="272"/>
      <c r="UQ91" s="272"/>
      <c r="UR91" s="272"/>
      <c r="US91" s="272"/>
      <c r="UT91" s="272"/>
      <c r="UU91" s="272"/>
      <c r="UV91" s="272"/>
      <c r="UW91" s="272"/>
      <c r="UX91" s="272"/>
      <c r="UY91" s="272"/>
      <c r="UZ91" s="272"/>
      <c r="VA91" s="272"/>
      <c r="VB91" s="272"/>
      <c r="VC91" s="272"/>
      <c r="VD91" s="272"/>
      <c r="VE91" s="272"/>
      <c r="VF91" s="272"/>
      <c r="VG91" s="272"/>
      <c r="VH91" s="272"/>
      <c r="VI91" s="272"/>
      <c r="VJ91" s="272"/>
      <c r="VK91" s="272"/>
      <c r="VL91" s="272"/>
      <c r="VM91" s="272"/>
      <c r="VN91" s="272"/>
      <c r="VO91" s="272"/>
      <c r="VP91" s="272"/>
      <c r="VQ91" s="272"/>
      <c r="VR91" s="272"/>
      <c r="VS91" s="272"/>
      <c r="VT91" s="272"/>
      <c r="VU91" s="272"/>
      <c r="VV91" s="272"/>
      <c r="VW91" s="272"/>
      <c r="VX91" s="272"/>
      <c r="VY91" s="272"/>
      <c r="VZ91" s="272"/>
      <c r="WA91" s="272"/>
      <c r="WB91" s="272"/>
      <c r="WC91" s="272"/>
      <c r="WD91" s="272"/>
      <c r="WE91" s="272"/>
      <c r="WF91" s="272"/>
      <c r="WG91" s="272"/>
      <c r="WH91" s="272"/>
      <c r="WI91" s="272"/>
      <c r="WJ91" s="272"/>
      <c r="WK91" s="272"/>
      <c r="WL91" s="272"/>
      <c r="WM91" s="272"/>
      <c r="WN91" s="272"/>
      <c r="WO91" s="272"/>
      <c r="WP91" s="272"/>
      <c r="WQ91" s="272"/>
      <c r="WR91" s="272"/>
      <c r="WS91" s="272"/>
      <c r="WT91" s="272"/>
      <c r="WU91" s="272"/>
      <c r="WV91" s="272"/>
      <c r="WW91" s="272"/>
      <c r="WX91" s="272"/>
      <c r="WY91" s="272"/>
      <c r="WZ91" s="272"/>
      <c r="XA91" s="272"/>
      <c r="XB91" s="272"/>
      <c r="XC91" s="272"/>
      <c r="XD91" s="272"/>
      <c r="XE91" s="272"/>
      <c r="XF91" s="272"/>
      <c r="XG91" s="272"/>
      <c r="XH91" s="272"/>
      <c r="XI91" s="272"/>
      <c r="XJ91" s="272"/>
      <c r="XK91" s="272"/>
      <c r="XL91" s="272"/>
      <c r="XM91" s="272"/>
      <c r="XN91" s="272"/>
      <c r="XO91" s="272"/>
      <c r="XP91" s="272"/>
      <c r="XQ91" s="272"/>
      <c r="XR91" s="272"/>
      <c r="XS91" s="272"/>
      <c r="XT91" s="272"/>
      <c r="XU91" s="272"/>
      <c r="XV91" s="272"/>
      <c r="XW91" s="272"/>
      <c r="XX91" s="272"/>
      <c r="XY91" s="272"/>
      <c r="XZ91" s="272"/>
      <c r="YA91" s="272"/>
      <c r="YB91" s="272"/>
      <c r="YC91" s="272"/>
      <c r="YD91" s="272"/>
      <c r="YE91" s="272"/>
      <c r="YF91" s="272"/>
      <c r="YG91" s="272"/>
      <c r="YH91" s="272"/>
      <c r="YI91" s="272"/>
      <c r="YJ91" s="272"/>
      <c r="YK91" s="272"/>
      <c r="YL91" s="272"/>
      <c r="YM91" s="272"/>
      <c r="YN91" s="272"/>
      <c r="YO91" s="272"/>
      <c r="YP91" s="272"/>
      <c r="YQ91" s="272"/>
      <c r="YR91" s="272"/>
      <c r="YS91" s="272"/>
      <c r="YT91" s="272"/>
      <c r="YU91" s="272"/>
      <c r="YV91" s="272"/>
      <c r="YW91" s="272"/>
      <c r="YX91" s="272"/>
      <c r="YY91" s="272"/>
      <c r="YZ91" s="272"/>
      <c r="ZA91" s="272"/>
      <c r="ZB91" s="272"/>
      <c r="ZC91" s="272"/>
      <c r="ZD91" s="272"/>
      <c r="ZE91" s="272"/>
      <c r="ZF91" s="272"/>
      <c r="ZG91" s="272"/>
      <c r="ZH91" s="272"/>
      <c r="ZI91" s="272"/>
      <c r="ZJ91" s="272"/>
      <c r="ZK91" s="272"/>
      <c r="ZL91" s="272"/>
      <c r="ZM91" s="272"/>
      <c r="ZN91" s="272"/>
      <c r="ZO91" s="272"/>
      <c r="ZP91" s="272"/>
      <c r="ZQ91" s="272"/>
      <c r="ZR91" s="272"/>
      <c r="ZS91" s="272"/>
      <c r="ZT91" s="272"/>
    </row>
    <row r="92" spans="1:696" s="61" customFormat="1" ht="51.75" hidden="1" thickBot="1">
      <c r="A92" s="46" t="s">
        <v>15</v>
      </c>
      <c r="B92" s="52" t="s">
        <v>67</v>
      </c>
      <c r="C92" s="30" t="s">
        <v>52</v>
      </c>
      <c r="D92" s="34"/>
      <c r="E92" s="53"/>
      <c r="F92" s="53"/>
      <c r="G92" s="267"/>
      <c r="H92" s="267"/>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2"/>
      <c r="BX92" s="272"/>
      <c r="BY92" s="272"/>
      <c r="BZ92" s="272"/>
      <c r="CA92" s="272"/>
      <c r="CB92" s="272"/>
      <c r="CC92" s="272"/>
      <c r="CD92" s="272"/>
      <c r="CE92" s="272"/>
      <c r="CF92" s="272"/>
      <c r="CG92" s="272"/>
      <c r="CH92" s="272"/>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272"/>
      <c r="DJ92" s="272"/>
      <c r="DK92" s="272"/>
      <c r="DL92" s="272"/>
      <c r="DM92" s="272"/>
      <c r="DN92" s="272"/>
      <c r="DO92" s="272"/>
      <c r="DP92" s="272"/>
      <c r="DQ92" s="272"/>
      <c r="DR92" s="272"/>
      <c r="DS92" s="272"/>
      <c r="DT92" s="272"/>
      <c r="DU92" s="272"/>
      <c r="DV92" s="272"/>
      <c r="DW92" s="272"/>
      <c r="DX92" s="272"/>
      <c r="DY92" s="272"/>
      <c r="DZ92" s="272"/>
      <c r="EA92" s="272"/>
      <c r="EB92" s="272"/>
      <c r="EC92" s="272"/>
      <c r="ED92" s="272"/>
      <c r="EE92" s="272"/>
      <c r="EF92" s="272"/>
      <c r="EG92" s="272"/>
      <c r="EH92" s="272"/>
      <c r="EI92" s="272"/>
      <c r="EJ92" s="272"/>
      <c r="EK92" s="272"/>
      <c r="EL92" s="272"/>
      <c r="EM92" s="272"/>
      <c r="EN92" s="272"/>
      <c r="EO92" s="272"/>
      <c r="EP92" s="272"/>
      <c r="EQ92" s="272"/>
      <c r="ER92" s="272"/>
      <c r="ES92" s="272"/>
      <c r="ET92" s="272"/>
      <c r="EU92" s="272"/>
      <c r="EV92" s="272"/>
      <c r="EW92" s="272"/>
      <c r="EX92" s="272"/>
      <c r="EY92" s="272"/>
      <c r="EZ92" s="272"/>
      <c r="FA92" s="272"/>
      <c r="FB92" s="272"/>
      <c r="FC92" s="272"/>
      <c r="FD92" s="272"/>
      <c r="FE92" s="272"/>
      <c r="FF92" s="272"/>
      <c r="FG92" s="272"/>
      <c r="FH92" s="272"/>
      <c r="FI92" s="272"/>
      <c r="FJ92" s="272"/>
      <c r="FK92" s="272"/>
      <c r="FL92" s="272"/>
      <c r="FM92" s="272"/>
      <c r="FN92" s="272"/>
      <c r="FO92" s="272"/>
      <c r="FP92" s="272"/>
      <c r="FQ92" s="272"/>
      <c r="FR92" s="272"/>
      <c r="FS92" s="272"/>
      <c r="FT92" s="272"/>
      <c r="FU92" s="272"/>
      <c r="FV92" s="272"/>
      <c r="FW92" s="272"/>
      <c r="FX92" s="272"/>
      <c r="FY92" s="272"/>
      <c r="FZ92" s="272"/>
      <c r="GA92" s="272"/>
      <c r="GB92" s="272"/>
      <c r="GC92" s="272"/>
      <c r="GD92" s="272"/>
      <c r="GE92" s="272"/>
      <c r="GF92" s="272"/>
      <c r="GG92" s="272"/>
      <c r="GH92" s="272"/>
      <c r="GI92" s="272"/>
      <c r="GJ92" s="272"/>
      <c r="GK92" s="272"/>
      <c r="GL92" s="272"/>
      <c r="GM92" s="272"/>
      <c r="GN92" s="272"/>
      <c r="GO92" s="272"/>
      <c r="GP92" s="272"/>
      <c r="GQ92" s="272"/>
      <c r="GR92" s="272"/>
      <c r="GS92" s="272"/>
      <c r="GT92" s="272"/>
      <c r="GU92" s="272"/>
      <c r="GV92" s="272"/>
      <c r="GW92" s="272"/>
      <c r="GX92" s="272"/>
      <c r="GY92" s="272"/>
      <c r="GZ92" s="272"/>
      <c r="HA92" s="272"/>
      <c r="HB92" s="272"/>
      <c r="HC92" s="272"/>
      <c r="HD92" s="272"/>
      <c r="HE92" s="272"/>
      <c r="HF92" s="272"/>
      <c r="HG92" s="272"/>
      <c r="HH92" s="272"/>
      <c r="HI92" s="272"/>
      <c r="HJ92" s="272"/>
      <c r="HK92" s="272"/>
      <c r="HL92" s="272"/>
      <c r="HM92" s="272"/>
      <c r="HN92" s="272"/>
      <c r="HO92" s="272"/>
      <c r="HP92" s="272"/>
      <c r="HQ92" s="272"/>
      <c r="HR92" s="272"/>
      <c r="HS92" s="272"/>
      <c r="HT92" s="272"/>
      <c r="HU92" s="272"/>
      <c r="HV92" s="272"/>
      <c r="HW92" s="272"/>
      <c r="HX92" s="272"/>
      <c r="HY92" s="272"/>
      <c r="HZ92" s="272"/>
      <c r="IA92" s="272"/>
      <c r="IB92" s="272"/>
      <c r="IC92" s="272"/>
      <c r="ID92" s="272"/>
      <c r="IE92" s="272"/>
      <c r="IF92" s="272"/>
      <c r="IG92" s="272"/>
      <c r="IH92" s="272"/>
      <c r="II92" s="272"/>
      <c r="IJ92" s="272"/>
      <c r="IK92" s="272"/>
      <c r="IL92" s="272"/>
      <c r="IM92" s="272"/>
      <c r="IN92" s="272"/>
      <c r="IO92" s="272"/>
      <c r="IP92" s="272"/>
      <c r="IQ92" s="272"/>
      <c r="IR92" s="272"/>
      <c r="IS92" s="272"/>
      <c r="IT92" s="272"/>
      <c r="IU92" s="272"/>
      <c r="IV92" s="272"/>
      <c r="IW92" s="272"/>
      <c r="IX92" s="272"/>
      <c r="IY92" s="272"/>
      <c r="IZ92" s="272"/>
      <c r="JA92" s="272"/>
      <c r="JB92" s="272"/>
      <c r="JC92" s="272"/>
      <c r="JD92" s="272"/>
      <c r="JE92" s="272"/>
      <c r="JF92" s="272"/>
      <c r="JG92" s="272"/>
      <c r="JH92" s="272"/>
      <c r="JI92" s="272"/>
      <c r="JJ92" s="272"/>
      <c r="JK92" s="272"/>
      <c r="JL92" s="272"/>
      <c r="JM92" s="272"/>
      <c r="JN92" s="272"/>
      <c r="JO92" s="272"/>
      <c r="JP92" s="272"/>
      <c r="JQ92" s="272"/>
      <c r="JR92" s="272"/>
      <c r="JS92" s="272"/>
      <c r="JT92" s="272"/>
      <c r="JU92" s="272"/>
      <c r="JV92" s="272"/>
      <c r="JW92" s="272"/>
      <c r="JX92" s="272"/>
      <c r="JY92" s="272"/>
      <c r="JZ92" s="272"/>
      <c r="KA92" s="272"/>
      <c r="KB92" s="272"/>
      <c r="KC92" s="272"/>
      <c r="KD92" s="272"/>
      <c r="KE92" s="272"/>
      <c r="KF92" s="272"/>
      <c r="KG92" s="272"/>
      <c r="KH92" s="272"/>
      <c r="KI92" s="272"/>
      <c r="KJ92" s="272"/>
      <c r="KK92" s="272"/>
      <c r="KL92" s="272"/>
      <c r="KM92" s="272"/>
      <c r="KN92" s="272"/>
      <c r="KO92" s="272"/>
      <c r="KP92" s="272"/>
      <c r="KQ92" s="272"/>
      <c r="KR92" s="272"/>
      <c r="KS92" s="272"/>
      <c r="KT92" s="272"/>
      <c r="KU92" s="272"/>
      <c r="KV92" s="272"/>
      <c r="KW92" s="272"/>
      <c r="KX92" s="272"/>
      <c r="KY92" s="272"/>
      <c r="KZ92" s="272"/>
      <c r="LA92" s="272"/>
      <c r="LB92" s="272"/>
      <c r="LC92" s="272"/>
      <c r="LD92" s="272"/>
      <c r="LE92" s="272"/>
      <c r="LF92" s="272"/>
      <c r="LG92" s="272"/>
      <c r="LH92" s="272"/>
      <c r="LI92" s="272"/>
      <c r="LJ92" s="272"/>
      <c r="LK92" s="272"/>
      <c r="LL92" s="272"/>
      <c r="LM92" s="272"/>
      <c r="LN92" s="272"/>
      <c r="LO92" s="272"/>
      <c r="LP92" s="272"/>
      <c r="LQ92" s="272"/>
      <c r="LR92" s="272"/>
      <c r="LS92" s="272"/>
      <c r="LT92" s="272"/>
      <c r="LU92" s="272"/>
      <c r="LV92" s="272"/>
      <c r="LW92" s="272"/>
      <c r="LX92" s="272"/>
      <c r="LY92" s="272"/>
      <c r="LZ92" s="272"/>
      <c r="MA92" s="272"/>
      <c r="MB92" s="272"/>
      <c r="MC92" s="272"/>
      <c r="MD92" s="272"/>
      <c r="ME92" s="272"/>
      <c r="MF92" s="272"/>
      <c r="MG92" s="272"/>
      <c r="MH92" s="272"/>
      <c r="MI92" s="272"/>
      <c r="MJ92" s="272"/>
      <c r="MK92" s="272"/>
      <c r="ML92" s="272"/>
      <c r="MM92" s="272"/>
      <c r="MN92" s="272"/>
      <c r="MO92" s="272"/>
      <c r="MP92" s="272"/>
      <c r="MQ92" s="272"/>
      <c r="MR92" s="272"/>
      <c r="MS92" s="272"/>
      <c r="MT92" s="272"/>
      <c r="MU92" s="272"/>
      <c r="MV92" s="272"/>
      <c r="MW92" s="272"/>
      <c r="MX92" s="272"/>
      <c r="MY92" s="272"/>
      <c r="MZ92" s="272"/>
      <c r="NA92" s="272"/>
      <c r="NB92" s="272"/>
      <c r="NC92" s="272"/>
      <c r="ND92" s="272"/>
      <c r="NE92" s="272"/>
      <c r="NF92" s="272"/>
      <c r="NG92" s="272"/>
      <c r="NH92" s="272"/>
      <c r="NI92" s="272"/>
      <c r="NJ92" s="272"/>
      <c r="NK92" s="272"/>
      <c r="NL92" s="272"/>
      <c r="NM92" s="272"/>
      <c r="NN92" s="272"/>
      <c r="NO92" s="272"/>
      <c r="NP92" s="272"/>
      <c r="NQ92" s="272"/>
      <c r="NR92" s="272"/>
      <c r="NS92" s="272"/>
      <c r="NT92" s="272"/>
      <c r="NU92" s="272"/>
      <c r="NV92" s="272"/>
      <c r="NW92" s="272"/>
      <c r="NX92" s="272"/>
      <c r="NY92" s="272"/>
      <c r="NZ92" s="272"/>
      <c r="OA92" s="272"/>
      <c r="OB92" s="272"/>
      <c r="OC92" s="272"/>
      <c r="OD92" s="272"/>
      <c r="OE92" s="272"/>
      <c r="OF92" s="272"/>
      <c r="OG92" s="272"/>
      <c r="OH92" s="272"/>
      <c r="OI92" s="272"/>
      <c r="OJ92" s="272"/>
      <c r="OK92" s="272"/>
      <c r="OL92" s="272"/>
      <c r="OM92" s="272"/>
      <c r="ON92" s="272"/>
      <c r="OO92" s="272"/>
      <c r="OP92" s="272"/>
      <c r="OQ92" s="272"/>
      <c r="OR92" s="272"/>
      <c r="OS92" s="272"/>
      <c r="OT92" s="272"/>
      <c r="OU92" s="272"/>
      <c r="OV92" s="272"/>
      <c r="OW92" s="272"/>
      <c r="OX92" s="272"/>
      <c r="OY92" s="272"/>
      <c r="OZ92" s="272"/>
      <c r="PA92" s="272"/>
      <c r="PB92" s="272"/>
      <c r="PC92" s="272"/>
      <c r="PD92" s="272"/>
      <c r="PE92" s="272"/>
      <c r="PF92" s="272"/>
      <c r="PG92" s="272"/>
      <c r="PH92" s="272"/>
      <c r="PI92" s="272"/>
      <c r="PJ92" s="272"/>
      <c r="PK92" s="272"/>
      <c r="PL92" s="272"/>
      <c r="PM92" s="272"/>
      <c r="PN92" s="272"/>
      <c r="PO92" s="272"/>
      <c r="PP92" s="272"/>
      <c r="PQ92" s="272"/>
      <c r="PR92" s="272"/>
      <c r="PS92" s="272"/>
      <c r="PT92" s="272"/>
      <c r="PU92" s="272"/>
      <c r="PV92" s="272"/>
      <c r="PW92" s="272"/>
      <c r="PX92" s="272"/>
      <c r="PY92" s="272"/>
      <c r="PZ92" s="272"/>
      <c r="QA92" s="272"/>
      <c r="QB92" s="272"/>
      <c r="QC92" s="272"/>
      <c r="QD92" s="272"/>
      <c r="QE92" s="272"/>
      <c r="QF92" s="272"/>
      <c r="QG92" s="272"/>
      <c r="QH92" s="272"/>
      <c r="QI92" s="272"/>
      <c r="QJ92" s="272"/>
      <c r="QK92" s="272"/>
      <c r="QL92" s="272"/>
      <c r="QM92" s="272"/>
      <c r="QN92" s="272"/>
      <c r="QO92" s="272"/>
      <c r="QP92" s="272"/>
      <c r="QQ92" s="272"/>
      <c r="QR92" s="272"/>
      <c r="QS92" s="272"/>
      <c r="QT92" s="272"/>
      <c r="QU92" s="272"/>
      <c r="QV92" s="272"/>
      <c r="QW92" s="272"/>
      <c r="QX92" s="272"/>
      <c r="QY92" s="272"/>
      <c r="QZ92" s="272"/>
      <c r="RA92" s="272"/>
      <c r="RB92" s="272"/>
      <c r="RC92" s="272"/>
      <c r="RD92" s="272"/>
      <c r="RE92" s="272"/>
      <c r="RF92" s="272"/>
      <c r="RG92" s="272"/>
      <c r="RH92" s="272"/>
      <c r="RI92" s="272"/>
      <c r="RJ92" s="272"/>
      <c r="RK92" s="272"/>
      <c r="RL92" s="272"/>
      <c r="RM92" s="272"/>
      <c r="RN92" s="272"/>
      <c r="RO92" s="272"/>
      <c r="RP92" s="272"/>
      <c r="RQ92" s="272"/>
      <c r="RR92" s="272"/>
      <c r="RS92" s="272"/>
      <c r="RT92" s="272"/>
      <c r="RU92" s="272"/>
      <c r="RV92" s="272"/>
      <c r="RW92" s="272"/>
      <c r="RX92" s="272"/>
      <c r="RY92" s="272"/>
      <c r="RZ92" s="272"/>
      <c r="SA92" s="272"/>
      <c r="SB92" s="272"/>
      <c r="SC92" s="272"/>
      <c r="SD92" s="272"/>
      <c r="SE92" s="272"/>
      <c r="SF92" s="272"/>
      <c r="SG92" s="272"/>
      <c r="SH92" s="272"/>
      <c r="SI92" s="272"/>
      <c r="SJ92" s="272"/>
      <c r="SK92" s="272"/>
      <c r="SL92" s="272"/>
      <c r="SM92" s="272"/>
      <c r="SN92" s="272"/>
      <c r="SO92" s="272"/>
      <c r="SP92" s="272"/>
      <c r="SQ92" s="272"/>
      <c r="SR92" s="272"/>
      <c r="SS92" s="272"/>
      <c r="ST92" s="272"/>
      <c r="SU92" s="272"/>
      <c r="SV92" s="272"/>
      <c r="SW92" s="272"/>
      <c r="SX92" s="272"/>
      <c r="SY92" s="272"/>
      <c r="SZ92" s="272"/>
      <c r="TA92" s="272"/>
      <c r="TB92" s="272"/>
      <c r="TC92" s="272"/>
      <c r="TD92" s="272"/>
      <c r="TE92" s="272"/>
      <c r="TF92" s="272"/>
      <c r="TG92" s="272"/>
      <c r="TH92" s="272"/>
      <c r="TI92" s="272"/>
      <c r="TJ92" s="272"/>
      <c r="TK92" s="272"/>
      <c r="TL92" s="272"/>
      <c r="TM92" s="272"/>
      <c r="TN92" s="272"/>
      <c r="TO92" s="272"/>
      <c r="TP92" s="272"/>
      <c r="TQ92" s="272"/>
      <c r="TR92" s="272"/>
      <c r="TS92" s="272"/>
      <c r="TT92" s="272"/>
      <c r="TU92" s="272"/>
      <c r="TV92" s="272"/>
      <c r="TW92" s="272"/>
      <c r="TX92" s="272"/>
      <c r="TY92" s="272"/>
      <c r="TZ92" s="272"/>
      <c r="UA92" s="272"/>
      <c r="UB92" s="272"/>
      <c r="UC92" s="272"/>
      <c r="UD92" s="272"/>
      <c r="UE92" s="272"/>
      <c r="UF92" s="272"/>
      <c r="UG92" s="272"/>
      <c r="UH92" s="272"/>
      <c r="UI92" s="272"/>
      <c r="UJ92" s="272"/>
      <c r="UK92" s="272"/>
      <c r="UL92" s="272"/>
      <c r="UM92" s="272"/>
      <c r="UN92" s="272"/>
      <c r="UO92" s="272"/>
      <c r="UP92" s="272"/>
      <c r="UQ92" s="272"/>
      <c r="UR92" s="272"/>
      <c r="US92" s="272"/>
      <c r="UT92" s="272"/>
      <c r="UU92" s="272"/>
      <c r="UV92" s="272"/>
      <c r="UW92" s="272"/>
      <c r="UX92" s="272"/>
      <c r="UY92" s="272"/>
      <c r="UZ92" s="272"/>
      <c r="VA92" s="272"/>
      <c r="VB92" s="272"/>
      <c r="VC92" s="272"/>
      <c r="VD92" s="272"/>
      <c r="VE92" s="272"/>
      <c r="VF92" s="272"/>
      <c r="VG92" s="272"/>
      <c r="VH92" s="272"/>
      <c r="VI92" s="272"/>
      <c r="VJ92" s="272"/>
      <c r="VK92" s="272"/>
      <c r="VL92" s="272"/>
      <c r="VM92" s="272"/>
      <c r="VN92" s="272"/>
      <c r="VO92" s="272"/>
      <c r="VP92" s="272"/>
      <c r="VQ92" s="272"/>
      <c r="VR92" s="272"/>
      <c r="VS92" s="272"/>
      <c r="VT92" s="272"/>
      <c r="VU92" s="272"/>
      <c r="VV92" s="272"/>
      <c r="VW92" s="272"/>
      <c r="VX92" s="272"/>
      <c r="VY92" s="272"/>
      <c r="VZ92" s="272"/>
      <c r="WA92" s="272"/>
      <c r="WB92" s="272"/>
      <c r="WC92" s="272"/>
      <c r="WD92" s="272"/>
      <c r="WE92" s="272"/>
      <c r="WF92" s="272"/>
      <c r="WG92" s="272"/>
      <c r="WH92" s="272"/>
      <c r="WI92" s="272"/>
      <c r="WJ92" s="272"/>
      <c r="WK92" s="272"/>
      <c r="WL92" s="272"/>
      <c r="WM92" s="272"/>
      <c r="WN92" s="272"/>
      <c r="WO92" s="272"/>
      <c r="WP92" s="272"/>
      <c r="WQ92" s="272"/>
      <c r="WR92" s="272"/>
      <c r="WS92" s="272"/>
      <c r="WT92" s="272"/>
      <c r="WU92" s="272"/>
      <c r="WV92" s="272"/>
      <c r="WW92" s="272"/>
      <c r="WX92" s="272"/>
      <c r="WY92" s="272"/>
      <c r="WZ92" s="272"/>
      <c r="XA92" s="272"/>
      <c r="XB92" s="272"/>
      <c r="XC92" s="272"/>
      <c r="XD92" s="272"/>
      <c r="XE92" s="272"/>
      <c r="XF92" s="272"/>
      <c r="XG92" s="272"/>
      <c r="XH92" s="272"/>
      <c r="XI92" s="272"/>
      <c r="XJ92" s="272"/>
      <c r="XK92" s="272"/>
      <c r="XL92" s="272"/>
      <c r="XM92" s="272"/>
      <c r="XN92" s="272"/>
      <c r="XO92" s="272"/>
      <c r="XP92" s="272"/>
      <c r="XQ92" s="272"/>
      <c r="XR92" s="272"/>
      <c r="XS92" s="272"/>
      <c r="XT92" s="272"/>
      <c r="XU92" s="272"/>
      <c r="XV92" s="272"/>
      <c r="XW92" s="272"/>
      <c r="XX92" s="272"/>
      <c r="XY92" s="272"/>
      <c r="XZ92" s="272"/>
      <c r="YA92" s="272"/>
      <c r="YB92" s="272"/>
      <c r="YC92" s="272"/>
      <c r="YD92" s="272"/>
      <c r="YE92" s="272"/>
      <c r="YF92" s="272"/>
      <c r="YG92" s="272"/>
      <c r="YH92" s="272"/>
      <c r="YI92" s="272"/>
      <c r="YJ92" s="272"/>
      <c r="YK92" s="272"/>
      <c r="YL92" s="272"/>
      <c r="YM92" s="272"/>
      <c r="YN92" s="272"/>
      <c r="YO92" s="272"/>
      <c r="YP92" s="272"/>
      <c r="YQ92" s="272"/>
      <c r="YR92" s="272"/>
      <c r="YS92" s="272"/>
      <c r="YT92" s="272"/>
      <c r="YU92" s="272"/>
      <c r="YV92" s="272"/>
      <c r="YW92" s="272"/>
      <c r="YX92" s="272"/>
      <c r="YY92" s="272"/>
      <c r="YZ92" s="272"/>
      <c r="ZA92" s="272"/>
      <c r="ZB92" s="272"/>
      <c r="ZC92" s="272"/>
      <c r="ZD92" s="272"/>
      <c r="ZE92" s="272"/>
      <c r="ZF92" s="272"/>
      <c r="ZG92" s="272"/>
      <c r="ZH92" s="272"/>
      <c r="ZI92" s="272"/>
      <c r="ZJ92" s="272"/>
      <c r="ZK92" s="272"/>
      <c r="ZL92" s="272"/>
      <c r="ZM92" s="272"/>
      <c r="ZN92" s="272"/>
      <c r="ZO92" s="272"/>
      <c r="ZP92" s="272"/>
      <c r="ZQ92" s="272"/>
      <c r="ZR92" s="272"/>
      <c r="ZS92" s="272"/>
      <c r="ZT92" s="272"/>
    </row>
    <row r="93" spans="1:696" s="19" customFormat="1" ht="13.5" hidden="1" thickBot="1">
      <c r="A93" s="47"/>
      <c r="B93" s="74"/>
      <c r="C93" s="20" t="s">
        <v>53</v>
      </c>
      <c r="D93" s="22"/>
      <c r="E93" s="54"/>
      <c r="F93" s="54"/>
      <c r="G93" s="268"/>
      <c r="H93" s="268"/>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c r="BU93" s="272"/>
      <c r="BV93" s="272"/>
      <c r="BW93" s="272"/>
      <c r="BX93" s="272"/>
      <c r="BY93" s="272"/>
      <c r="BZ93" s="272"/>
      <c r="CA93" s="272"/>
      <c r="CB93" s="272"/>
      <c r="CC93" s="272"/>
      <c r="CD93" s="272"/>
      <c r="CE93" s="272"/>
      <c r="CF93" s="272"/>
      <c r="CG93" s="272"/>
      <c r="CH93" s="272"/>
      <c r="CI93" s="272"/>
      <c r="CJ93" s="272"/>
      <c r="CK93" s="272"/>
      <c r="CL93" s="272"/>
      <c r="CM93" s="272"/>
      <c r="CN93" s="272"/>
      <c r="CO93" s="272"/>
      <c r="CP93" s="272"/>
      <c r="CQ93" s="272"/>
      <c r="CR93" s="272"/>
      <c r="CS93" s="272"/>
      <c r="CT93" s="272"/>
      <c r="CU93" s="272"/>
      <c r="CV93" s="272"/>
      <c r="CW93" s="272"/>
      <c r="CX93" s="272"/>
      <c r="CY93" s="272"/>
      <c r="CZ93" s="272"/>
      <c r="DA93" s="272"/>
      <c r="DB93" s="272"/>
      <c r="DC93" s="272"/>
      <c r="DD93" s="272"/>
      <c r="DE93" s="272"/>
      <c r="DF93" s="272"/>
      <c r="DG93" s="272"/>
      <c r="DH93" s="272"/>
      <c r="DI93" s="272"/>
      <c r="DJ93" s="272"/>
      <c r="DK93" s="272"/>
      <c r="DL93" s="272"/>
      <c r="DM93" s="272"/>
      <c r="DN93" s="272"/>
      <c r="DO93" s="272"/>
      <c r="DP93" s="272"/>
      <c r="DQ93" s="272"/>
      <c r="DR93" s="272"/>
      <c r="DS93" s="272"/>
      <c r="DT93" s="272"/>
      <c r="DU93" s="272"/>
      <c r="DV93" s="272"/>
      <c r="DW93" s="272"/>
      <c r="DX93" s="272"/>
      <c r="DY93" s="272"/>
      <c r="DZ93" s="272"/>
      <c r="EA93" s="272"/>
      <c r="EB93" s="272"/>
      <c r="EC93" s="272"/>
      <c r="ED93" s="272"/>
      <c r="EE93" s="272"/>
      <c r="EF93" s="272"/>
      <c r="EG93" s="272"/>
      <c r="EH93" s="272"/>
      <c r="EI93" s="272"/>
      <c r="EJ93" s="272"/>
      <c r="EK93" s="272"/>
      <c r="EL93" s="272"/>
      <c r="EM93" s="272"/>
      <c r="EN93" s="272"/>
      <c r="EO93" s="272"/>
      <c r="EP93" s="272"/>
      <c r="EQ93" s="272"/>
      <c r="ER93" s="272"/>
      <c r="ES93" s="272"/>
      <c r="ET93" s="272"/>
      <c r="EU93" s="272"/>
      <c r="EV93" s="272"/>
      <c r="EW93" s="272"/>
      <c r="EX93" s="272"/>
      <c r="EY93" s="272"/>
      <c r="EZ93" s="272"/>
      <c r="FA93" s="272"/>
      <c r="FB93" s="272"/>
      <c r="FC93" s="272"/>
      <c r="FD93" s="272"/>
      <c r="FE93" s="272"/>
      <c r="FF93" s="272"/>
      <c r="FG93" s="272"/>
      <c r="FH93" s="272"/>
      <c r="FI93" s="272"/>
      <c r="FJ93" s="272"/>
      <c r="FK93" s="272"/>
      <c r="FL93" s="272"/>
      <c r="FM93" s="272"/>
      <c r="FN93" s="272"/>
      <c r="FO93" s="272"/>
      <c r="FP93" s="272"/>
      <c r="FQ93" s="272"/>
      <c r="FR93" s="272"/>
      <c r="FS93" s="272"/>
      <c r="FT93" s="272"/>
      <c r="FU93" s="272"/>
      <c r="FV93" s="272"/>
      <c r="FW93" s="272"/>
      <c r="FX93" s="272"/>
      <c r="FY93" s="272"/>
      <c r="FZ93" s="272"/>
      <c r="GA93" s="272"/>
      <c r="GB93" s="272"/>
      <c r="GC93" s="272"/>
      <c r="GD93" s="272"/>
      <c r="GE93" s="272"/>
      <c r="GF93" s="272"/>
      <c r="GG93" s="272"/>
      <c r="GH93" s="272"/>
      <c r="GI93" s="272"/>
      <c r="GJ93" s="272"/>
      <c r="GK93" s="272"/>
      <c r="GL93" s="272"/>
      <c r="GM93" s="272"/>
      <c r="GN93" s="272"/>
      <c r="GO93" s="272"/>
      <c r="GP93" s="272"/>
      <c r="GQ93" s="272"/>
      <c r="GR93" s="272"/>
      <c r="GS93" s="272"/>
      <c r="GT93" s="272"/>
      <c r="GU93" s="272"/>
      <c r="GV93" s="272"/>
      <c r="GW93" s="272"/>
      <c r="GX93" s="272"/>
      <c r="GY93" s="272"/>
      <c r="GZ93" s="272"/>
      <c r="HA93" s="272"/>
      <c r="HB93" s="272"/>
      <c r="HC93" s="272"/>
      <c r="HD93" s="272"/>
      <c r="HE93" s="272"/>
      <c r="HF93" s="272"/>
      <c r="HG93" s="272"/>
      <c r="HH93" s="272"/>
      <c r="HI93" s="272"/>
      <c r="HJ93" s="272"/>
      <c r="HK93" s="272"/>
      <c r="HL93" s="272"/>
      <c r="HM93" s="272"/>
      <c r="HN93" s="272"/>
      <c r="HO93" s="272"/>
      <c r="HP93" s="272"/>
      <c r="HQ93" s="272"/>
      <c r="HR93" s="272"/>
      <c r="HS93" s="272"/>
      <c r="HT93" s="272"/>
      <c r="HU93" s="272"/>
      <c r="HV93" s="272"/>
      <c r="HW93" s="272"/>
      <c r="HX93" s="272"/>
      <c r="HY93" s="272"/>
      <c r="HZ93" s="272"/>
      <c r="IA93" s="272"/>
      <c r="IB93" s="272"/>
      <c r="IC93" s="272"/>
      <c r="ID93" s="272"/>
      <c r="IE93" s="272"/>
      <c r="IF93" s="272"/>
      <c r="IG93" s="272"/>
      <c r="IH93" s="272"/>
      <c r="II93" s="272"/>
      <c r="IJ93" s="272"/>
      <c r="IK93" s="272"/>
      <c r="IL93" s="272"/>
      <c r="IM93" s="272"/>
      <c r="IN93" s="272"/>
      <c r="IO93" s="272"/>
      <c r="IP93" s="272"/>
      <c r="IQ93" s="272"/>
      <c r="IR93" s="272"/>
      <c r="IS93" s="272"/>
      <c r="IT93" s="272"/>
      <c r="IU93" s="272"/>
      <c r="IV93" s="272"/>
      <c r="IW93" s="272"/>
      <c r="IX93" s="272"/>
      <c r="IY93" s="272"/>
      <c r="IZ93" s="272"/>
      <c r="JA93" s="272"/>
      <c r="JB93" s="272"/>
      <c r="JC93" s="272"/>
      <c r="JD93" s="272"/>
      <c r="JE93" s="272"/>
      <c r="JF93" s="272"/>
      <c r="JG93" s="272"/>
      <c r="JH93" s="272"/>
      <c r="JI93" s="272"/>
      <c r="JJ93" s="272"/>
      <c r="JK93" s="272"/>
      <c r="JL93" s="272"/>
      <c r="JM93" s="272"/>
      <c r="JN93" s="272"/>
      <c r="JO93" s="272"/>
      <c r="JP93" s="272"/>
      <c r="JQ93" s="272"/>
      <c r="JR93" s="272"/>
      <c r="JS93" s="272"/>
      <c r="JT93" s="272"/>
      <c r="JU93" s="272"/>
      <c r="JV93" s="272"/>
      <c r="JW93" s="272"/>
      <c r="JX93" s="272"/>
      <c r="JY93" s="272"/>
      <c r="JZ93" s="272"/>
      <c r="KA93" s="272"/>
      <c r="KB93" s="272"/>
      <c r="KC93" s="272"/>
      <c r="KD93" s="272"/>
      <c r="KE93" s="272"/>
      <c r="KF93" s="272"/>
      <c r="KG93" s="272"/>
      <c r="KH93" s="272"/>
      <c r="KI93" s="272"/>
      <c r="KJ93" s="272"/>
      <c r="KK93" s="272"/>
      <c r="KL93" s="272"/>
      <c r="KM93" s="272"/>
      <c r="KN93" s="272"/>
      <c r="KO93" s="272"/>
      <c r="KP93" s="272"/>
      <c r="KQ93" s="272"/>
      <c r="KR93" s="272"/>
      <c r="KS93" s="272"/>
      <c r="KT93" s="272"/>
      <c r="KU93" s="272"/>
      <c r="KV93" s="272"/>
      <c r="KW93" s="272"/>
      <c r="KX93" s="272"/>
      <c r="KY93" s="272"/>
      <c r="KZ93" s="272"/>
      <c r="LA93" s="272"/>
      <c r="LB93" s="272"/>
      <c r="LC93" s="272"/>
      <c r="LD93" s="272"/>
      <c r="LE93" s="272"/>
      <c r="LF93" s="272"/>
      <c r="LG93" s="272"/>
      <c r="LH93" s="272"/>
      <c r="LI93" s="272"/>
      <c r="LJ93" s="272"/>
      <c r="LK93" s="272"/>
      <c r="LL93" s="272"/>
      <c r="LM93" s="272"/>
      <c r="LN93" s="272"/>
      <c r="LO93" s="272"/>
      <c r="LP93" s="272"/>
      <c r="LQ93" s="272"/>
      <c r="LR93" s="272"/>
      <c r="LS93" s="272"/>
      <c r="LT93" s="272"/>
      <c r="LU93" s="272"/>
      <c r="LV93" s="272"/>
      <c r="LW93" s="272"/>
      <c r="LX93" s="272"/>
      <c r="LY93" s="272"/>
      <c r="LZ93" s="272"/>
      <c r="MA93" s="272"/>
      <c r="MB93" s="272"/>
      <c r="MC93" s="272"/>
      <c r="MD93" s="272"/>
      <c r="ME93" s="272"/>
      <c r="MF93" s="272"/>
      <c r="MG93" s="272"/>
      <c r="MH93" s="272"/>
      <c r="MI93" s="272"/>
      <c r="MJ93" s="272"/>
      <c r="MK93" s="272"/>
      <c r="ML93" s="272"/>
      <c r="MM93" s="272"/>
      <c r="MN93" s="272"/>
      <c r="MO93" s="272"/>
      <c r="MP93" s="272"/>
      <c r="MQ93" s="272"/>
      <c r="MR93" s="272"/>
      <c r="MS93" s="272"/>
      <c r="MT93" s="272"/>
      <c r="MU93" s="272"/>
      <c r="MV93" s="272"/>
      <c r="MW93" s="272"/>
      <c r="MX93" s="272"/>
      <c r="MY93" s="272"/>
      <c r="MZ93" s="272"/>
      <c r="NA93" s="272"/>
      <c r="NB93" s="272"/>
      <c r="NC93" s="272"/>
      <c r="ND93" s="272"/>
      <c r="NE93" s="272"/>
      <c r="NF93" s="272"/>
      <c r="NG93" s="272"/>
      <c r="NH93" s="272"/>
      <c r="NI93" s="272"/>
      <c r="NJ93" s="272"/>
      <c r="NK93" s="272"/>
      <c r="NL93" s="272"/>
      <c r="NM93" s="272"/>
      <c r="NN93" s="272"/>
      <c r="NO93" s="272"/>
      <c r="NP93" s="272"/>
      <c r="NQ93" s="272"/>
      <c r="NR93" s="272"/>
      <c r="NS93" s="272"/>
      <c r="NT93" s="272"/>
      <c r="NU93" s="272"/>
      <c r="NV93" s="272"/>
      <c r="NW93" s="272"/>
      <c r="NX93" s="272"/>
      <c r="NY93" s="272"/>
      <c r="NZ93" s="272"/>
      <c r="OA93" s="272"/>
      <c r="OB93" s="272"/>
      <c r="OC93" s="272"/>
      <c r="OD93" s="272"/>
      <c r="OE93" s="272"/>
      <c r="OF93" s="272"/>
      <c r="OG93" s="272"/>
      <c r="OH93" s="272"/>
      <c r="OI93" s="272"/>
      <c r="OJ93" s="272"/>
      <c r="OK93" s="272"/>
      <c r="OL93" s="272"/>
      <c r="OM93" s="272"/>
      <c r="ON93" s="272"/>
      <c r="OO93" s="272"/>
      <c r="OP93" s="272"/>
      <c r="OQ93" s="272"/>
      <c r="OR93" s="272"/>
      <c r="OS93" s="272"/>
      <c r="OT93" s="272"/>
      <c r="OU93" s="272"/>
      <c r="OV93" s="272"/>
      <c r="OW93" s="272"/>
      <c r="OX93" s="272"/>
      <c r="OY93" s="272"/>
      <c r="OZ93" s="272"/>
      <c r="PA93" s="272"/>
      <c r="PB93" s="272"/>
      <c r="PC93" s="272"/>
      <c r="PD93" s="272"/>
      <c r="PE93" s="272"/>
      <c r="PF93" s="272"/>
      <c r="PG93" s="272"/>
      <c r="PH93" s="272"/>
      <c r="PI93" s="272"/>
      <c r="PJ93" s="272"/>
      <c r="PK93" s="272"/>
      <c r="PL93" s="272"/>
      <c r="PM93" s="272"/>
      <c r="PN93" s="272"/>
      <c r="PO93" s="272"/>
      <c r="PP93" s="272"/>
      <c r="PQ93" s="272"/>
      <c r="PR93" s="272"/>
      <c r="PS93" s="272"/>
      <c r="PT93" s="272"/>
      <c r="PU93" s="272"/>
      <c r="PV93" s="272"/>
      <c r="PW93" s="272"/>
      <c r="PX93" s="272"/>
      <c r="PY93" s="272"/>
      <c r="PZ93" s="272"/>
      <c r="QA93" s="272"/>
      <c r="QB93" s="272"/>
      <c r="QC93" s="272"/>
      <c r="QD93" s="272"/>
      <c r="QE93" s="272"/>
      <c r="QF93" s="272"/>
      <c r="QG93" s="272"/>
      <c r="QH93" s="272"/>
      <c r="QI93" s="272"/>
      <c r="QJ93" s="272"/>
      <c r="QK93" s="272"/>
      <c r="QL93" s="272"/>
      <c r="QM93" s="272"/>
      <c r="QN93" s="272"/>
      <c r="QO93" s="272"/>
      <c r="QP93" s="272"/>
      <c r="QQ93" s="272"/>
      <c r="QR93" s="272"/>
      <c r="QS93" s="272"/>
      <c r="QT93" s="272"/>
      <c r="QU93" s="272"/>
      <c r="QV93" s="272"/>
      <c r="QW93" s="272"/>
      <c r="QX93" s="272"/>
      <c r="QY93" s="272"/>
      <c r="QZ93" s="272"/>
      <c r="RA93" s="272"/>
      <c r="RB93" s="272"/>
      <c r="RC93" s="272"/>
      <c r="RD93" s="272"/>
      <c r="RE93" s="272"/>
      <c r="RF93" s="272"/>
      <c r="RG93" s="272"/>
      <c r="RH93" s="272"/>
      <c r="RI93" s="272"/>
      <c r="RJ93" s="272"/>
      <c r="RK93" s="272"/>
      <c r="RL93" s="272"/>
      <c r="RM93" s="272"/>
      <c r="RN93" s="272"/>
      <c r="RO93" s="272"/>
      <c r="RP93" s="272"/>
      <c r="RQ93" s="272"/>
      <c r="RR93" s="272"/>
      <c r="RS93" s="272"/>
      <c r="RT93" s="272"/>
      <c r="RU93" s="272"/>
      <c r="RV93" s="272"/>
      <c r="RW93" s="272"/>
      <c r="RX93" s="272"/>
      <c r="RY93" s="272"/>
      <c r="RZ93" s="272"/>
      <c r="SA93" s="272"/>
      <c r="SB93" s="272"/>
      <c r="SC93" s="272"/>
      <c r="SD93" s="272"/>
      <c r="SE93" s="272"/>
      <c r="SF93" s="272"/>
      <c r="SG93" s="272"/>
      <c r="SH93" s="272"/>
      <c r="SI93" s="272"/>
      <c r="SJ93" s="272"/>
      <c r="SK93" s="272"/>
      <c r="SL93" s="272"/>
      <c r="SM93" s="272"/>
      <c r="SN93" s="272"/>
      <c r="SO93" s="272"/>
      <c r="SP93" s="272"/>
      <c r="SQ93" s="272"/>
      <c r="SR93" s="272"/>
      <c r="SS93" s="272"/>
      <c r="ST93" s="272"/>
      <c r="SU93" s="272"/>
      <c r="SV93" s="272"/>
      <c r="SW93" s="272"/>
      <c r="SX93" s="272"/>
      <c r="SY93" s="272"/>
      <c r="SZ93" s="272"/>
      <c r="TA93" s="272"/>
      <c r="TB93" s="272"/>
      <c r="TC93" s="272"/>
      <c r="TD93" s="272"/>
      <c r="TE93" s="272"/>
      <c r="TF93" s="272"/>
      <c r="TG93" s="272"/>
      <c r="TH93" s="272"/>
      <c r="TI93" s="272"/>
      <c r="TJ93" s="272"/>
      <c r="TK93" s="272"/>
      <c r="TL93" s="272"/>
      <c r="TM93" s="272"/>
      <c r="TN93" s="272"/>
      <c r="TO93" s="272"/>
      <c r="TP93" s="272"/>
      <c r="TQ93" s="272"/>
      <c r="TR93" s="272"/>
      <c r="TS93" s="272"/>
      <c r="TT93" s="272"/>
      <c r="TU93" s="272"/>
      <c r="TV93" s="272"/>
      <c r="TW93" s="272"/>
      <c r="TX93" s="272"/>
      <c r="TY93" s="272"/>
      <c r="TZ93" s="272"/>
      <c r="UA93" s="272"/>
      <c r="UB93" s="272"/>
      <c r="UC93" s="272"/>
      <c r="UD93" s="272"/>
      <c r="UE93" s="272"/>
      <c r="UF93" s="272"/>
      <c r="UG93" s="272"/>
      <c r="UH93" s="272"/>
      <c r="UI93" s="272"/>
      <c r="UJ93" s="272"/>
      <c r="UK93" s="272"/>
      <c r="UL93" s="272"/>
      <c r="UM93" s="272"/>
      <c r="UN93" s="272"/>
      <c r="UO93" s="272"/>
      <c r="UP93" s="272"/>
      <c r="UQ93" s="272"/>
      <c r="UR93" s="272"/>
      <c r="US93" s="272"/>
      <c r="UT93" s="272"/>
      <c r="UU93" s="272"/>
      <c r="UV93" s="272"/>
      <c r="UW93" s="272"/>
      <c r="UX93" s="272"/>
      <c r="UY93" s="272"/>
      <c r="UZ93" s="272"/>
      <c r="VA93" s="272"/>
      <c r="VB93" s="272"/>
      <c r="VC93" s="272"/>
      <c r="VD93" s="272"/>
      <c r="VE93" s="272"/>
      <c r="VF93" s="272"/>
      <c r="VG93" s="272"/>
      <c r="VH93" s="272"/>
      <c r="VI93" s="272"/>
      <c r="VJ93" s="272"/>
      <c r="VK93" s="272"/>
      <c r="VL93" s="272"/>
      <c r="VM93" s="272"/>
      <c r="VN93" s="272"/>
      <c r="VO93" s="272"/>
      <c r="VP93" s="272"/>
      <c r="VQ93" s="272"/>
      <c r="VR93" s="272"/>
      <c r="VS93" s="272"/>
      <c r="VT93" s="272"/>
      <c r="VU93" s="272"/>
      <c r="VV93" s="272"/>
      <c r="VW93" s="272"/>
      <c r="VX93" s="272"/>
      <c r="VY93" s="272"/>
      <c r="VZ93" s="272"/>
      <c r="WA93" s="272"/>
      <c r="WB93" s="272"/>
      <c r="WC93" s="272"/>
      <c r="WD93" s="272"/>
      <c r="WE93" s="272"/>
      <c r="WF93" s="272"/>
      <c r="WG93" s="272"/>
      <c r="WH93" s="272"/>
      <c r="WI93" s="272"/>
      <c r="WJ93" s="272"/>
      <c r="WK93" s="272"/>
      <c r="WL93" s="272"/>
      <c r="WM93" s="272"/>
      <c r="WN93" s="272"/>
      <c r="WO93" s="272"/>
      <c r="WP93" s="272"/>
      <c r="WQ93" s="272"/>
      <c r="WR93" s="272"/>
      <c r="WS93" s="272"/>
      <c r="WT93" s="272"/>
      <c r="WU93" s="272"/>
      <c r="WV93" s="272"/>
      <c r="WW93" s="272"/>
      <c r="WX93" s="272"/>
      <c r="WY93" s="272"/>
      <c r="WZ93" s="272"/>
      <c r="XA93" s="272"/>
      <c r="XB93" s="272"/>
      <c r="XC93" s="272"/>
      <c r="XD93" s="272"/>
      <c r="XE93" s="272"/>
      <c r="XF93" s="272"/>
      <c r="XG93" s="272"/>
      <c r="XH93" s="272"/>
      <c r="XI93" s="272"/>
      <c r="XJ93" s="272"/>
      <c r="XK93" s="272"/>
      <c r="XL93" s="272"/>
      <c r="XM93" s="272"/>
      <c r="XN93" s="272"/>
      <c r="XO93" s="272"/>
      <c r="XP93" s="272"/>
      <c r="XQ93" s="272"/>
      <c r="XR93" s="272"/>
      <c r="XS93" s="272"/>
      <c r="XT93" s="272"/>
      <c r="XU93" s="272"/>
      <c r="XV93" s="272"/>
      <c r="XW93" s="272"/>
      <c r="XX93" s="272"/>
      <c r="XY93" s="272"/>
      <c r="XZ93" s="272"/>
      <c r="YA93" s="272"/>
      <c r="YB93" s="272"/>
      <c r="YC93" s="272"/>
      <c r="YD93" s="272"/>
      <c r="YE93" s="272"/>
      <c r="YF93" s="272"/>
      <c r="YG93" s="272"/>
      <c r="YH93" s="272"/>
      <c r="YI93" s="272"/>
      <c r="YJ93" s="272"/>
      <c r="YK93" s="272"/>
      <c r="YL93" s="272"/>
      <c r="YM93" s="272"/>
      <c r="YN93" s="272"/>
      <c r="YO93" s="272"/>
      <c r="YP93" s="272"/>
      <c r="YQ93" s="272"/>
      <c r="YR93" s="272"/>
      <c r="YS93" s="272"/>
      <c r="YT93" s="272"/>
      <c r="YU93" s="272"/>
      <c r="YV93" s="272"/>
      <c r="YW93" s="272"/>
      <c r="YX93" s="272"/>
      <c r="YY93" s="272"/>
      <c r="YZ93" s="272"/>
      <c r="ZA93" s="272"/>
      <c r="ZB93" s="272"/>
      <c r="ZC93" s="272"/>
      <c r="ZD93" s="272"/>
      <c r="ZE93" s="272"/>
      <c r="ZF93" s="272"/>
      <c r="ZG93" s="272"/>
      <c r="ZH93" s="272"/>
      <c r="ZI93" s="272"/>
      <c r="ZJ93" s="272"/>
      <c r="ZK93" s="272"/>
      <c r="ZL93" s="272"/>
      <c r="ZM93" s="272"/>
      <c r="ZN93" s="272"/>
      <c r="ZO93" s="272"/>
      <c r="ZP93" s="272"/>
      <c r="ZQ93" s="272"/>
      <c r="ZR93" s="272"/>
      <c r="ZS93" s="272"/>
      <c r="ZT93" s="272"/>
    </row>
    <row r="94" spans="1:696" s="62" customFormat="1" ht="13.5" hidden="1" thickBot="1">
      <c r="A94" s="48"/>
      <c r="B94" s="75"/>
      <c r="C94" s="32" t="s">
        <v>54</v>
      </c>
      <c r="D94" s="35"/>
      <c r="E94" s="36"/>
      <c r="F94" s="36"/>
      <c r="G94" s="269"/>
      <c r="H94" s="269"/>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272"/>
      <c r="BW94" s="272"/>
      <c r="BX94" s="272"/>
      <c r="BY94" s="272"/>
      <c r="BZ94" s="272"/>
      <c r="CA94" s="272"/>
      <c r="CB94" s="272"/>
      <c r="CC94" s="272"/>
      <c r="CD94" s="272"/>
      <c r="CE94" s="272"/>
      <c r="CF94" s="272"/>
      <c r="CG94" s="272"/>
      <c r="CH94" s="272"/>
      <c r="CI94" s="272"/>
      <c r="CJ94" s="272"/>
      <c r="CK94" s="272"/>
      <c r="CL94" s="272"/>
      <c r="CM94" s="272"/>
      <c r="CN94" s="272"/>
      <c r="CO94" s="272"/>
      <c r="CP94" s="272"/>
      <c r="CQ94" s="272"/>
      <c r="CR94" s="272"/>
      <c r="CS94" s="272"/>
      <c r="CT94" s="272"/>
      <c r="CU94" s="272"/>
      <c r="CV94" s="272"/>
      <c r="CW94" s="272"/>
      <c r="CX94" s="272"/>
      <c r="CY94" s="272"/>
      <c r="CZ94" s="272"/>
      <c r="DA94" s="272"/>
      <c r="DB94" s="272"/>
      <c r="DC94" s="272"/>
      <c r="DD94" s="272"/>
      <c r="DE94" s="272"/>
      <c r="DF94" s="272"/>
      <c r="DG94" s="272"/>
      <c r="DH94" s="272"/>
      <c r="DI94" s="272"/>
      <c r="DJ94" s="272"/>
      <c r="DK94" s="272"/>
      <c r="DL94" s="272"/>
      <c r="DM94" s="272"/>
      <c r="DN94" s="272"/>
      <c r="DO94" s="272"/>
      <c r="DP94" s="272"/>
      <c r="DQ94" s="272"/>
      <c r="DR94" s="272"/>
      <c r="DS94" s="272"/>
      <c r="DT94" s="272"/>
      <c r="DU94" s="272"/>
      <c r="DV94" s="272"/>
      <c r="DW94" s="272"/>
      <c r="DX94" s="272"/>
      <c r="DY94" s="272"/>
      <c r="DZ94" s="272"/>
      <c r="EA94" s="272"/>
      <c r="EB94" s="272"/>
      <c r="EC94" s="272"/>
      <c r="ED94" s="272"/>
      <c r="EE94" s="272"/>
      <c r="EF94" s="272"/>
      <c r="EG94" s="272"/>
      <c r="EH94" s="272"/>
      <c r="EI94" s="272"/>
      <c r="EJ94" s="272"/>
      <c r="EK94" s="272"/>
      <c r="EL94" s="272"/>
      <c r="EM94" s="272"/>
      <c r="EN94" s="272"/>
      <c r="EO94" s="272"/>
      <c r="EP94" s="272"/>
      <c r="EQ94" s="272"/>
      <c r="ER94" s="272"/>
      <c r="ES94" s="272"/>
      <c r="ET94" s="272"/>
      <c r="EU94" s="272"/>
      <c r="EV94" s="272"/>
      <c r="EW94" s="272"/>
      <c r="EX94" s="272"/>
      <c r="EY94" s="272"/>
      <c r="EZ94" s="272"/>
      <c r="FA94" s="272"/>
      <c r="FB94" s="272"/>
      <c r="FC94" s="272"/>
      <c r="FD94" s="272"/>
      <c r="FE94" s="272"/>
      <c r="FF94" s="272"/>
      <c r="FG94" s="272"/>
      <c r="FH94" s="272"/>
      <c r="FI94" s="272"/>
      <c r="FJ94" s="272"/>
      <c r="FK94" s="272"/>
      <c r="FL94" s="272"/>
      <c r="FM94" s="272"/>
      <c r="FN94" s="272"/>
      <c r="FO94" s="272"/>
      <c r="FP94" s="272"/>
      <c r="FQ94" s="272"/>
      <c r="FR94" s="272"/>
      <c r="FS94" s="272"/>
      <c r="FT94" s="272"/>
      <c r="FU94" s="272"/>
      <c r="FV94" s="272"/>
      <c r="FW94" s="272"/>
      <c r="FX94" s="272"/>
      <c r="FY94" s="272"/>
      <c r="FZ94" s="272"/>
      <c r="GA94" s="272"/>
      <c r="GB94" s="272"/>
      <c r="GC94" s="272"/>
      <c r="GD94" s="272"/>
      <c r="GE94" s="272"/>
      <c r="GF94" s="272"/>
      <c r="GG94" s="272"/>
      <c r="GH94" s="272"/>
      <c r="GI94" s="272"/>
      <c r="GJ94" s="272"/>
      <c r="GK94" s="272"/>
      <c r="GL94" s="272"/>
      <c r="GM94" s="272"/>
      <c r="GN94" s="272"/>
      <c r="GO94" s="272"/>
      <c r="GP94" s="272"/>
      <c r="GQ94" s="272"/>
      <c r="GR94" s="272"/>
      <c r="GS94" s="272"/>
      <c r="GT94" s="272"/>
      <c r="GU94" s="272"/>
      <c r="GV94" s="272"/>
      <c r="GW94" s="272"/>
      <c r="GX94" s="272"/>
      <c r="GY94" s="272"/>
      <c r="GZ94" s="272"/>
      <c r="HA94" s="272"/>
      <c r="HB94" s="272"/>
      <c r="HC94" s="272"/>
      <c r="HD94" s="272"/>
      <c r="HE94" s="272"/>
      <c r="HF94" s="272"/>
      <c r="HG94" s="272"/>
      <c r="HH94" s="272"/>
      <c r="HI94" s="272"/>
      <c r="HJ94" s="272"/>
      <c r="HK94" s="272"/>
      <c r="HL94" s="272"/>
      <c r="HM94" s="272"/>
      <c r="HN94" s="272"/>
      <c r="HO94" s="272"/>
      <c r="HP94" s="272"/>
      <c r="HQ94" s="272"/>
      <c r="HR94" s="272"/>
      <c r="HS94" s="272"/>
      <c r="HT94" s="272"/>
      <c r="HU94" s="272"/>
      <c r="HV94" s="272"/>
      <c r="HW94" s="272"/>
      <c r="HX94" s="272"/>
      <c r="HY94" s="272"/>
      <c r="HZ94" s="272"/>
      <c r="IA94" s="272"/>
      <c r="IB94" s="272"/>
      <c r="IC94" s="272"/>
      <c r="ID94" s="272"/>
      <c r="IE94" s="272"/>
      <c r="IF94" s="272"/>
      <c r="IG94" s="272"/>
      <c r="IH94" s="272"/>
      <c r="II94" s="272"/>
      <c r="IJ94" s="272"/>
      <c r="IK94" s="272"/>
      <c r="IL94" s="272"/>
      <c r="IM94" s="272"/>
      <c r="IN94" s="272"/>
      <c r="IO94" s="272"/>
      <c r="IP94" s="272"/>
      <c r="IQ94" s="272"/>
      <c r="IR94" s="272"/>
      <c r="IS94" s="272"/>
      <c r="IT94" s="272"/>
      <c r="IU94" s="272"/>
      <c r="IV94" s="272"/>
      <c r="IW94" s="272"/>
      <c r="IX94" s="272"/>
      <c r="IY94" s="272"/>
      <c r="IZ94" s="272"/>
      <c r="JA94" s="272"/>
      <c r="JB94" s="272"/>
      <c r="JC94" s="272"/>
      <c r="JD94" s="272"/>
      <c r="JE94" s="272"/>
      <c r="JF94" s="272"/>
      <c r="JG94" s="272"/>
      <c r="JH94" s="272"/>
      <c r="JI94" s="272"/>
      <c r="JJ94" s="272"/>
      <c r="JK94" s="272"/>
      <c r="JL94" s="272"/>
      <c r="JM94" s="272"/>
      <c r="JN94" s="272"/>
      <c r="JO94" s="272"/>
      <c r="JP94" s="272"/>
      <c r="JQ94" s="272"/>
      <c r="JR94" s="272"/>
      <c r="JS94" s="272"/>
      <c r="JT94" s="272"/>
      <c r="JU94" s="272"/>
      <c r="JV94" s="272"/>
      <c r="JW94" s="272"/>
      <c r="JX94" s="272"/>
      <c r="JY94" s="272"/>
      <c r="JZ94" s="272"/>
      <c r="KA94" s="272"/>
      <c r="KB94" s="272"/>
      <c r="KC94" s="272"/>
      <c r="KD94" s="272"/>
      <c r="KE94" s="272"/>
      <c r="KF94" s="272"/>
      <c r="KG94" s="272"/>
      <c r="KH94" s="272"/>
      <c r="KI94" s="272"/>
      <c r="KJ94" s="272"/>
      <c r="KK94" s="272"/>
      <c r="KL94" s="272"/>
      <c r="KM94" s="272"/>
      <c r="KN94" s="272"/>
      <c r="KO94" s="272"/>
      <c r="KP94" s="272"/>
      <c r="KQ94" s="272"/>
      <c r="KR94" s="272"/>
      <c r="KS94" s="272"/>
      <c r="KT94" s="272"/>
      <c r="KU94" s="272"/>
      <c r="KV94" s="272"/>
      <c r="KW94" s="272"/>
      <c r="KX94" s="272"/>
      <c r="KY94" s="272"/>
      <c r="KZ94" s="272"/>
      <c r="LA94" s="272"/>
      <c r="LB94" s="272"/>
      <c r="LC94" s="272"/>
      <c r="LD94" s="272"/>
      <c r="LE94" s="272"/>
      <c r="LF94" s="272"/>
      <c r="LG94" s="272"/>
      <c r="LH94" s="272"/>
      <c r="LI94" s="272"/>
      <c r="LJ94" s="272"/>
      <c r="LK94" s="272"/>
      <c r="LL94" s="272"/>
      <c r="LM94" s="272"/>
      <c r="LN94" s="272"/>
      <c r="LO94" s="272"/>
      <c r="LP94" s="272"/>
      <c r="LQ94" s="272"/>
      <c r="LR94" s="272"/>
      <c r="LS94" s="272"/>
      <c r="LT94" s="272"/>
      <c r="LU94" s="272"/>
      <c r="LV94" s="272"/>
      <c r="LW94" s="272"/>
      <c r="LX94" s="272"/>
      <c r="LY94" s="272"/>
      <c r="LZ94" s="272"/>
      <c r="MA94" s="272"/>
      <c r="MB94" s="272"/>
      <c r="MC94" s="272"/>
      <c r="MD94" s="272"/>
      <c r="ME94" s="272"/>
      <c r="MF94" s="272"/>
      <c r="MG94" s="272"/>
      <c r="MH94" s="272"/>
      <c r="MI94" s="272"/>
      <c r="MJ94" s="272"/>
      <c r="MK94" s="272"/>
      <c r="ML94" s="272"/>
      <c r="MM94" s="272"/>
      <c r="MN94" s="272"/>
      <c r="MO94" s="272"/>
      <c r="MP94" s="272"/>
      <c r="MQ94" s="272"/>
      <c r="MR94" s="272"/>
      <c r="MS94" s="272"/>
      <c r="MT94" s="272"/>
      <c r="MU94" s="272"/>
      <c r="MV94" s="272"/>
      <c r="MW94" s="272"/>
      <c r="MX94" s="272"/>
      <c r="MY94" s="272"/>
      <c r="MZ94" s="272"/>
      <c r="NA94" s="272"/>
      <c r="NB94" s="272"/>
      <c r="NC94" s="272"/>
      <c r="ND94" s="272"/>
      <c r="NE94" s="272"/>
      <c r="NF94" s="272"/>
      <c r="NG94" s="272"/>
      <c r="NH94" s="272"/>
      <c r="NI94" s="272"/>
      <c r="NJ94" s="272"/>
      <c r="NK94" s="272"/>
      <c r="NL94" s="272"/>
      <c r="NM94" s="272"/>
      <c r="NN94" s="272"/>
      <c r="NO94" s="272"/>
      <c r="NP94" s="272"/>
      <c r="NQ94" s="272"/>
      <c r="NR94" s="272"/>
      <c r="NS94" s="272"/>
      <c r="NT94" s="272"/>
      <c r="NU94" s="272"/>
      <c r="NV94" s="272"/>
      <c r="NW94" s="272"/>
      <c r="NX94" s="272"/>
      <c r="NY94" s="272"/>
      <c r="NZ94" s="272"/>
      <c r="OA94" s="272"/>
      <c r="OB94" s="272"/>
      <c r="OC94" s="272"/>
      <c r="OD94" s="272"/>
      <c r="OE94" s="272"/>
      <c r="OF94" s="272"/>
      <c r="OG94" s="272"/>
      <c r="OH94" s="272"/>
      <c r="OI94" s="272"/>
      <c r="OJ94" s="272"/>
      <c r="OK94" s="272"/>
      <c r="OL94" s="272"/>
      <c r="OM94" s="272"/>
      <c r="ON94" s="272"/>
      <c r="OO94" s="272"/>
      <c r="OP94" s="272"/>
      <c r="OQ94" s="272"/>
      <c r="OR94" s="272"/>
      <c r="OS94" s="272"/>
      <c r="OT94" s="272"/>
      <c r="OU94" s="272"/>
      <c r="OV94" s="272"/>
      <c r="OW94" s="272"/>
      <c r="OX94" s="272"/>
      <c r="OY94" s="272"/>
      <c r="OZ94" s="272"/>
      <c r="PA94" s="272"/>
      <c r="PB94" s="272"/>
      <c r="PC94" s="272"/>
      <c r="PD94" s="272"/>
      <c r="PE94" s="272"/>
      <c r="PF94" s="272"/>
      <c r="PG94" s="272"/>
      <c r="PH94" s="272"/>
      <c r="PI94" s="272"/>
      <c r="PJ94" s="272"/>
      <c r="PK94" s="272"/>
      <c r="PL94" s="272"/>
      <c r="PM94" s="272"/>
      <c r="PN94" s="272"/>
      <c r="PO94" s="272"/>
      <c r="PP94" s="272"/>
      <c r="PQ94" s="272"/>
      <c r="PR94" s="272"/>
      <c r="PS94" s="272"/>
      <c r="PT94" s="272"/>
      <c r="PU94" s="272"/>
      <c r="PV94" s="272"/>
      <c r="PW94" s="272"/>
      <c r="PX94" s="272"/>
      <c r="PY94" s="272"/>
      <c r="PZ94" s="272"/>
      <c r="QA94" s="272"/>
      <c r="QB94" s="272"/>
      <c r="QC94" s="272"/>
      <c r="QD94" s="272"/>
      <c r="QE94" s="272"/>
      <c r="QF94" s="272"/>
      <c r="QG94" s="272"/>
      <c r="QH94" s="272"/>
      <c r="QI94" s="272"/>
      <c r="QJ94" s="272"/>
      <c r="QK94" s="272"/>
      <c r="QL94" s="272"/>
      <c r="QM94" s="272"/>
      <c r="QN94" s="272"/>
      <c r="QO94" s="272"/>
      <c r="QP94" s="272"/>
      <c r="QQ94" s="272"/>
      <c r="QR94" s="272"/>
      <c r="QS94" s="272"/>
      <c r="QT94" s="272"/>
      <c r="QU94" s="272"/>
      <c r="QV94" s="272"/>
      <c r="QW94" s="272"/>
      <c r="QX94" s="272"/>
      <c r="QY94" s="272"/>
      <c r="QZ94" s="272"/>
      <c r="RA94" s="272"/>
      <c r="RB94" s="272"/>
      <c r="RC94" s="272"/>
      <c r="RD94" s="272"/>
      <c r="RE94" s="272"/>
      <c r="RF94" s="272"/>
      <c r="RG94" s="272"/>
      <c r="RH94" s="272"/>
      <c r="RI94" s="272"/>
      <c r="RJ94" s="272"/>
      <c r="RK94" s="272"/>
      <c r="RL94" s="272"/>
      <c r="RM94" s="272"/>
      <c r="RN94" s="272"/>
      <c r="RO94" s="272"/>
      <c r="RP94" s="272"/>
      <c r="RQ94" s="272"/>
      <c r="RR94" s="272"/>
      <c r="RS94" s="272"/>
      <c r="RT94" s="272"/>
      <c r="RU94" s="272"/>
      <c r="RV94" s="272"/>
      <c r="RW94" s="272"/>
      <c r="RX94" s="272"/>
      <c r="RY94" s="272"/>
      <c r="RZ94" s="272"/>
      <c r="SA94" s="272"/>
      <c r="SB94" s="272"/>
      <c r="SC94" s="272"/>
      <c r="SD94" s="272"/>
      <c r="SE94" s="272"/>
      <c r="SF94" s="272"/>
      <c r="SG94" s="272"/>
      <c r="SH94" s="272"/>
      <c r="SI94" s="272"/>
      <c r="SJ94" s="272"/>
      <c r="SK94" s="272"/>
      <c r="SL94" s="272"/>
      <c r="SM94" s="272"/>
      <c r="SN94" s="272"/>
      <c r="SO94" s="272"/>
      <c r="SP94" s="272"/>
      <c r="SQ94" s="272"/>
      <c r="SR94" s="272"/>
      <c r="SS94" s="272"/>
      <c r="ST94" s="272"/>
      <c r="SU94" s="272"/>
      <c r="SV94" s="272"/>
      <c r="SW94" s="272"/>
      <c r="SX94" s="272"/>
      <c r="SY94" s="272"/>
      <c r="SZ94" s="272"/>
      <c r="TA94" s="272"/>
      <c r="TB94" s="272"/>
      <c r="TC94" s="272"/>
      <c r="TD94" s="272"/>
      <c r="TE94" s="272"/>
      <c r="TF94" s="272"/>
      <c r="TG94" s="272"/>
      <c r="TH94" s="272"/>
      <c r="TI94" s="272"/>
      <c r="TJ94" s="272"/>
      <c r="TK94" s="272"/>
      <c r="TL94" s="272"/>
      <c r="TM94" s="272"/>
      <c r="TN94" s="272"/>
      <c r="TO94" s="272"/>
      <c r="TP94" s="272"/>
      <c r="TQ94" s="272"/>
      <c r="TR94" s="272"/>
      <c r="TS94" s="272"/>
      <c r="TT94" s="272"/>
      <c r="TU94" s="272"/>
      <c r="TV94" s="272"/>
      <c r="TW94" s="272"/>
      <c r="TX94" s="272"/>
      <c r="TY94" s="272"/>
      <c r="TZ94" s="272"/>
      <c r="UA94" s="272"/>
      <c r="UB94" s="272"/>
      <c r="UC94" s="272"/>
      <c r="UD94" s="272"/>
      <c r="UE94" s="272"/>
      <c r="UF94" s="272"/>
      <c r="UG94" s="272"/>
      <c r="UH94" s="272"/>
      <c r="UI94" s="272"/>
      <c r="UJ94" s="272"/>
      <c r="UK94" s="272"/>
      <c r="UL94" s="272"/>
      <c r="UM94" s="272"/>
      <c r="UN94" s="272"/>
      <c r="UO94" s="272"/>
      <c r="UP94" s="272"/>
      <c r="UQ94" s="272"/>
      <c r="UR94" s="272"/>
      <c r="US94" s="272"/>
      <c r="UT94" s="272"/>
      <c r="UU94" s="272"/>
      <c r="UV94" s="272"/>
      <c r="UW94" s="272"/>
      <c r="UX94" s="272"/>
      <c r="UY94" s="272"/>
      <c r="UZ94" s="272"/>
      <c r="VA94" s="272"/>
      <c r="VB94" s="272"/>
      <c r="VC94" s="272"/>
      <c r="VD94" s="272"/>
      <c r="VE94" s="272"/>
      <c r="VF94" s="272"/>
      <c r="VG94" s="272"/>
      <c r="VH94" s="272"/>
      <c r="VI94" s="272"/>
      <c r="VJ94" s="272"/>
      <c r="VK94" s="272"/>
      <c r="VL94" s="272"/>
      <c r="VM94" s="272"/>
      <c r="VN94" s="272"/>
      <c r="VO94" s="272"/>
      <c r="VP94" s="272"/>
      <c r="VQ94" s="272"/>
      <c r="VR94" s="272"/>
      <c r="VS94" s="272"/>
      <c r="VT94" s="272"/>
      <c r="VU94" s="272"/>
      <c r="VV94" s="272"/>
      <c r="VW94" s="272"/>
      <c r="VX94" s="272"/>
      <c r="VY94" s="272"/>
      <c r="VZ94" s="272"/>
      <c r="WA94" s="272"/>
      <c r="WB94" s="272"/>
      <c r="WC94" s="272"/>
      <c r="WD94" s="272"/>
      <c r="WE94" s="272"/>
      <c r="WF94" s="272"/>
      <c r="WG94" s="272"/>
      <c r="WH94" s="272"/>
      <c r="WI94" s="272"/>
      <c r="WJ94" s="272"/>
      <c r="WK94" s="272"/>
      <c r="WL94" s="272"/>
      <c r="WM94" s="272"/>
      <c r="WN94" s="272"/>
      <c r="WO94" s="272"/>
      <c r="WP94" s="272"/>
      <c r="WQ94" s="272"/>
      <c r="WR94" s="272"/>
      <c r="WS94" s="272"/>
      <c r="WT94" s="272"/>
      <c r="WU94" s="272"/>
      <c r="WV94" s="272"/>
      <c r="WW94" s="272"/>
      <c r="WX94" s="272"/>
      <c r="WY94" s="272"/>
      <c r="WZ94" s="272"/>
      <c r="XA94" s="272"/>
      <c r="XB94" s="272"/>
      <c r="XC94" s="272"/>
      <c r="XD94" s="272"/>
      <c r="XE94" s="272"/>
      <c r="XF94" s="272"/>
      <c r="XG94" s="272"/>
      <c r="XH94" s="272"/>
      <c r="XI94" s="272"/>
      <c r="XJ94" s="272"/>
      <c r="XK94" s="272"/>
      <c r="XL94" s="272"/>
      <c r="XM94" s="272"/>
      <c r="XN94" s="272"/>
      <c r="XO94" s="272"/>
      <c r="XP94" s="272"/>
      <c r="XQ94" s="272"/>
      <c r="XR94" s="272"/>
      <c r="XS94" s="272"/>
      <c r="XT94" s="272"/>
      <c r="XU94" s="272"/>
      <c r="XV94" s="272"/>
      <c r="XW94" s="272"/>
      <c r="XX94" s="272"/>
      <c r="XY94" s="272"/>
      <c r="XZ94" s="272"/>
      <c r="YA94" s="272"/>
      <c r="YB94" s="272"/>
      <c r="YC94" s="272"/>
      <c r="YD94" s="272"/>
      <c r="YE94" s="272"/>
      <c r="YF94" s="272"/>
      <c r="YG94" s="272"/>
      <c r="YH94" s="272"/>
      <c r="YI94" s="272"/>
      <c r="YJ94" s="272"/>
      <c r="YK94" s="272"/>
      <c r="YL94" s="272"/>
      <c r="YM94" s="272"/>
      <c r="YN94" s="272"/>
      <c r="YO94" s="272"/>
      <c r="YP94" s="272"/>
      <c r="YQ94" s="272"/>
      <c r="YR94" s="272"/>
      <c r="YS94" s="272"/>
      <c r="YT94" s="272"/>
      <c r="YU94" s="272"/>
      <c r="YV94" s="272"/>
      <c r="YW94" s="272"/>
      <c r="YX94" s="272"/>
      <c r="YY94" s="272"/>
      <c r="YZ94" s="272"/>
      <c r="ZA94" s="272"/>
      <c r="ZB94" s="272"/>
      <c r="ZC94" s="272"/>
      <c r="ZD94" s="272"/>
      <c r="ZE94" s="272"/>
      <c r="ZF94" s="272"/>
      <c r="ZG94" s="272"/>
      <c r="ZH94" s="272"/>
      <c r="ZI94" s="272"/>
      <c r="ZJ94" s="272"/>
      <c r="ZK94" s="272"/>
      <c r="ZL94" s="272"/>
      <c r="ZM94" s="272"/>
      <c r="ZN94" s="272"/>
      <c r="ZO94" s="272"/>
      <c r="ZP94" s="272"/>
      <c r="ZQ94" s="272"/>
      <c r="ZR94" s="272"/>
      <c r="ZS94" s="272"/>
      <c r="ZT94" s="272"/>
    </row>
    <row r="95" spans="1:696" s="61" customFormat="1" ht="38.25">
      <c r="A95" s="69" t="s">
        <v>16</v>
      </c>
      <c r="B95" s="70" t="s">
        <v>68</v>
      </c>
      <c r="C95" s="614" t="s">
        <v>52</v>
      </c>
      <c r="D95" s="605"/>
      <c r="E95" s="640"/>
      <c r="F95" s="618"/>
      <c r="G95" s="628"/>
      <c r="H95" s="628"/>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2"/>
      <c r="BW95" s="272"/>
      <c r="BX95" s="272"/>
      <c r="BY95" s="272"/>
      <c r="BZ95" s="272"/>
      <c r="CA95" s="272"/>
      <c r="CB95" s="272"/>
      <c r="CC95" s="272"/>
      <c r="CD95" s="272"/>
      <c r="CE95" s="272"/>
      <c r="CF95" s="272"/>
      <c r="CG95" s="272"/>
      <c r="CH95" s="272"/>
      <c r="CI95" s="272"/>
      <c r="CJ95" s="272"/>
      <c r="CK95" s="272"/>
      <c r="CL95" s="272"/>
      <c r="CM95" s="272"/>
      <c r="CN95" s="272"/>
      <c r="CO95" s="272"/>
      <c r="CP95" s="272"/>
      <c r="CQ95" s="272"/>
      <c r="CR95" s="272"/>
      <c r="CS95" s="272"/>
      <c r="CT95" s="272"/>
      <c r="CU95" s="272"/>
      <c r="CV95" s="272"/>
      <c r="CW95" s="272"/>
      <c r="CX95" s="272"/>
      <c r="CY95" s="272"/>
      <c r="CZ95" s="272"/>
      <c r="DA95" s="272"/>
      <c r="DB95" s="272"/>
      <c r="DC95" s="272"/>
      <c r="DD95" s="272"/>
      <c r="DE95" s="272"/>
      <c r="DF95" s="272"/>
      <c r="DG95" s="272"/>
      <c r="DH95" s="272"/>
      <c r="DI95" s="272"/>
      <c r="DJ95" s="272"/>
      <c r="DK95" s="272"/>
      <c r="DL95" s="272"/>
      <c r="DM95" s="272"/>
      <c r="DN95" s="272"/>
      <c r="DO95" s="272"/>
      <c r="DP95" s="272"/>
      <c r="DQ95" s="272"/>
      <c r="DR95" s="272"/>
      <c r="DS95" s="272"/>
      <c r="DT95" s="272"/>
      <c r="DU95" s="272"/>
      <c r="DV95" s="272"/>
      <c r="DW95" s="272"/>
      <c r="DX95" s="272"/>
      <c r="DY95" s="272"/>
      <c r="DZ95" s="272"/>
      <c r="EA95" s="272"/>
      <c r="EB95" s="272"/>
      <c r="EC95" s="272"/>
      <c r="ED95" s="272"/>
      <c r="EE95" s="272"/>
      <c r="EF95" s="272"/>
      <c r="EG95" s="272"/>
      <c r="EH95" s="272"/>
      <c r="EI95" s="272"/>
      <c r="EJ95" s="272"/>
      <c r="EK95" s="272"/>
      <c r="EL95" s="272"/>
      <c r="EM95" s="272"/>
      <c r="EN95" s="272"/>
      <c r="EO95" s="272"/>
      <c r="EP95" s="272"/>
      <c r="EQ95" s="272"/>
      <c r="ER95" s="272"/>
      <c r="ES95" s="272"/>
      <c r="ET95" s="272"/>
      <c r="EU95" s="272"/>
      <c r="EV95" s="272"/>
      <c r="EW95" s="272"/>
      <c r="EX95" s="272"/>
      <c r="EY95" s="272"/>
      <c r="EZ95" s="272"/>
      <c r="FA95" s="272"/>
      <c r="FB95" s="272"/>
      <c r="FC95" s="272"/>
      <c r="FD95" s="272"/>
      <c r="FE95" s="272"/>
      <c r="FF95" s="272"/>
      <c r="FG95" s="272"/>
      <c r="FH95" s="272"/>
      <c r="FI95" s="272"/>
      <c r="FJ95" s="272"/>
      <c r="FK95" s="272"/>
      <c r="FL95" s="272"/>
      <c r="FM95" s="272"/>
      <c r="FN95" s="272"/>
      <c r="FO95" s="272"/>
      <c r="FP95" s="272"/>
      <c r="FQ95" s="272"/>
      <c r="FR95" s="272"/>
      <c r="FS95" s="272"/>
      <c r="FT95" s="272"/>
      <c r="FU95" s="272"/>
      <c r="FV95" s="272"/>
      <c r="FW95" s="272"/>
      <c r="FX95" s="272"/>
      <c r="FY95" s="272"/>
      <c r="FZ95" s="272"/>
      <c r="GA95" s="272"/>
      <c r="GB95" s="272"/>
      <c r="GC95" s="272"/>
      <c r="GD95" s="272"/>
      <c r="GE95" s="272"/>
      <c r="GF95" s="272"/>
      <c r="GG95" s="272"/>
      <c r="GH95" s="272"/>
      <c r="GI95" s="272"/>
      <c r="GJ95" s="272"/>
      <c r="GK95" s="272"/>
      <c r="GL95" s="272"/>
      <c r="GM95" s="272"/>
      <c r="GN95" s="272"/>
      <c r="GO95" s="272"/>
      <c r="GP95" s="272"/>
      <c r="GQ95" s="272"/>
      <c r="GR95" s="272"/>
      <c r="GS95" s="272"/>
      <c r="GT95" s="272"/>
      <c r="GU95" s="272"/>
      <c r="GV95" s="272"/>
      <c r="GW95" s="272"/>
      <c r="GX95" s="272"/>
      <c r="GY95" s="272"/>
      <c r="GZ95" s="272"/>
      <c r="HA95" s="272"/>
      <c r="HB95" s="272"/>
      <c r="HC95" s="272"/>
      <c r="HD95" s="272"/>
      <c r="HE95" s="272"/>
      <c r="HF95" s="272"/>
      <c r="HG95" s="272"/>
      <c r="HH95" s="272"/>
      <c r="HI95" s="272"/>
      <c r="HJ95" s="272"/>
      <c r="HK95" s="272"/>
      <c r="HL95" s="272"/>
      <c r="HM95" s="272"/>
      <c r="HN95" s="272"/>
      <c r="HO95" s="272"/>
      <c r="HP95" s="272"/>
      <c r="HQ95" s="272"/>
      <c r="HR95" s="272"/>
      <c r="HS95" s="272"/>
      <c r="HT95" s="272"/>
      <c r="HU95" s="272"/>
      <c r="HV95" s="272"/>
      <c r="HW95" s="272"/>
      <c r="HX95" s="272"/>
      <c r="HY95" s="272"/>
      <c r="HZ95" s="272"/>
      <c r="IA95" s="272"/>
      <c r="IB95" s="272"/>
      <c r="IC95" s="272"/>
      <c r="ID95" s="272"/>
      <c r="IE95" s="272"/>
      <c r="IF95" s="272"/>
      <c r="IG95" s="272"/>
      <c r="IH95" s="272"/>
      <c r="II95" s="272"/>
      <c r="IJ95" s="272"/>
      <c r="IK95" s="272"/>
      <c r="IL95" s="272"/>
      <c r="IM95" s="272"/>
      <c r="IN95" s="272"/>
      <c r="IO95" s="272"/>
      <c r="IP95" s="272"/>
      <c r="IQ95" s="272"/>
      <c r="IR95" s="272"/>
      <c r="IS95" s="272"/>
      <c r="IT95" s="272"/>
      <c r="IU95" s="272"/>
      <c r="IV95" s="272"/>
      <c r="IW95" s="272"/>
      <c r="IX95" s="272"/>
      <c r="IY95" s="272"/>
      <c r="IZ95" s="272"/>
      <c r="JA95" s="272"/>
      <c r="JB95" s="272"/>
      <c r="JC95" s="272"/>
      <c r="JD95" s="272"/>
      <c r="JE95" s="272"/>
      <c r="JF95" s="272"/>
      <c r="JG95" s="272"/>
      <c r="JH95" s="272"/>
      <c r="JI95" s="272"/>
      <c r="JJ95" s="272"/>
      <c r="JK95" s="272"/>
      <c r="JL95" s="272"/>
      <c r="JM95" s="272"/>
      <c r="JN95" s="272"/>
      <c r="JO95" s="272"/>
      <c r="JP95" s="272"/>
      <c r="JQ95" s="272"/>
      <c r="JR95" s="272"/>
      <c r="JS95" s="272"/>
      <c r="JT95" s="272"/>
      <c r="JU95" s="272"/>
      <c r="JV95" s="272"/>
      <c r="JW95" s="272"/>
      <c r="JX95" s="272"/>
      <c r="JY95" s="272"/>
      <c r="JZ95" s="272"/>
      <c r="KA95" s="272"/>
      <c r="KB95" s="272"/>
      <c r="KC95" s="272"/>
      <c r="KD95" s="272"/>
      <c r="KE95" s="272"/>
      <c r="KF95" s="272"/>
      <c r="KG95" s="272"/>
      <c r="KH95" s="272"/>
      <c r="KI95" s="272"/>
      <c r="KJ95" s="272"/>
      <c r="KK95" s="272"/>
      <c r="KL95" s="272"/>
      <c r="KM95" s="272"/>
      <c r="KN95" s="272"/>
      <c r="KO95" s="272"/>
      <c r="KP95" s="272"/>
      <c r="KQ95" s="272"/>
      <c r="KR95" s="272"/>
      <c r="KS95" s="272"/>
      <c r="KT95" s="272"/>
      <c r="KU95" s="272"/>
      <c r="KV95" s="272"/>
      <c r="KW95" s="272"/>
      <c r="KX95" s="272"/>
      <c r="KY95" s="272"/>
      <c r="KZ95" s="272"/>
      <c r="LA95" s="272"/>
      <c r="LB95" s="272"/>
      <c r="LC95" s="272"/>
      <c r="LD95" s="272"/>
      <c r="LE95" s="272"/>
      <c r="LF95" s="272"/>
      <c r="LG95" s="272"/>
      <c r="LH95" s="272"/>
      <c r="LI95" s="272"/>
      <c r="LJ95" s="272"/>
      <c r="LK95" s="272"/>
      <c r="LL95" s="272"/>
      <c r="LM95" s="272"/>
      <c r="LN95" s="272"/>
      <c r="LO95" s="272"/>
      <c r="LP95" s="272"/>
      <c r="LQ95" s="272"/>
      <c r="LR95" s="272"/>
      <c r="LS95" s="272"/>
      <c r="LT95" s="272"/>
      <c r="LU95" s="272"/>
      <c r="LV95" s="272"/>
      <c r="LW95" s="272"/>
      <c r="LX95" s="272"/>
      <c r="LY95" s="272"/>
      <c r="LZ95" s="272"/>
      <c r="MA95" s="272"/>
      <c r="MB95" s="272"/>
      <c r="MC95" s="272"/>
      <c r="MD95" s="272"/>
      <c r="ME95" s="272"/>
      <c r="MF95" s="272"/>
      <c r="MG95" s="272"/>
      <c r="MH95" s="272"/>
      <c r="MI95" s="272"/>
      <c r="MJ95" s="272"/>
      <c r="MK95" s="272"/>
      <c r="ML95" s="272"/>
      <c r="MM95" s="272"/>
      <c r="MN95" s="272"/>
      <c r="MO95" s="272"/>
      <c r="MP95" s="272"/>
      <c r="MQ95" s="272"/>
      <c r="MR95" s="272"/>
      <c r="MS95" s="272"/>
      <c r="MT95" s="272"/>
      <c r="MU95" s="272"/>
      <c r="MV95" s="272"/>
      <c r="MW95" s="272"/>
      <c r="MX95" s="272"/>
      <c r="MY95" s="272"/>
      <c r="MZ95" s="272"/>
      <c r="NA95" s="272"/>
      <c r="NB95" s="272"/>
      <c r="NC95" s="272"/>
      <c r="ND95" s="272"/>
      <c r="NE95" s="272"/>
      <c r="NF95" s="272"/>
      <c r="NG95" s="272"/>
      <c r="NH95" s="272"/>
      <c r="NI95" s="272"/>
      <c r="NJ95" s="272"/>
      <c r="NK95" s="272"/>
      <c r="NL95" s="272"/>
      <c r="NM95" s="272"/>
      <c r="NN95" s="272"/>
      <c r="NO95" s="272"/>
      <c r="NP95" s="272"/>
      <c r="NQ95" s="272"/>
      <c r="NR95" s="272"/>
      <c r="NS95" s="272"/>
      <c r="NT95" s="272"/>
      <c r="NU95" s="272"/>
      <c r="NV95" s="272"/>
      <c r="NW95" s="272"/>
      <c r="NX95" s="272"/>
      <c r="NY95" s="272"/>
      <c r="NZ95" s="272"/>
      <c r="OA95" s="272"/>
      <c r="OB95" s="272"/>
      <c r="OC95" s="272"/>
      <c r="OD95" s="272"/>
      <c r="OE95" s="272"/>
      <c r="OF95" s="272"/>
      <c r="OG95" s="272"/>
      <c r="OH95" s="272"/>
      <c r="OI95" s="272"/>
      <c r="OJ95" s="272"/>
      <c r="OK95" s="272"/>
      <c r="OL95" s="272"/>
      <c r="OM95" s="272"/>
      <c r="ON95" s="272"/>
      <c r="OO95" s="272"/>
      <c r="OP95" s="272"/>
      <c r="OQ95" s="272"/>
      <c r="OR95" s="272"/>
      <c r="OS95" s="272"/>
      <c r="OT95" s="272"/>
      <c r="OU95" s="272"/>
      <c r="OV95" s="272"/>
      <c r="OW95" s="272"/>
      <c r="OX95" s="272"/>
      <c r="OY95" s="272"/>
      <c r="OZ95" s="272"/>
      <c r="PA95" s="272"/>
      <c r="PB95" s="272"/>
      <c r="PC95" s="272"/>
      <c r="PD95" s="272"/>
      <c r="PE95" s="272"/>
      <c r="PF95" s="272"/>
      <c r="PG95" s="272"/>
      <c r="PH95" s="272"/>
      <c r="PI95" s="272"/>
      <c r="PJ95" s="272"/>
      <c r="PK95" s="272"/>
      <c r="PL95" s="272"/>
      <c r="PM95" s="272"/>
      <c r="PN95" s="272"/>
      <c r="PO95" s="272"/>
      <c r="PP95" s="272"/>
      <c r="PQ95" s="272"/>
      <c r="PR95" s="272"/>
      <c r="PS95" s="272"/>
      <c r="PT95" s="272"/>
      <c r="PU95" s="272"/>
      <c r="PV95" s="272"/>
      <c r="PW95" s="272"/>
      <c r="PX95" s="272"/>
      <c r="PY95" s="272"/>
      <c r="PZ95" s="272"/>
      <c r="QA95" s="272"/>
      <c r="QB95" s="272"/>
      <c r="QC95" s="272"/>
      <c r="QD95" s="272"/>
      <c r="QE95" s="272"/>
      <c r="QF95" s="272"/>
      <c r="QG95" s="272"/>
      <c r="QH95" s="272"/>
      <c r="QI95" s="272"/>
      <c r="QJ95" s="272"/>
      <c r="QK95" s="272"/>
      <c r="QL95" s="272"/>
      <c r="QM95" s="272"/>
      <c r="QN95" s="272"/>
      <c r="QO95" s="272"/>
      <c r="QP95" s="272"/>
      <c r="QQ95" s="272"/>
      <c r="QR95" s="272"/>
      <c r="QS95" s="272"/>
      <c r="QT95" s="272"/>
      <c r="QU95" s="272"/>
      <c r="QV95" s="272"/>
      <c r="QW95" s="272"/>
      <c r="QX95" s="272"/>
      <c r="QY95" s="272"/>
      <c r="QZ95" s="272"/>
      <c r="RA95" s="272"/>
      <c r="RB95" s="272"/>
      <c r="RC95" s="272"/>
      <c r="RD95" s="272"/>
      <c r="RE95" s="272"/>
      <c r="RF95" s="272"/>
      <c r="RG95" s="272"/>
      <c r="RH95" s="272"/>
      <c r="RI95" s="272"/>
      <c r="RJ95" s="272"/>
      <c r="RK95" s="272"/>
      <c r="RL95" s="272"/>
      <c r="RM95" s="272"/>
      <c r="RN95" s="272"/>
      <c r="RO95" s="272"/>
      <c r="RP95" s="272"/>
      <c r="RQ95" s="272"/>
      <c r="RR95" s="272"/>
      <c r="RS95" s="272"/>
      <c r="RT95" s="272"/>
      <c r="RU95" s="272"/>
      <c r="RV95" s="272"/>
      <c r="RW95" s="272"/>
      <c r="RX95" s="272"/>
      <c r="RY95" s="272"/>
      <c r="RZ95" s="272"/>
      <c r="SA95" s="272"/>
      <c r="SB95" s="272"/>
      <c r="SC95" s="272"/>
      <c r="SD95" s="272"/>
      <c r="SE95" s="272"/>
      <c r="SF95" s="272"/>
      <c r="SG95" s="272"/>
      <c r="SH95" s="272"/>
      <c r="SI95" s="272"/>
      <c r="SJ95" s="272"/>
      <c r="SK95" s="272"/>
      <c r="SL95" s="272"/>
      <c r="SM95" s="272"/>
      <c r="SN95" s="272"/>
      <c r="SO95" s="272"/>
      <c r="SP95" s="272"/>
      <c r="SQ95" s="272"/>
      <c r="SR95" s="272"/>
      <c r="SS95" s="272"/>
      <c r="ST95" s="272"/>
      <c r="SU95" s="272"/>
      <c r="SV95" s="272"/>
      <c r="SW95" s="272"/>
      <c r="SX95" s="272"/>
      <c r="SY95" s="272"/>
      <c r="SZ95" s="272"/>
      <c r="TA95" s="272"/>
      <c r="TB95" s="272"/>
      <c r="TC95" s="272"/>
      <c r="TD95" s="272"/>
      <c r="TE95" s="272"/>
      <c r="TF95" s="272"/>
      <c r="TG95" s="272"/>
      <c r="TH95" s="272"/>
      <c r="TI95" s="272"/>
      <c r="TJ95" s="272"/>
      <c r="TK95" s="272"/>
      <c r="TL95" s="272"/>
      <c r="TM95" s="272"/>
      <c r="TN95" s="272"/>
      <c r="TO95" s="272"/>
      <c r="TP95" s="272"/>
      <c r="TQ95" s="272"/>
      <c r="TR95" s="272"/>
      <c r="TS95" s="272"/>
      <c r="TT95" s="272"/>
      <c r="TU95" s="272"/>
      <c r="TV95" s="272"/>
      <c r="TW95" s="272"/>
      <c r="TX95" s="272"/>
      <c r="TY95" s="272"/>
      <c r="TZ95" s="272"/>
      <c r="UA95" s="272"/>
      <c r="UB95" s="272"/>
      <c r="UC95" s="272"/>
      <c r="UD95" s="272"/>
      <c r="UE95" s="272"/>
      <c r="UF95" s="272"/>
      <c r="UG95" s="272"/>
      <c r="UH95" s="272"/>
      <c r="UI95" s="272"/>
      <c r="UJ95" s="272"/>
      <c r="UK95" s="272"/>
      <c r="UL95" s="272"/>
      <c r="UM95" s="272"/>
      <c r="UN95" s="272"/>
      <c r="UO95" s="272"/>
      <c r="UP95" s="272"/>
      <c r="UQ95" s="272"/>
      <c r="UR95" s="272"/>
      <c r="US95" s="272"/>
      <c r="UT95" s="272"/>
      <c r="UU95" s="272"/>
      <c r="UV95" s="272"/>
      <c r="UW95" s="272"/>
      <c r="UX95" s="272"/>
      <c r="UY95" s="272"/>
      <c r="UZ95" s="272"/>
      <c r="VA95" s="272"/>
      <c r="VB95" s="272"/>
      <c r="VC95" s="272"/>
      <c r="VD95" s="272"/>
      <c r="VE95" s="272"/>
      <c r="VF95" s="272"/>
      <c r="VG95" s="272"/>
      <c r="VH95" s="272"/>
      <c r="VI95" s="272"/>
      <c r="VJ95" s="272"/>
      <c r="VK95" s="272"/>
      <c r="VL95" s="272"/>
      <c r="VM95" s="272"/>
      <c r="VN95" s="272"/>
      <c r="VO95" s="272"/>
      <c r="VP95" s="272"/>
      <c r="VQ95" s="272"/>
      <c r="VR95" s="272"/>
      <c r="VS95" s="272"/>
      <c r="VT95" s="272"/>
      <c r="VU95" s="272"/>
      <c r="VV95" s="272"/>
      <c r="VW95" s="272"/>
      <c r="VX95" s="272"/>
      <c r="VY95" s="272"/>
      <c r="VZ95" s="272"/>
      <c r="WA95" s="272"/>
      <c r="WB95" s="272"/>
      <c r="WC95" s="272"/>
      <c r="WD95" s="272"/>
      <c r="WE95" s="272"/>
      <c r="WF95" s="272"/>
      <c r="WG95" s="272"/>
      <c r="WH95" s="272"/>
      <c r="WI95" s="272"/>
      <c r="WJ95" s="272"/>
      <c r="WK95" s="272"/>
      <c r="WL95" s="272"/>
      <c r="WM95" s="272"/>
      <c r="WN95" s="272"/>
      <c r="WO95" s="272"/>
      <c r="WP95" s="272"/>
      <c r="WQ95" s="272"/>
      <c r="WR95" s="272"/>
      <c r="WS95" s="272"/>
      <c r="WT95" s="272"/>
      <c r="WU95" s="272"/>
      <c r="WV95" s="272"/>
      <c r="WW95" s="272"/>
      <c r="WX95" s="272"/>
      <c r="WY95" s="272"/>
      <c r="WZ95" s="272"/>
      <c r="XA95" s="272"/>
      <c r="XB95" s="272"/>
      <c r="XC95" s="272"/>
      <c r="XD95" s="272"/>
      <c r="XE95" s="272"/>
      <c r="XF95" s="272"/>
      <c r="XG95" s="272"/>
      <c r="XH95" s="272"/>
      <c r="XI95" s="272"/>
      <c r="XJ95" s="272"/>
      <c r="XK95" s="272"/>
      <c r="XL95" s="272"/>
      <c r="XM95" s="272"/>
      <c r="XN95" s="272"/>
      <c r="XO95" s="272"/>
      <c r="XP95" s="272"/>
      <c r="XQ95" s="272"/>
      <c r="XR95" s="272"/>
      <c r="XS95" s="272"/>
      <c r="XT95" s="272"/>
      <c r="XU95" s="272"/>
      <c r="XV95" s="272"/>
      <c r="XW95" s="272"/>
      <c r="XX95" s="272"/>
      <c r="XY95" s="272"/>
      <c r="XZ95" s="272"/>
      <c r="YA95" s="272"/>
      <c r="YB95" s="272"/>
      <c r="YC95" s="272"/>
      <c r="YD95" s="272"/>
      <c r="YE95" s="272"/>
      <c r="YF95" s="272"/>
      <c r="YG95" s="272"/>
      <c r="YH95" s="272"/>
      <c r="YI95" s="272"/>
      <c r="YJ95" s="272"/>
      <c r="YK95" s="272"/>
      <c r="YL95" s="272"/>
      <c r="YM95" s="272"/>
      <c r="YN95" s="272"/>
      <c r="YO95" s="272"/>
      <c r="YP95" s="272"/>
      <c r="YQ95" s="272"/>
      <c r="YR95" s="272"/>
      <c r="YS95" s="272"/>
      <c r="YT95" s="272"/>
      <c r="YU95" s="272"/>
      <c r="YV95" s="272"/>
      <c r="YW95" s="272"/>
      <c r="YX95" s="272"/>
      <c r="YY95" s="272"/>
      <c r="YZ95" s="272"/>
      <c r="ZA95" s="272"/>
      <c r="ZB95" s="272"/>
      <c r="ZC95" s="272"/>
      <c r="ZD95" s="272"/>
      <c r="ZE95" s="272"/>
      <c r="ZF95" s="272"/>
      <c r="ZG95" s="272"/>
      <c r="ZH95" s="272"/>
      <c r="ZI95" s="272"/>
      <c r="ZJ95" s="272"/>
      <c r="ZK95" s="272"/>
      <c r="ZL95" s="272"/>
      <c r="ZM95" s="272"/>
      <c r="ZN95" s="272"/>
      <c r="ZO95" s="272"/>
      <c r="ZP95" s="272"/>
      <c r="ZQ95" s="272"/>
      <c r="ZR95" s="272"/>
      <c r="ZS95" s="272"/>
      <c r="ZT95" s="272"/>
    </row>
    <row r="96" spans="1:696" s="86" customFormat="1" ht="12.75" customHeight="1">
      <c r="A96" s="39"/>
      <c r="B96" s="40"/>
      <c r="C96" s="597"/>
      <c r="D96" s="600"/>
      <c r="E96" s="619"/>
      <c r="F96" s="619"/>
      <c r="G96" s="626"/>
      <c r="H96" s="626"/>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72"/>
      <c r="BU96" s="272"/>
      <c r="BV96" s="272"/>
      <c r="BW96" s="272"/>
      <c r="BX96" s="272"/>
      <c r="BY96" s="272"/>
      <c r="BZ96" s="272"/>
      <c r="CA96" s="272"/>
      <c r="CB96" s="272"/>
      <c r="CC96" s="272"/>
      <c r="CD96" s="272"/>
      <c r="CE96" s="272"/>
      <c r="CF96" s="272"/>
      <c r="CG96" s="272"/>
      <c r="CH96" s="272"/>
      <c r="CI96" s="272"/>
      <c r="CJ96" s="272"/>
      <c r="CK96" s="272"/>
      <c r="CL96" s="272"/>
      <c r="CM96" s="272"/>
      <c r="CN96" s="272"/>
      <c r="CO96" s="272"/>
      <c r="CP96" s="272"/>
      <c r="CQ96" s="272"/>
      <c r="CR96" s="272"/>
      <c r="CS96" s="272"/>
      <c r="CT96" s="272"/>
      <c r="CU96" s="272"/>
      <c r="CV96" s="272"/>
      <c r="CW96" s="272"/>
      <c r="CX96" s="272"/>
      <c r="CY96" s="272"/>
      <c r="CZ96" s="272"/>
      <c r="DA96" s="272"/>
      <c r="DB96" s="272"/>
      <c r="DC96" s="272"/>
      <c r="DD96" s="272"/>
      <c r="DE96" s="272"/>
      <c r="DF96" s="272"/>
      <c r="DG96" s="272"/>
      <c r="DH96" s="272"/>
      <c r="DI96" s="272"/>
      <c r="DJ96" s="272"/>
      <c r="DK96" s="272"/>
      <c r="DL96" s="272"/>
      <c r="DM96" s="272"/>
      <c r="DN96" s="272"/>
      <c r="DO96" s="272"/>
      <c r="DP96" s="272"/>
      <c r="DQ96" s="272"/>
      <c r="DR96" s="272"/>
      <c r="DS96" s="272"/>
      <c r="DT96" s="272"/>
      <c r="DU96" s="272"/>
      <c r="DV96" s="272"/>
      <c r="DW96" s="272"/>
      <c r="DX96" s="272"/>
      <c r="DY96" s="272"/>
      <c r="DZ96" s="272"/>
      <c r="EA96" s="272"/>
      <c r="EB96" s="272"/>
      <c r="EC96" s="272"/>
      <c r="ED96" s="272"/>
      <c r="EE96" s="272"/>
      <c r="EF96" s="272"/>
      <c r="EG96" s="272"/>
      <c r="EH96" s="272"/>
      <c r="EI96" s="272"/>
      <c r="EJ96" s="272"/>
      <c r="EK96" s="272"/>
      <c r="EL96" s="272"/>
      <c r="EM96" s="272"/>
      <c r="EN96" s="272"/>
      <c r="EO96" s="272"/>
      <c r="EP96" s="272"/>
      <c r="EQ96" s="272"/>
      <c r="ER96" s="272"/>
      <c r="ES96" s="272"/>
      <c r="ET96" s="272"/>
      <c r="EU96" s="272"/>
      <c r="EV96" s="272"/>
      <c r="EW96" s="272"/>
      <c r="EX96" s="272"/>
      <c r="EY96" s="272"/>
      <c r="EZ96" s="272"/>
      <c r="FA96" s="272"/>
      <c r="FB96" s="272"/>
      <c r="FC96" s="272"/>
      <c r="FD96" s="272"/>
      <c r="FE96" s="272"/>
      <c r="FF96" s="272"/>
      <c r="FG96" s="272"/>
      <c r="FH96" s="272"/>
      <c r="FI96" s="272"/>
      <c r="FJ96" s="272"/>
      <c r="FK96" s="272"/>
      <c r="FL96" s="272"/>
      <c r="FM96" s="272"/>
      <c r="FN96" s="272"/>
      <c r="FO96" s="272"/>
      <c r="FP96" s="272"/>
      <c r="FQ96" s="272"/>
      <c r="FR96" s="272"/>
      <c r="FS96" s="272"/>
      <c r="FT96" s="272"/>
      <c r="FU96" s="272"/>
      <c r="FV96" s="272"/>
      <c r="FW96" s="272"/>
      <c r="FX96" s="272"/>
      <c r="FY96" s="272"/>
      <c r="FZ96" s="272"/>
      <c r="GA96" s="272"/>
      <c r="GB96" s="272"/>
      <c r="GC96" s="272"/>
      <c r="GD96" s="272"/>
      <c r="GE96" s="272"/>
      <c r="GF96" s="272"/>
      <c r="GG96" s="272"/>
      <c r="GH96" s="272"/>
      <c r="GI96" s="272"/>
      <c r="GJ96" s="272"/>
      <c r="GK96" s="272"/>
      <c r="GL96" s="272"/>
      <c r="GM96" s="272"/>
      <c r="GN96" s="272"/>
      <c r="GO96" s="272"/>
      <c r="GP96" s="272"/>
      <c r="GQ96" s="272"/>
      <c r="GR96" s="272"/>
      <c r="GS96" s="272"/>
      <c r="GT96" s="272"/>
      <c r="GU96" s="272"/>
      <c r="GV96" s="272"/>
      <c r="GW96" s="272"/>
      <c r="GX96" s="272"/>
      <c r="GY96" s="272"/>
      <c r="GZ96" s="272"/>
      <c r="HA96" s="272"/>
      <c r="HB96" s="272"/>
      <c r="HC96" s="272"/>
      <c r="HD96" s="272"/>
      <c r="HE96" s="272"/>
      <c r="HF96" s="272"/>
      <c r="HG96" s="272"/>
      <c r="HH96" s="272"/>
      <c r="HI96" s="272"/>
      <c r="HJ96" s="272"/>
      <c r="HK96" s="272"/>
      <c r="HL96" s="272"/>
      <c r="HM96" s="272"/>
      <c r="HN96" s="272"/>
      <c r="HO96" s="272"/>
      <c r="HP96" s="272"/>
      <c r="HQ96" s="272"/>
      <c r="HR96" s="272"/>
      <c r="HS96" s="272"/>
      <c r="HT96" s="272"/>
      <c r="HU96" s="272"/>
      <c r="HV96" s="272"/>
      <c r="HW96" s="272"/>
      <c r="HX96" s="272"/>
      <c r="HY96" s="272"/>
      <c r="HZ96" s="272"/>
      <c r="IA96" s="272"/>
      <c r="IB96" s="272"/>
      <c r="IC96" s="272"/>
      <c r="ID96" s="272"/>
      <c r="IE96" s="272"/>
      <c r="IF96" s="272"/>
      <c r="IG96" s="272"/>
      <c r="IH96" s="272"/>
      <c r="II96" s="272"/>
      <c r="IJ96" s="272"/>
      <c r="IK96" s="272"/>
      <c r="IL96" s="272"/>
      <c r="IM96" s="272"/>
      <c r="IN96" s="272"/>
      <c r="IO96" s="272"/>
      <c r="IP96" s="272"/>
      <c r="IQ96" s="272"/>
      <c r="IR96" s="272"/>
      <c r="IS96" s="272"/>
      <c r="IT96" s="272"/>
      <c r="IU96" s="272"/>
      <c r="IV96" s="272"/>
      <c r="IW96" s="272"/>
      <c r="IX96" s="272"/>
      <c r="IY96" s="272"/>
      <c r="IZ96" s="272"/>
      <c r="JA96" s="272"/>
      <c r="JB96" s="272"/>
      <c r="JC96" s="272"/>
      <c r="JD96" s="272"/>
      <c r="JE96" s="272"/>
      <c r="JF96" s="272"/>
      <c r="JG96" s="272"/>
      <c r="JH96" s="272"/>
      <c r="JI96" s="272"/>
      <c r="JJ96" s="272"/>
      <c r="JK96" s="272"/>
      <c r="JL96" s="272"/>
      <c r="JM96" s="272"/>
      <c r="JN96" s="272"/>
      <c r="JO96" s="272"/>
      <c r="JP96" s="272"/>
      <c r="JQ96" s="272"/>
      <c r="JR96" s="272"/>
      <c r="JS96" s="272"/>
      <c r="JT96" s="272"/>
      <c r="JU96" s="272"/>
      <c r="JV96" s="272"/>
      <c r="JW96" s="272"/>
      <c r="JX96" s="272"/>
      <c r="JY96" s="272"/>
      <c r="JZ96" s="272"/>
      <c r="KA96" s="272"/>
      <c r="KB96" s="272"/>
      <c r="KC96" s="272"/>
      <c r="KD96" s="272"/>
      <c r="KE96" s="272"/>
      <c r="KF96" s="272"/>
      <c r="KG96" s="272"/>
      <c r="KH96" s="272"/>
      <c r="KI96" s="272"/>
      <c r="KJ96" s="272"/>
      <c r="KK96" s="272"/>
      <c r="KL96" s="272"/>
      <c r="KM96" s="272"/>
      <c r="KN96" s="272"/>
      <c r="KO96" s="272"/>
      <c r="KP96" s="272"/>
      <c r="KQ96" s="272"/>
      <c r="KR96" s="272"/>
      <c r="KS96" s="272"/>
      <c r="KT96" s="272"/>
      <c r="KU96" s="272"/>
      <c r="KV96" s="272"/>
      <c r="KW96" s="272"/>
      <c r="KX96" s="272"/>
      <c r="KY96" s="272"/>
      <c r="KZ96" s="272"/>
      <c r="LA96" s="272"/>
      <c r="LB96" s="272"/>
      <c r="LC96" s="272"/>
      <c r="LD96" s="272"/>
      <c r="LE96" s="272"/>
      <c r="LF96" s="272"/>
      <c r="LG96" s="272"/>
      <c r="LH96" s="272"/>
      <c r="LI96" s="272"/>
      <c r="LJ96" s="272"/>
      <c r="LK96" s="272"/>
      <c r="LL96" s="272"/>
      <c r="LM96" s="272"/>
      <c r="LN96" s="272"/>
      <c r="LO96" s="272"/>
      <c r="LP96" s="272"/>
      <c r="LQ96" s="272"/>
      <c r="LR96" s="272"/>
      <c r="LS96" s="272"/>
      <c r="LT96" s="272"/>
      <c r="LU96" s="272"/>
      <c r="LV96" s="272"/>
      <c r="LW96" s="272"/>
      <c r="LX96" s="272"/>
      <c r="LY96" s="272"/>
      <c r="LZ96" s="272"/>
      <c r="MA96" s="272"/>
      <c r="MB96" s="272"/>
      <c r="MC96" s="272"/>
      <c r="MD96" s="272"/>
      <c r="ME96" s="272"/>
      <c r="MF96" s="272"/>
      <c r="MG96" s="272"/>
      <c r="MH96" s="272"/>
      <c r="MI96" s="272"/>
      <c r="MJ96" s="272"/>
      <c r="MK96" s="272"/>
      <c r="ML96" s="272"/>
      <c r="MM96" s="272"/>
      <c r="MN96" s="272"/>
      <c r="MO96" s="272"/>
      <c r="MP96" s="272"/>
      <c r="MQ96" s="272"/>
      <c r="MR96" s="272"/>
      <c r="MS96" s="272"/>
      <c r="MT96" s="272"/>
      <c r="MU96" s="272"/>
      <c r="MV96" s="272"/>
      <c r="MW96" s="272"/>
      <c r="MX96" s="272"/>
      <c r="MY96" s="272"/>
      <c r="MZ96" s="272"/>
      <c r="NA96" s="272"/>
      <c r="NB96" s="272"/>
      <c r="NC96" s="272"/>
      <c r="ND96" s="272"/>
      <c r="NE96" s="272"/>
      <c r="NF96" s="272"/>
      <c r="NG96" s="272"/>
      <c r="NH96" s="272"/>
      <c r="NI96" s="272"/>
      <c r="NJ96" s="272"/>
      <c r="NK96" s="272"/>
      <c r="NL96" s="272"/>
      <c r="NM96" s="272"/>
      <c r="NN96" s="272"/>
      <c r="NO96" s="272"/>
      <c r="NP96" s="272"/>
      <c r="NQ96" s="272"/>
      <c r="NR96" s="272"/>
      <c r="NS96" s="272"/>
      <c r="NT96" s="272"/>
      <c r="NU96" s="272"/>
      <c r="NV96" s="272"/>
      <c r="NW96" s="272"/>
      <c r="NX96" s="272"/>
      <c r="NY96" s="272"/>
      <c r="NZ96" s="272"/>
      <c r="OA96" s="272"/>
      <c r="OB96" s="272"/>
      <c r="OC96" s="272"/>
      <c r="OD96" s="272"/>
      <c r="OE96" s="272"/>
      <c r="OF96" s="272"/>
      <c r="OG96" s="272"/>
      <c r="OH96" s="272"/>
      <c r="OI96" s="272"/>
      <c r="OJ96" s="272"/>
      <c r="OK96" s="272"/>
      <c r="OL96" s="272"/>
      <c r="OM96" s="272"/>
      <c r="ON96" s="272"/>
      <c r="OO96" s="272"/>
      <c r="OP96" s="272"/>
      <c r="OQ96" s="272"/>
      <c r="OR96" s="272"/>
      <c r="OS96" s="272"/>
      <c r="OT96" s="272"/>
      <c r="OU96" s="272"/>
      <c r="OV96" s="272"/>
      <c r="OW96" s="272"/>
      <c r="OX96" s="272"/>
      <c r="OY96" s="272"/>
      <c r="OZ96" s="272"/>
      <c r="PA96" s="272"/>
      <c r="PB96" s="272"/>
      <c r="PC96" s="272"/>
      <c r="PD96" s="272"/>
      <c r="PE96" s="272"/>
      <c r="PF96" s="272"/>
      <c r="PG96" s="272"/>
      <c r="PH96" s="272"/>
      <c r="PI96" s="272"/>
      <c r="PJ96" s="272"/>
      <c r="PK96" s="272"/>
      <c r="PL96" s="272"/>
      <c r="PM96" s="272"/>
      <c r="PN96" s="272"/>
      <c r="PO96" s="272"/>
      <c r="PP96" s="272"/>
      <c r="PQ96" s="272"/>
      <c r="PR96" s="272"/>
      <c r="PS96" s="272"/>
      <c r="PT96" s="272"/>
      <c r="PU96" s="272"/>
      <c r="PV96" s="272"/>
      <c r="PW96" s="272"/>
      <c r="PX96" s="272"/>
      <c r="PY96" s="272"/>
      <c r="PZ96" s="272"/>
      <c r="QA96" s="272"/>
      <c r="QB96" s="272"/>
      <c r="QC96" s="272"/>
      <c r="QD96" s="272"/>
      <c r="QE96" s="272"/>
      <c r="QF96" s="272"/>
      <c r="QG96" s="272"/>
      <c r="QH96" s="272"/>
      <c r="QI96" s="272"/>
      <c r="QJ96" s="272"/>
      <c r="QK96" s="272"/>
      <c r="QL96" s="272"/>
      <c r="QM96" s="272"/>
      <c r="QN96" s="272"/>
      <c r="QO96" s="272"/>
      <c r="QP96" s="272"/>
      <c r="QQ96" s="272"/>
      <c r="QR96" s="272"/>
      <c r="QS96" s="272"/>
      <c r="QT96" s="272"/>
      <c r="QU96" s="272"/>
      <c r="QV96" s="272"/>
      <c r="QW96" s="272"/>
      <c r="QX96" s="272"/>
      <c r="QY96" s="272"/>
      <c r="QZ96" s="272"/>
      <c r="RA96" s="272"/>
      <c r="RB96" s="272"/>
      <c r="RC96" s="272"/>
      <c r="RD96" s="272"/>
      <c r="RE96" s="272"/>
      <c r="RF96" s="272"/>
      <c r="RG96" s="272"/>
      <c r="RH96" s="272"/>
      <c r="RI96" s="272"/>
      <c r="RJ96" s="272"/>
      <c r="RK96" s="272"/>
      <c r="RL96" s="272"/>
      <c r="RM96" s="272"/>
      <c r="RN96" s="272"/>
      <c r="RO96" s="272"/>
      <c r="RP96" s="272"/>
      <c r="RQ96" s="272"/>
      <c r="RR96" s="272"/>
      <c r="RS96" s="272"/>
      <c r="RT96" s="272"/>
      <c r="RU96" s="272"/>
      <c r="RV96" s="272"/>
      <c r="RW96" s="272"/>
      <c r="RX96" s="272"/>
      <c r="RY96" s="272"/>
      <c r="RZ96" s="272"/>
      <c r="SA96" s="272"/>
      <c r="SB96" s="272"/>
      <c r="SC96" s="272"/>
      <c r="SD96" s="272"/>
      <c r="SE96" s="272"/>
      <c r="SF96" s="272"/>
      <c r="SG96" s="272"/>
      <c r="SH96" s="272"/>
      <c r="SI96" s="272"/>
      <c r="SJ96" s="272"/>
      <c r="SK96" s="272"/>
      <c r="SL96" s="272"/>
      <c r="SM96" s="272"/>
      <c r="SN96" s="272"/>
      <c r="SO96" s="272"/>
      <c r="SP96" s="272"/>
      <c r="SQ96" s="272"/>
      <c r="SR96" s="272"/>
      <c r="SS96" s="272"/>
      <c r="ST96" s="272"/>
      <c r="SU96" s="272"/>
      <c r="SV96" s="272"/>
      <c r="SW96" s="272"/>
      <c r="SX96" s="272"/>
      <c r="SY96" s="272"/>
      <c r="SZ96" s="272"/>
      <c r="TA96" s="272"/>
      <c r="TB96" s="272"/>
      <c r="TC96" s="272"/>
      <c r="TD96" s="272"/>
      <c r="TE96" s="272"/>
      <c r="TF96" s="272"/>
      <c r="TG96" s="272"/>
      <c r="TH96" s="272"/>
      <c r="TI96" s="272"/>
      <c r="TJ96" s="272"/>
      <c r="TK96" s="272"/>
      <c r="TL96" s="272"/>
      <c r="TM96" s="272"/>
      <c r="TN96" s="272"/>
      <c r="TO96" s="272"/>
      <c r="TP96" s="272"/>
      <c r="TQ96" s="272"/>
      <c r="TR96" s="272"/>
      <c r="TS96" s="272"/>
      <c r="TT96" s="272"/>
      <c r="TU96" s="272"/>
      <c r="TV96" s="272"/>
      <c r="TW96" s="272"/>
      <c r="TX96" s="272"/>
      <c r="TY96" s="272"/>
      <c r="TZ96" s="272"/>
      <c r="UA96" s="272"/>
      <c r="UB96" s="272"/>
      <c r="UC96" s="272"/>
      <c r="UD96" s="272"/>
      <c r="UE96" s="272"/>
      <c r="UF96" s="272"/>
      <c r="UG96" s="272"/>
      <c r="UH96" s="272"/>
      <c r="UI96" s="272"/>
      <c r="UJ96" s="272"/>
      <c r="UK96" s="272"/>
      <c r="UL96" s="272"/>
      <c r="UM96" s="272"/>
      <c r="UN96" s="272"/>
      <c r="UO96" s="272"/>
      <c r="UP96" s="272"/>
      <c r="UQ96" s="272"/>
      <c r="UR96" s="272"/>
      <c r="US96" s="272"/>
      <c r="UT96" s="272"/>
      <c r="UU96" s="272"/>
      <c r="UV96" s="272"/>
      <c r="UW96" s="272"/>
      <c r="UX96" s="272"/>
      <c r="UY96" s="272"/>
      <c r="UZ96" s="272"/>
      <c r="VA96" s="272"/>
      <c r="VB96" s="272"/>
      <c r="VC96" s="272"/>
      <c r="VD96" s="272"/>
      <c r="VE96" s="272"/>
      <c r="VF96" s="272"/>
      <c r="VG96" s="272"/>
      <c r="VH96" s="272"/>
      <c r="VI96" s="272"/>
      <c r="VJ96" s="272"/>
      <c r="VK96" s="272"/>
      <c r="VL96" s="272"/>
      <c r="VM96" s="272"/>
      <c r="VN96" s="272"/>
      <c r="VO96" s="272"/>
      <c r="VP96" s="272"/>
      <c r="VQ96" s="272"/>
      <c r="VR96" s="272"/>
      <c r="VS96" s="272"/>
      <c r="VT96" s="272"/>
      <c r="VU96" s="272"/>
      <c r="VV96" s="272"/>
      <c r="VW96" s="272"/>
      <c r="VX96" s="272"/>
      <c r="VY96" s="272"/>
      <c r="VZ96" s="272"/>
      <c r="WA96" s="272"/>
      <c r="WB96" s="272"/>
      <c r="WC96" s="272"/>
      <c r="WD96" s="272"/>
      <c r="WE96" s="272"/>
      <c r="WF96" s="272"/>
      <c r="WG96" s="272"/>
      <c r="WH96" s="272"/>
      <c r="WI96" s="272"/>
      <c r="WJ96" s="272"/>
      <c r="WK96" s="272"/>
      <c r="WL96" s="272"/>
      <c r="WM96" s="272"/>
      <c r="WN96" s="272"/>
      <c r="WO96" s="272"/>
      <c r="WP96" s="272"/>
      <c r="WQ96" s="272"/>
      <c r="WR96" s="272"/>
      <c r="WS96" s="272"/>
      <c r="WT96" s="272"/>
      <c r="WU96" s="272"/>
      <c r="WV96" s="272"/>
      <c r="WW96" s="272"/>
      <c r="WX96" s="272"/>
      <c r="WY96" s="272"/>
      <c r="WZ96" s="272"/>
      <c r="XA96" s="272"/>
      <c r="XB96" s="272"/>
      <c r="XC96" s="272"/>
      <c r="XD96" s="272"/>
      <c r="XE96" s="272"/>
      <c r="XF96" s="272"/>
      <c r="XG96" s="272"/>
      <c r="XH96" s="272"/>
      <c r="XI96" s="272"/>
      <c r="XJ96" s="272"/>
      <c r="XK96" s="272"/>
      <c r="XL96" s="272"/>
      <c r="XM96" s="272"/>
      <c r="XN96" s="272"/>
      <c r="XO96" s="272"/>
      <c r="XP96" s="272"/>
      <c r="XQ96" s="272"/>
      <c r="XR96" s="272"/>
      <c r="XS96" s="272"/>
      <c r="XT96" s="272"/>
      <c r="XU96" s="272"/>
      <c r="XV96" s="272"/>
      <c r="XW96" s="272"/>
      <c r="XX96" s="272"/>
      <c r="XY96" s="272"/>
      <c r="XZ96" s="272"/>
      <c r="YA96" s="272"/>
      <c r="YB96" s="272"/>
      <c r="YC96" s="272"/>
      <c r="YD96" s="272"/>
      <c r="YE96" s="272"/>
      <c r="YF96" s="272"/>
      <c r="YG96" s="272"/>
      <c r="YH96" s="272"/>
      <c r="YI96" s="272"/>
      <c r="YJ96" s="272"/>
      <c r="YK96" s="272"/>
      <c r="YL96" s="272"/>
      <c r="YM96" s="272"/>
      <c r="YN96" s="272"/>
      <c r="YO96" s="272"/>
      <c r="YP96" s="272"/>
      <c r="YQ96" s="272"/>
      <c r="YR96" s="272"/>
      <c r="YS96" s="272"/>
      <c r="YT96" s="272"/>
      <c r="YU96" s="272"/>
      <c r="YV96" s="272"/>
      <c r="YW96" s="272"/>
      <c r="YX96" s="272"/>
      <c r="YY96" s="272"/>
      <c r="YZ96" s="272"/>
      <c r="ZA96" s="272"/>
      <c r="ZB96" s="272"/>
      <c r="ZC96" s="272"/>
      <c r="ZD96" s="272"/>
      <c r="ZE96" s="272"/>
      <c r="ZF96" s="272"/>
      <c r="ZG96" s="272"/>
      <c r="ZH96" s="272"/>
      <c r="ZI96" s="272"/>
      <c r="ZJ96" s="272"/>
      <c r="ZK96" s="272"/>
      <c r="ZL96" s="272"/>
      <c r="ZM96" s="272"/>
      <c r="ZN96" s="272"/>
      <c r="ZO96" s="272"/>
      <c r="ZP96" s="272"/>
      <c r="ZQ96" s="272"/>
      <c r="ZR96" s="272"/>
      <c r="ZS96" s="272"/>
      <c r="ZT96" s="272"/>
    </row>
    <row r="97" spans="1:696" s="86" customFormat="1" ht="12.75" customHeight="1">
      <c r="A97" s="39"/>
      <c r="B97" s="40"/>
      <c r="C97" s="597"/>
      <c r="D97" s="600"/>
      <c r="E97" s="619"/>
      <c r="F97" s="619"/>
      <c r="G97" s="626"/>
      <c r="H97" s="626"/>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c r="BJ97" s="272"/>
      <c r="BK97" s="272"/>
      <c r="BL97" s="272"/>
      <c r="BM97" s="272"/>
      <c r="BN97" s="272"/>
      <c r="BO97" s="272"/>
      <c r="BP97" s="272"/>
      <c r="BQ97" s="272"/>
      <c r="BR97" s="272"/>
      <c r="BS97" s="272"/>
      <c r="BT97" s="272"/>
      <c r="BU97" s="272"/>
      <c r="BV97" s="272"/>
      <c r="BW97" s="272"/>
      <c r="BX97" s="272"/>
      <c r="BY97" s="272"/>
      <c r="BZ97" s="272"/>
      <c r="CA97" s="272"/>
      <c r="CB97" s="272"/>
      <c r="CC97" s="272"/>
      <c r="CD97" s="272"/>
      <c r="CE97" s="272"/>
      <c r="CF97" s="272"/>
      <c r="CG97" s="272"/>
      <c r="CH97" s="272"/>
      <c r="CI97" s="272"/>
      <c r="CJ97" s="272"/>
      <c r="CK97" s="272"/>
      <c r="CL97" s="272"/>
      <c r="CM97" s="272"/>
      <c r="CN97" s="272"/>
      <c r="CO97" s="272"/>
      <c r="CP97" s="272"/>
      <c r="CQ97" s="272"/>
      <c r="CR97" s="272"/>
      <c r="CS97" s="272"/>
      <c r="CT97" s="272"/>
      <c r="CU97" s="272"/>
      <c r="CV97" s="272"/>
      <c r="CW97" s="272"/>
      <c r="CX97" s="272"/>
      <c r="CY97" s="272"/>
      <c r="CZ97" s="272"/>
      <c r="DA97" s="272"/>
      <c r="DB97" s="272"/>
      <c r="DC97" s="272"/>
      <c r="DD97" s="272"/>
      <c r="DE97" s="272"/>
      <c r="DF97" s="272"/>
      <c r="DG97" s="272"/>
      <c r="DH97" s="272"/>
      <c r="DI97" s="272"/>
      <c r="DJ97" s="272"/>
      <c r="DK97" s="272"/>
      <c r="DL97" s="272"/>
      <c r="DM97" s="272"/>
      <c r="DN97" s="272"/>
      <c r="DO97" s="272"/>
      <c r="DP97" s="272"/>
      <c r="DQ97" s="272"/>
      <c r="DR97" s="272"/>
      <c r="DS97" s="272"/>
      <c r="DT97" s="272"/>
      <c r="DU97" s="272"/>
      <c r="DV97" s="272"/>
      <c r="DW97" s="272"/>
      <c r="DX97" s="272"/>
      <c r="DY97" s="272"/>
      <c r="DZ97" s="272"/>
      <c r="EA97" s="272"/>
      <c r="EB97" s="272"/>
      <c r="EC97" s="272"/>
      <c r="ED97" s="272"/>
      <c r="EE97" s="272"/>
      <c r="EF97" s="272"/>
      <c r="EG97" s="272"/>
      <c r="EH97" s="272"/>
      <c r="EI97" s="272"/>
      <c r="EJ97" s="272"/>
      <c r="EK97" s="272"/>
      <c r="EL97" s="272"/>
      <c r="EM97" s="272"/>
      <c r="EN97" s="272"/>
      <c r="EO97" s="272"/>
      <c r="EP97" s="272"/>
      <c r="EQ97" s="272"/>
      <c r="ER97" s="272"/>
      <c r="ES97" s="272"/>
      <c r="ET97" s="272"/>
      <c r="EU97" s="272"/>
      <c r="EV97" s="272"/>
      <c r="EW97" s="272"/>
      <c r="EX97" s="272"/>
      <c r="EY97" s="272"/>
      <c r="EZ97" s="272"/>
      <c r="FA97" s="272"/>
      <c r="FB97" s="272"/>
      <c r="FC97" s="272"/>
      <c r="FD97" s="272"/>
      <c r="FE97" s="272"/>
      <c r="FF97" s="272"/>
      <c r="FG97" s="272"/>
      <c r="FH97" s="272"/>
      <c r="FI97" s="272"/>
      <c r="FJ97" s="272"/>
      <c r="FK97" s="272"/>
      <c r="FL97" s="272"/>
      <c r="FM97" s="272"/>
      <c r="FN97" s="272"/>
      <c r="FO97" s="272"/>
      <c r="FP97" s="272"/>
      <c r="FQ97" s="272"/>
      <c r="FR97" s="272"/>
      <c r="FS97" s="272"/>
      <c r="FT97" s="272"/>
      <c r="FU97" s="272"/>
      <c r="FV97" s="272"/>
      <c r="FW97" s="272"/>
      <c r="FX97" s="272"/>
      <c r="FY97" s="272"/>
      <c r="FZ97" s="272"/>
      <c r="GA97" s="272"/>
      <c r="GB97" s="272"/>
      <c r="GC97" s="272"/>
      <c r="GD97" s="272"/>
      <c r="GE97" s="272"/>
      <c r="GF97" s="272"/>
      <c r="GG97" s="272"/>
      <c r="GH97" s="272"/>
      <c r="GI97" s="272"/>
      <c r="GJ97" s="272"/>
      <c r="GK97" s="272"/>
      <c r="GL97" s="272"/>
      <c r="GM97" s="272"/>
      <c r="GN97" s="272"/>
      <c r="GO97" s="272"/>
      <c r="GP97" s="272"/>
      <c r="GQ97" s="272"/>
      <c r="GR97" s="272"/>
      <c r="GS97" s="272"/>
      <c r="GT97" s="272"/>
      <c r="GU97" s="272"/>
      <c r="GV97" s="272"/>
      <c r="GW97" s="272"/>
      <c r="GX97" s="272"/>
      <c r="GY97" s="272"/>
      <c r="GZ97" s="272"/>
      <c r="HA97" s="272"/>
      <c r="HB97" s="272"/>
      <c r="HC97" s="272"/>
      <c r="HD97" s="272"/>
      <c r="HE97" s="272"/>
      <c r="HF97" s="272"/>
      <c r="HG97" s="272"/>
      <c r="HH97" s="272"/>
      <c r="HI97" s="272"/>
      <c r="HJ97" s="272"/>
      <c r="HK97" s="272"/>
      <c r="HL97" s="272"/>
      <c r="HM97" s="272"/>
      <c r="HN97" s="272"/>
      <c r="HO97" s="272"/>
      <c r="HP97" s="272"/>
      <c r="HQ97" s="272"/>
      <c r="HR97" s="272"/>
      <c r="HS97" s="272"/>
      <c r="HT97" s="272"/>
      <c r="HU97" s="272"/>
      <c r="HV97" s="272"/>
      <c r="HW97" s="272"/>
      <c r="HX97" s="272"/>
      <c r="HY97" s="272"/>
      <c r="HZ97" s="272"/>
      <c r="IA97" s="272"/>
      <c r="IB97" s="272"/>
      <c r="IC97" s="272"/>
      <c r="ID97" s="272"/>
      <c r="IE97" s="272"/>
      <c r="IF97" s="272"/>
      <c r="IG97" s="272"/>
      <c r="IH97" s="272"/>
      <c r="II97" s="272"/>
      <c r="IJ97" s="272"/>
      <c r="IK97" s="272"/>
      <c r="IL97" s="272"/>
      <c r="IM97" s="272"/>
      <c r="IN97" s="272"/>
      <c r="IO97" s="272"/>
      <c r="IP97" s="272"/>
      <c r="IQ97" s="272"/>
      <c r="IR97" s="272"/>
      <c r="IS97" s="272"/>
      <c r="IT97" s="272"/>
      <c r="IU97" s="272"/>
      <c r="IV97" s="272"/>
      <c r="IW97" s="272"/>
      <c r="IX97" s="272"/>
      <c r="IY97" s="272"/>
      <c r="IZ97" s="272"/>
      <c r="JA97" s="272"/>
      <c r="JB97" s="272"/>
      <c r="JC97" s="272"/>
      <c r="JD97" s="272"/>
      <c r="JE97" s="272"/>
      <c r="JF97" s="272"/>
      <c r="JG97" s="272"/>
      <c r="JH97" s="272"/>
      <c r="JI97" s="272"/>
      <c r="JJ97" s="272"/>
      <c r="JK97" s="272"/>
      <c r="JL97" s="272"/>
      <c r="JM97" s="272"/>
      <c r="JN97" s="272"/>
      <c r="JO97" s="272"/>
      <c r="JP97" s="272"/>
      <c r="JQ97" s="272"/>
      <c r="JR97" s="272"/>
      <c r="JS97" s="272"/>
      <c r="JT97" s="272"/>
      <c r="JU97" s="272"/>
      <c r="JV97" s="272"/>
      <c r="JW97" s="272"/>
      <c r="JX97" s="272"/>
      <c r="JY97" s="272"/>
      <c r="JZ97" s="272"/>
      <c r="KA97" s="272"/>
      <c r="KB97" s="272"/>
      <c r="KC97" s="272"/>
      <c r="KD97" s="272"/>
      <c r="KE97" s="272"/>
      <c r="KF97" s="272"/>
      <c r="KG97" s="272"/>
      <c r="KH97" s="272"/>
      <c r="KI97" s="272"/>
      <c r="KJ97" s="272"/>
      <c r="KK97" s="272"/>
      <c r="KL97" s="272"/>
      <c r="KM97" s="272"/>
      <c r="KN97" s="272"/>
      <c r="KO97" s="272"/>
      <c r="KP97" s="272"/>
      <c r="KQ97" s="272"/>
      <c r="KR97" s="272"/>
      <c r="KS97" s="272"/>
      <c r="KT97" s="272"/>
      <c r="KU97" s="272"/>
      <c r="KV97" s="272"/>
      <c r="KW97" s="272"/>
      <c r="KX97" s="272"/>
      <c r="KY97" s="272"/>
      <c r="KZ97" s="272"/>
      <c r="LA97" s="272"/>
      <c r="LB97" s="272"/>
      <c r="LC97" s="272"/>
      <c r="LD97" s="272"/>
      <c r="LE97" s="272"/>
      <c r="LF97" s="272"/>
      <c r="LG97" s="272"/>
      <c r="LH97" s="272"/>
      <c r="LI97" s="272"/>
      <c r="LJ97" s="272"/>
      <c r="LK97" s="272"/>
      <c r="LL97" s="272"/>
      <c r="LM97" s="272"/>
      <c r="LN97" s="272"/>
      <c r="LO97" s="272"/>
      <c r="LP97" s="272"/>
      <c r="LQ97" s="272"/>
      <c r="LR97" s="272"/>
      <c r="LS97" s="272"/>
      <c r="LT97" s="272"/>
      <c r="LU97" s="272"/>
      <c r="LV97" s="272"/>
      <c r="LW97" s="272"/>
      <c r="LX97" s="272"/>
      <c r="LY97" s="272"/>
      <c r="LZ97" s="272"/>
      <c r="MA97" s="272"/>
      <c r="MB97" s="272"/>
      <c r="MC97" s="272"/>
      <c r="MD97" s="272"/>
      <c r="ME97" s="272"/>
      <c r="MF97" s="272"/>
      <c r="MG97" s="272"/>
      <c r="MH97" s="272"/>
      <c r="MI97" s="272"/>
      <c r="MJ97" s="272"/>
      <c r="MK97" s="272"/>
      <c r="ML97" s="272"/>
      <c r="MM97" s="272"/>
      <c r="MN97" s="272"/>
      <c r="MO97" s="272"/>
      <c r="MP97" s="272"/>
      <c r="MQ97" s="272"/>
      <c r="MR97" s="272"/>
      <c r="MS97" s="272"/>
      <c r="MT97" s="272"/>
      <c r="MU97" s="272"/>
      <c r="MV97" s="272"/>
      <c r="MW97" s="272"/>
      <c r="MX97" s="272"/>
      <c r="MY97" s="272"/>
      <c r="MZ97" s="272"/>
      <c r="NA97" s="272"/>
      <c r="NB97" s="272"/>
      <c r="NC97" s="272"/>
      <c r="ND97" s="272"/>
      <c r="NE97" s="272"/>
      <c r="NF97" s="272"/>
      <c r="NG97" s="272"/>
      <c r="NH97" s="272"/>
      <c r="NI97" s="272"/>
      <c r="NJ97" s="272"/>
      <c r="NK97" s="272"/>
      <c r="NL97" s="272"/>
      <c r="NM97" s="272"/>
      <c r="NN97" s="272"/>
      <c r="NO97" s="272"/>
      <c r="NP97" s="272"/>
      <c r="NQ97" s="272"/>
      <c r="NR97" s="272"/>
      <c r="NS97" s="272"/>
      <c r="NT97" s="272"/>
      <c r="NU97" s="272"/>
      <c r="NV97" s="272"/>
      <c r="NW97" s="272"/>
      <c r="NX97" s="272"/>
      <c r="NY97" s="272"/>
      <c r="NZ97" s="272"/>
      <c r="OA97" s="272"/>
      <c r="OB97" s="272"/>
      <c r="OC97" s="272"/>
      <c r="OD97" s="272"/>
      <c r="OE97" s="272"/>
      <c r="OF97" s="272"/>
      <c r="OG97" s="272"/>
      <c r="OH97" s="272"/>
      <c r="OI97" s="272"/>
      <c r="OJ97" s="272"/>
      <c r="OK97" s="272"/>
      <c r="OL97" s="272"/>
      <c r="OM97" s="272"/>
      <c r="ON97" s="272"/>
      <c r="OO97" s="272"/>
      <c r="OP97" s="272"/>
      <c r="OQ97" s="272"/>
      <c r="OR97" s="272"/>
      <c r="OS97" s="272"/>
      <c r="OT97" s="272"/>
      <c r="OU97" s="272"/>
      <c r="OV97" s="272"/>
      <c r="OW97" s="272"/>
      <c r="OX97" s="272"/>
      <c r="OY97" s="272"/>
      <c r="OZ97" s="272"/>
      <c r="PA97" s="272"/>
      <c r="PB97" s="272"/>
      <c r="PC97" s="272"/>
      <c r="PD97" s="272"/>
      <c r="PE97" s="272"/>
      <c r="PF97" s="272"/>
      <c r="PG97" s="272"/>
      <c r="PH97" s="272"/>
      <c r="PI97" s="272"/>
      <c r="PJ97" s="272"/>
      <c r="PK97" s="272"/>
      <c r="PL97" s="272"/>
      <c r="PM97" s="272"/>
      <c r="PN97" s="272"/>
      <c r="PO97" s="272"/>
      <c r="PP97" s="272"/>
      <c r="PQ97" s="272"/>
      <c r="PR97" s="272"/>
      <c r="PS97" s="272"/>
      <c r="PT97" s="272"/>
      <c r="PU97" s="272"/>
      <c r="PV97" s="272"/>
      <c r="PW97" s="272"/>
      <c r="PX97" s="272"/>
      <c r="PY97" s="272"/>
      <c r="PZ97" s="272"/>
      <c r="QA97" s="272"/>
      <c r="QB97" s="272"/>
      <c r="QC97" s="272"/>
      <c r="QD97" s="272"/>
      <c r="QE97" s="272"/>
      <c r="QF97" s="272"/>
      <c r="QG97" s="272"/>
      <c r="QH97" s="272"/>
      <c r="QI97" s="272"/>
      <c r="QJ97" s="272"/>
      <c r="QK97" s="272"/>
      <c r="QL97" s="272"/>
      <c r="QM97" s="272"/>
      <c r="QN97" s="272"/>
      <c r="QO97" s="272"/>
      <c r="QP97" s="272"/>
      <c r="QQ97" s="272"/>
      <c r="QR97" s="272"/>
      <c r="QS97" s="272"/>
      <c r="QT97" s="272"/>
      <c r="QU97" s="272"/>
      <c r="QV97" s="272"/>
      <c r="QW97" s="272"/>
      <c r="QX97" s="272"/>
      <c r="QY97" s="272"/>
      <c r="QZ97" s="272"/>
      <c r="RA97" s="272"/>
      <c r="RB97" s="272"/>
      <c r="RC97" s="272"/>
      <c r="RD97" s="272"/>
      <c r="RE97" s="272"/>
      <c r="RF97" s="272"/>
      <c r="RG97" s="272"/>
      <c r="RH97" s="272"/>
      <c r="RI97" s="272"/>
      <c r="RJ97" s="272"/>
      <c r="RK97" s="272"/>
      <c r="RL97" s="272"/>
      <c r="RM97" s="272"/>
      <c r="RN97" s="272"/>
      <c r="RO97" s="272"/>
      <c r="RP97" s="272"/>
      <c r="RQ97" s="272"/>
      <c r="RR97" s="272"/>
      <c r="RS97" s="272"/>
      <c r="RT97" s="272"/>
      <c r="RU97" s="272"/>
      <c r="RV97" s="272"/>
      <c r="RW97" s="272"/>
      <c r="RX97" s="272"/>
      <c r="RY97" s="272"/>
      <c r="RZ97" s="272"/>
      <c r="SA97" s="272"/>
      <c r="SB97" s="272"/>
      <c r="SC97" s="272"/>
      <c r="SD97" s="272"/>
      <c r="SE97" s="272"/>
      <c r="SF97" s="272"/>
      <c r="SG97" s="272"/>
      <c r="SH97" s="272"/>
      <c r="SI97" s="272"/>
      <c r="SJ97" s="272"/>
      <c r="SK97" s="272"/>
      <c r="SL97" s="272"/>
      <c r="SM97" s="272"/>
      <c r="SN97" s="272"/>
      <c r="SO97" s="272"/>
      <c r="SP97" s="272"/>
      <c r="SQ97" s="272"/>
      <c r="SR97" s="272"/>
      <c r="SS97" s="272"/>
      <c r="ST97" s="272"/>
      <c r="SU97" s="272"/>
      <c r="SV97" s="272"/>
      <c r="SW97" s="272"/>
      <c r="SX97" s="272"/>
      <c r="SY97" s="272"/>
      <c r="SZ97" s="272"/>
      <c r="TA97" s="272"/>
      <c r="TB97" s="272"/>
      <c r="TC97" s="272"/>
      <c r="TD97" s="272"/>
      <c r="TE97" s="272"/>
      <c r="TF97" s="272"/>
      <c r="TG97" s="272"/>
      <c r="TH97" s="272"/>
      <c r="TI97" s="272"/>
      <c r="TJ97" s="272"/>
      <c r="TK97" s="272"/>
      <c r="TL97" s="272"/>
      <c r="TM97" s="272"/>
      <c r="TN97" s="272"/>
      <c r="TO97" s="272"/>
      <c r="TP97" s="272"/>
      <c r="TQ97" s="272"/>
      <c r="TR97" s="272"/>
      <c r="TS97" s="272"/>
      <c r="TT97" s="272"/>
      <c r="TU97" s="272"/>
      <c r="TV97" s="272"/>
      <c r="TW97" s="272"/>
      <c r="TX97" s="272"/>
      <c r="TY97" s="272"/>
      <c r="TZ97" s="272"/>
      <c r="UA97" s="272"/>
      <c r="UB97" s="272"/>
      <c r="UC97" s="272"/>
      <c r="UD97" s="272"/>
      <c r="UE97" s="272"/>
      <c r="UF97" s="272"/>
      <c r="UG97" s="272"/>
      <c r="UH97" s="272"/>
      <c r="UI97" s="272"/>
      <c r="UJ97" s="272"/>
      <c r="UK97" s="272"/>
      <c r="UL97" s="272"/>
      <c r="UM97" s="272"/>
      <c r="UN97" s="272"/>
      <c r="UO97" s="272"/>
      <c r="UP97" s="272"/>
      <c r="UQ97" s="272"/>
      <c r="UR97" s="272"/>
      <c r="US97" s="272"/>
      <c r="UT97" s="272"/>
      <c r="UU97" s="272"/>
      <c r="UV97" s="272"/>
      <c r="UW97" s="272"/>
      <c r="UX97" s="272"/>
      <c r="UY97" s="272"/>
      <c r="UZ97" s="272"/>
      <c r="VA97" s="272"/>
      <c r="VB97" s="272"/>
      <c r="VC97" s="272"/>
      <c r="VD97" s="272"/>
      <c r="VE97" s="272"/>
      <c r="VF97" s="272"/>
      <c r="VG97" s="272"/>
      <c r="VH97" s="272"/>
      <c r="VI97" s="272"/>
      <c r="VJ97" s="272"/>
      <c r="VK97" s="272"/>
      <c r="VL97" s="272"/>
      <c r="VM97" s="272"/>
      <c r="VN97" s="272"/>
      <c r="VO97" s="272"/>
      <c r="VP97" s="272"/>
      <c r="VQ97" s="272"/>
      <c r="VR97" s="272"/>
      <c r="VS97" s="272"/>
      <c r="VT97" s="272"/>
      <c r="VU97" s="272"/>
      <c r="VV97" s="272"/>
      <c r="VW97" s="272"/>
      <c r="VX97" s="272"/>
      <c r="VY97" s="272"/>
      <c r="VZ97" s="272"/>
      <c r="WA97" s="272"/>
      <c r="WB97" s="272"/>
      <c r="WC97" s="272"/>
      <c r="WD97" s="272"/>
      <c r="WE97" s="272"/>
      <c r="WF97" s="272"/>
      <c r="WG97" s="272"/>
      <c r="WH97" s="272"/>
      <c r="WI97" s="272"/>
      <c r="WJ97" s="272"/>
      <c r="WK97" s="272"/>
      <c r="WL97" s="272"/>
      <c r="WM97" s="272"/>
      <c r="WN97" s="272"/>
      <c r="WO97" s="272"/>
      <c r="WP97" s="272"/>
      <c r="WQ97" s="272"/>
      <c r="WR97" s="272"/>
      <c r="WS97" s="272"/>
      <c r="WT97" s="272"/>
      <c r="WU97" s="272"/>
      <c r="WV97" s="272"/>
      <c r="WW97" s="272"/>
      <c r="WX97" s="272"/>
      <c r="WY97" s="272"/>
      <c r="WZ97" s="272"/>
      <c r="XA97" s="272"/>
      <c r="XB97" s="272"/>
      <c r="XC97" s="272"/>
      <c r="XD97" s="272"/>
      <c r="XE97" s="272"/>
      <c r="XF97" s="272"/>
      <c r="XG97" s="272"/>
      <c r="XH97" s="272"/>
      <c r="XI97" s="272"/>
      <c r="XJ97" s="272"/>
      <c r="XK97" s="272"/>
      <c r="XL97" s="272"/>
      <c r="XM97" s="272"/>
      <c r="XN97" s="272"/>
      <c r="XO97" s="272"/>
      <c r="XP97" s="272"/>
      <c r="XQ97" s="272"/>
      <c r="XR97" s="272"/>
      <c r="XS97" s="272"/>
      <c r="XT97" s="272"/>
      <c r="XU97" s="272"/>
      <c r="XV97" s="272"/>
      <c r="XW97" s="272"/>
      <c r="XX97" s="272"/>
      <c r="XY97" s="272"/>
      <c r="XZ97" s="272"/>
      <c r="YA97" s="272"/>
      <c r="YB97" s="272"/>
      <c r="YC97" s="272"/>
      <c r="YD97" s="272"/>
      <c r="YE97" s="272"/>
      <c r="YF97" s="272"/>
      <c r="YG97" s="272"/>
      <c r="YH97" s="272"/>
      <c r="YI97" s="272"/>
      <c r="YJ97" s="272"/>
      <c r="YK97" s="272"/>
      <c r="YL97" s="272"/>
      <c r="YM97" s="272"/>
      <c r="YN97" s="272"/>
      <c r="YO97" s="272"/>
      <c r="YP97" s="272"/>
      <c r="YQ97" s="272"/>
      <c r="YR97" s="272"/>
      <c r="YS97" s="272"/>
      <c r="YT97" s="272"/>
      <c r="YU97" s="272"/>
      <c r="YV97" s="272"/>
      <c r="YW97" s="272"/>
      <c r="YX97" s="272"/>
      <c r="YY97" s="272"/>
      <c r="YZ97" s="272"/>
      <c r="ZA97" s="272"/>
      <c r="ZB97" s="272"/>
      <c r="ZC97" s="272"/>
      <c r="ZD97" s="272"/>
      <c r="ZE97" s="272"/>
      <c r="ZF97" s="272"/>
      <c r="ZG97" s="272"/>
      <c r="ZH97" s="272"/>
      <c r="ZI97" s="272"/>
      <c r="ZJ97" s="272"/>
      <c r="ZK97" s="272"/>
      <c r="ZL97" s="272"/>
      <c r="ZM97" s="272"/>
      <c r="ZN97" s="272"/>
      <c r="ZO97" s="272"/>
      <c r="ZP97" s="272"/>
      <c r="ZQ97" s="272"/>
      <c r="ZR97" s="272"/>
      <c r="ZS97" s="272"/>
      <c r="ZT97" s="272"/>
    </row>
    <row r="98" spans="1:696" s="86" customFormat="1" ht="12.75" customHeight="1">
      <c r="A98" s="39"/>
      <c r="B98" s="40"/>
      <c r="C98" s="597"/>
      <c r="D98" s="600"/>
      <c r="E98" s="619"/>
      <c r="F98" s="619"/>
      <c r="G98" s="626"/>
      <c r="H98" s="626"/>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c r="BU98" s="272"/>
      <c r="BV98" s="272"/>
      <c r="BW98" s="272"/>
      <c r="BX98" s="272"/>
      <c r="BY98" s="272"/>
      <c r="BZ98" s="272"/>
      <c r="CA98" s="272"/>
      <c r="CB98" s="272"/>
      <c r="CC98" s="272"/>
      <c r="CD98" s="272"/>
      <c r="CE98" s="272"/>
      <c r="CF98" s="272"/>
      <c r="CG98" s="272"/>
      <c r="CH98" s="272"/>
      <c r="CI98" s="272"/>
      <c r="CJ98" s="272"/>
      <c r="CK98" s="272"/>
      <c r="CL98" s="272"/>
      <c r="CM98" s="272"/>
      <c r="CN98" s="272"/>
      <c r="CO98" s="272"/>
      <c r="CP98" s="272"/>
      <c r="CQ98" s="272"/>
      <c r="CR98" s="272"/>
      <c r="CS98" s="272"/>
      <c r="CT98" s="272"/>
      <c r="CU98" s="272"/>
      <c r="CV98" s="272"/>
      <c r="CW98" s="272"/>
      <c r="CX98" s="272"/>
      <c r="CY98" s="272"/>
      <c r="CZ98" s="272"/>
      <c r="DA98" s="272"/>
      <c r="DB98" s="272"/>
      <c r="DC98" s="272"/>
      <c r="DD98" s="272"/>
      <c r="DE98" s="272"/>
      <c r="DF98" s="272"/>
      <c r="DG98" s="272"/>
      <c r="DH98" s="272"/>
      <c r="DI98" s="272"/>
      <c r="DJ98" s="272"/>
      <c r="DK98" s="272"/>
      <c r="DL98" s="272"/>
      <c r="DM98" s="272"/>
      <c r="DN98" s="272"/>
      <c r="DO98" s="272"/>
      <c r="DP98" s="272"/>
      <c r="DQ98" s="272"/>
      <c r="DR98" s="272"/>
      <c r="DS98" s="272"/>
      <c r="DT98" s="272"/>
      <c r="DU98" s="272"/>
      <c r="DV98" s="272"/>
      <c r="DW98" s="272"/>
      <c r="DX98" s="272"/>
      <c r="DY98" s="272"/>
      <c r="DZ98" s="272"/>
      <c r="EA98" s="272"/>
      <c r="EB98" s="272"/>
      <c r="EC98" s="272"/>
      <c r="ED98" s="272"/>
      <c r="EE98" s="272"/>
      <c r="EF98" s="272"/>
      <c r="EG98" s="272"/>
      <c r="EH98" s="272"/>
      <c r="EI98" s="272"/>
      <c r="EJ98" s="272"/>
      <c r="EK98" s="272"/>
      <c r="EL98" s="272"/>
      <c r="EM98" s="272"/>
      <c r="EN98" s="272"/>
      <c r="EO98" s="272"/>
      <c r="EP98" s="272"/>
      <c r="EQ98" s="272"/>
      <c r="ER98" s="272"/>
      <c r="ES98" s="272"/>
      <c r="ET98" s="272"/>
      <c r="EU98" s="272"/>
      <c r="EV98" s="272"/>
      <c r="EW98" s="272"/>
      <c r="EX98" s="272"/>
      <c r="EY98" s="272"/>
      <c r="EZ98" s="272"/>
      <c r="FA98" s="272"/>
      <c r="FB98" s="272"/>
      <c r="FC98" s="272"/>
      <c r="FD98" s="272"/>
      <c r="FE98" s="272"/>
      <c r="FF98" s="272"/>
      <c r="FG98" s="272"/>
      <c r="FH98" s="272"/>
      <c r="FI98" s="272"/>
      <c r="FJ98" s="272"/>
      <c r="FK98" s="272"/>
      <c r="FL98" s="272"/>
      <c r="FM98" s="272"/>
      <c r="FN98" s="272"/>
      <c r="FO98" s="272"/>
      <c r="FP98" s="272"/>
      <c r="FQ98" s="272"/>
      <c r="FR98" s="272"/>
      <c r="FS98" s="272"/>
      <c r="FT98" s="272"/>
      <c r="FU98" s="272"/>
      <c r="FV98" s="272"/>
      <c r="FW98" s="272"/>
      <c r="FX98" s="272"/>
      <c r="FY98" s="272"/>
      <c r="FZ98" s="272"/>
      <c r="GA98" s="272"/>
      <c r="GB98" s="272"/>
      <c r="GC98" s="272"/>
      <c r="GD98" s="272"/>
      <c r="GE98" s="272"/>
      <c r="GF98" s="272"/>
      <c r="GG98" s="272"/>
      <c r="GH98" s="272"/>
      <c r="GI98" s="272"/>
      <c r="GJ98" s="272"/>
      <c r="GK98" s="272"/>
      <c r="GL98" s="272"/>
      <c r="GM98" s="272"/>
      <c r="GN98" s="272"/>
      <c r="GO98" s="272"/>
      <c r="GP98" s="272"/>
      <c r="GQ98" s="272"/>
      <c r="GR98" s="272"/>
      <c r="GS98" s="272"/>
      <c r="GT98" s="272"/>
      <c r="GU98" s="272"/>
      <c r="GV98" s="272"/>
      <c r="GW98" s="272"/>
      <c r="GX98" s="272"/>
      <c r="GY98" s="272"/>
      <c r="GZ98" s="272"/>
      <c r="HA98" s="272"/>
      <c r="HB98" s="272"/>
      <c r="HC98" s="272"/>
      <c r="HD98" s="272"/>
      <c r="HE98" s="272"/>
      <c r="HF98" s="272"/>
      <c r="HG98" s="272"/>
      <c r="HH98" s="272"/>
      <c r="HI98" s="272"/>
      <c r="HJ98" s="272"/>
      <c r="HK98" s="272"/>
      <c r="HL98" s="272"/>
      <c r="HM98" s="272"/>
      <c r="HN98" s="272"/>
      <c r="HO98" s="272"/>
      <c r="HP98" s="272"/>
      <c r="HQ98" s="272"/>
      <c r="HR98" s="272"/>
      <c r="HS98" s="272"/>
      <c r="HT98" s="272"/>
      <c r="HU98" s="272"/>
      <c r="HV98" s="272"/>
      <c r="HW98" s="272"/>
      <c r="HX98" s="272"/>
      <c r="HY98" s="272"/>
      <c r="HZ98" s="272"/>
      <c r="IA98" s="272"/>
      <c r="IB98" s="272"/>
      <c r="IC98" s="272"/>
      <c r="ID98" s="272"/>
      <c r="IE98" s="272"/>
      <c r="IF98" s="272"/>
      <c r="IG98" s="272"/>
      <c r="IH98" s="272"/>
      <c r="II98" s="272"/>
      <c r="IJ98" s="272"/>
      <c r="IK98" s="272"/>
      <c r="IL98" s="272"/>
      <c r="IM98" s="272"/>
      <c r="IN98" s="272"/>
      <c r="IO98" s="272"/>
      <c r="IP98" s="272"/>
      <c r="IQ98" s="272"/>
      <c r="IR98" s="272"/>
      <c r="IS98" s="272"/>
      <c r="IT98" s="272"/>
      <c r="IU98" s="272"/>
      <c r="IV98" s="272"/>
      <c r="IW98" s="272"/>
      <c r="IX98" s="272"/>
      <c r="IY98" s="272"/>
      <c r="IZ98" s="272"/>
      <c r="JA98" s="272"/>
      <c r="JB98" s="272"/>
      <c r="JC98" s="272"/>
      <c r="JD98" s="272"/>
      <c r="JE98" s="272"/>
      <c r="JF98" s="272"/>
      <c r="JG98" s="272"/>
      <c r="JH98" s="272"/>
      <c r="JI98" s="272"/>
      <c r="JJ98" s="272"/>
      <c r="JK98" s="272"/>
      <c r="JL98" s="272"/>
      <c r="JM98" s="272"/>
      <c r="JN98" s="272"/>
      <c r="JO98" s="272"/>
      <c r="JP98" s="272"/>
      <c r="JQ98" s="272"/>
      <c r="JR98" s="272"/>
      <c r="JS98" s="272"/>
      <c r="JT98" s="272"/>
      <c r="JU98" s="272"/>
      <c r="JV98" s="272"/>
      <c r="JW98" s="272"/>
      <c r="JX98" s="272"/>
      <c r="JY98" s="272"/>
      <c r="JZ98" s="272"/>
      <c r="KA98" s="272"/>
      <c r="KB98" s="272"/>
      <c r="KC98" s="272"/>
      <c r="KD98" s="272"/>
      <c r="KE98" s="272"/>
      <c r="KF98" s="272"/>
      <c r="KG98" s="272"/>
      <c r="KH98" s="272"/>
      <c r="KI98" s="272"/>
      <c r="KJ98" s="272"/>
      <c r="KK98" s="272"/>
      <c r="KL98" s="272"/>
      <c r="KM98" s="272"/>
      <c r="KN98" s="272"/>
      <c r="KO98" s="272"/>
      <c r="KP98" s="272"/>
      <c r="KQ98" s="272"/>
      <c r="KR98" s="272"/>
      <c r="KS98" s="272"/>
      <c r="KT98" s="272"/>
      <c r="KU98" s="272"/>
      <c r="KV98" s="272"/>
      <c r="KW98" s="272"/>
      <c r="KX98" s="272"/>
      <c r="KY98" s="272"/>
      <c r="KZ98" s="272"/>
      <c r="LA98" s="272"/>
      <c r="LB98" s="272"/>
      <c r="LC98" s="272"/>
      <c r="LD98" s="272"/>
      <c r="LE98" s="272"/>
      <c r="LF98" s="272"/>
      <c r="LG98" s="272"/>
      <c r="LH98" s="272"/>
      <c r="LI98" s="272"/>
      <c r="LJ98" s="272"/>
      <c r="LK98" s="272"/>
      <c r="LL98" s="272"/>
      <c r="LM98" s="272"/>
      <c r="LN98" s="272"/>
      <c r="LO98" s="272"/>
      <c r="LP98" s="272"/>
      <c r="LQ98" s="272"/>
      <c r="LR98" s="272"/>
      <c r="LS98" s="272"/>
      <c r="LT98" s="272"/>
      <c r="LU98" s="272"/>
      <c r="LV98" s="272"/>
      <c r="LW98" s="272"/>
      <c r="LX98" s="272"/>
      <c r="LY98" s="272"/>
      <c r="LZ98" s="272"/>
      <c r="MA98" s="272"/>
      <c r="MB98" s="272"/>
      <c r="MC98" s="272"/>
      <c r="MD98" s="272"/>
      <c r="ME98" s="272"/>
      <c r="MF98" s="272"/>
      <c r="MG98" s="272"/>
      <c r="MH98" s="272"/>
      <c r="MI98" s="272"/>
      <c r="MJ98" s="272"/>
      <c r="MK98" s="272"/>
      <c r="ML98" s="272"/>
      <c r="MM98" s="272"/>
      <c r="MN98" s="272"/>
      <c r="MO98" s="272"/>
      <c r="MP98" s="272"/>
      <c r="MQ98" s="272"/>
      <c r="MR98" s="272"/>
      <c r="MS98" s="272"/>
      <c r="MT98" s="272"/>
      <c r="MU98" s="272"/>
      <c r="MV98" s="272"/>
      <c r="MW98" s="272"/>
      <c r="MX98" s="272"/>
      <c r="MY98" s="272"/>
      <c r="MZ98" s="272"/>
      <c r="NA98" s="272"/>
      <c r="NB98" s="272"/>
      <c r="NC98" s="272"/>
      <c r="ND98" s="272"/>
      <c r="NE98" s="272"/>
      <c r="NF98" s="272"/>
      <c r="NG98" s="272"/>
      <c r="NH98" s="272"/>
      <c r="NI98" s="272"/>
      <c r="NJ98" s="272"/>
      <c r="NK98" s="272"/>
      <c r="NL98" s="272"/>
      <c r="NM98" s="272"/>
      <c r="NN98" s="272"/>
      <c r="NO98" s="272"/>
      <c r="NP98" s="272"/>
      <c r="NQ98" s="272"/>
      <c r="NR98" s="272"/>
      <c r="NS98" s="272"/>
      <c r="NT98" s="272"/>
      <c r="NU98" s="272"/>
      <c r="NV98" s="272"/>
      <c r="NW98" s="272"/>
      <c r="NX98" s="272"/>
      <c r="NY98" s="272"/>
      <c r="NZ98" s="272"/>
      <c r="OA98" s="272"/>
      <c r="OB98" s="272"/>
      <c r="OC98" s="272"/>
      <c r="OD98" s="272"/>
      <c r="OE98" s="272"/>
      <c r="OF98" s="272"/>
      <c r="OG98" s="272"/>
      <c r="OH98" s="272"/>
      <c r="OI98" s="272"/>
      <c r="OJ98" s="272"/>
      <c r="OK98" s="272"/>
      <c r="OL98" s="272"/>
      <c r="OM98" s="272"/>
      <c r="ON98" s="272"/>
      <c r="OO98" s="272"/>
      <c r="OP98" s="272"/>
      <c r="OQ98" s="272"/>
      <c r="OR98" s="272"/>
      <c r="OS98" s="272"/>
      <c r="OT98" s="272"/>
      <c r="OU98" s="272"/>
      <c r="OV98" s="272"/>
      <c r="OW98" s="272"/>
      <c r="OX98" s="272"/>
      <c r="OY98" s="272"/>
      <c r="OZ98" s="272"/>
      <c r="PA98" s="272"/>
      <c r="PB98" s="272"/>
      <c r="PC98" s="272"/>
      <c r="PD98" s="272"/>
      <c r="PE98" s="272"/>
      <c r="PF98" s="272"/>
      <c r="PG98" s="272"/>
      <c r="PH98" s="272"/>
      <c r="PI98" s="272"/>
      <c r="PJ98" s="272"/>
      <c r="PK98" s="272"/>
      <c r="PL98" s="272"/>
      <c r="PM98" s="272"/>
      <c r="PN98" s="272"/>
      <c r="PO98" s="272"/>
      <c r="PP98" s="272"/>
      <c r="PQ98" s="272"/>
      <c r="PR98" s="272"/>
      <c r="PS98" s="272"/>
      <c r="PT98" s="272"/>
      <c r="PU98" s="272"/>
      <c r="PV98" s="272"/>
      <c r="PW98" s="272"/>
      <c r="PX98" s="272"/>
      <c r="PY98" s="272"/>
      <c r="PZ98" s="272"/>
      <c r="QA98" s="272"/>
      <c r="QB98" s="272"/>
      <c r="QC98" s="272"/>
      <c r="QD98" s="272"/>
      <c r="QE98" s="272"/>
      <c r="QF98" s="272"/>
      <c r="QG98" s="272"/>
      <c r="QH98" s="272"/>
      <c r="QI98" s="272"/>
      <c r="QJ98" s="272"/>
      <c r="QK98" s="272"/>
      <c r="QL98" s="272"/>
      <c r="QM98" s="272"/>
      <c r="QN98" s="272"/>
      <c r="QO98" s="272"/>
      <c r="QP98" s="272"/>
      <c r="QQ98" s="272"/>
      <c r="QR98" s="272"/>
      <c r="QS98" s="272"/>
      <c r="QT98" s="272"/>
      <c r="QU98" s="272"/>
      <c r="QV98" s="272"/>
      <c r="QW98" s="272"/>
      <c r="QX98" s="272"/>
      <c r="QY98" s="272"/>
      <c r="QZ98" s="272"/>
      <c r="RA98" s="272"/>
      <c r="RB98" s="272"/>
      <c r="RC98" s="272"/>
      <c r="RD98" s="272"/>
      <c r="RE98" s="272"/>
      <c r="RF98" s="272"/>
      <c r="RG98" s="272"/>
      <c r="RH98" s="272"/>
      <c r="RI98" s="272"/>
      <c r="RJ98" s="272"/>
      <c r="RK98" s="272"/>
      <c r="RL98" s="272"/>
      <c r="RM98" s="272"/>
      <c r="RN98" s="272"/>
      <c r="RO98" s="272"/>
      <c r="RP98" s="272"/>
      <c r="RQ98" s="272"/>
      <c r="RR98" s="272"/>
      <c r="RS98" s="272"/>
      <c r="RT98" s="272"/>
      <c r="RU98" s="272"/>
      <c r="RV98" s="272"/>
      <c r="RW98" s="272"/>
      <c r="RX98" s="272"/>
      <c r="RY98" s="272"/>
      <c r="RZ98" s="272"/>
      <c r="SA98" s="272"/>
      <c r="SB98" s="272"/>
      <c r="SC98" s="272"/>
      <c r="SD98" s="272"/>
      <c r="SE98" s="272"/>
      <c r="SF98" s="272"/>
      <c r="SG98" s="272"/>
      <c r="SH98" s="272"/>
      <c r="SI98" s="272"/>
      <c r="SJ98" s="272"/>
      <c r="SK98" s="272"/>
      <c r="SL98" s="272"/>
      <c r="SM98" s="272"/>
      <c r="SN98" s="272"/>
      <c r="SO98" s="272"/>
      <c r="SP98" s="272"/>
      <c r="SQ98" s="272"/>
      <c r="SR98" s="272"/>
      <c r="SS98" s="272"/>
      <c r="ST98" s="272"/>
      <c r="SU98" s="272"/>
      <c r="SV98" s="272"/>
      <c r="SW98" s="272"/>
      <c r="SX98" s="272"/>
      <c r="SY98" s="272"/>
      <c r="SZ98" s="272"/>
      <c r="TA98" s="272"/>
      <c r="TB98" s="272"/>
      <c r="TC98" s="272"/>
      <c r="TD98" s="272"/>
      <c r="TE98" s="272"/>
      <c r="TF98" s="272"/>
      <c r="TG98" s="272"/>
      <c r="TH98" s="272"/>
      <c r="TI98" s="272"/>
      <c r="TJ98" s="272"/>
      <c r="TK98" s="272"/>
      <c r="TL98" s="272"/>
      <c r="TM98" s="272"/>
      <c r="TN98" s="272"/>
      <c r="TO98" s="272"/>
      <c r="TP98" s="272"/>
      <c r="TQ98" s="272"/>
      <c r="TR98" s="272"/>
      <c r="TS98" s="272"/>
      <c r="TT98" s="272"/>
      <c r="TU98" s="272"/>
      <c r="TV98" s="272"/>
      <c r="TW98" s="272"/>
      <c r="TX98" s="272"/>
      <c r="TY98" s="272"/>
      <c r="TZ98" s="272"/>
      <c r="UA98" s="272"/>
      <c r="UB98" s="272"/>
      <c r="UC98" s="272"/>
      <c r="UD98" s="272"/>
      <c r="UE98" s="272"/>
      <c r="UF98" s="272"/>
      <c r="UG98" s="272"/>
      <c r="UH98" s="272"/>
      <c r="UI98" s="272"/>
      <c r="UJ98" s="272"/>
      <c r="UK98" s="272"/>
      <c r="UL98" s="272"/>
      <c r="UM98" s="272"/>
      <c r="UN98" s="272"/>
      <c r="UO98" s="272"/>
      <c r="UP98" s="272"/>
      <c r="UQ98" s="272"/>
      <c r="UR98" s="272"/>
      <c r="US98" s="272"/>
      <c r="UT98" s="272"/>
      <c r="UU98" s="272"/>
      <c r="UV98" s="272"/>
      <c r="UW98" s="272"/>
      <c r="UX98" s="272"/>
      <c r="UY98" s="272"/>
      <c r="UZ98" s="272"/>
      <c r="VA98" s="272"/>
      <c r="VB98" s="272"/>
      <c r="VC98" s="272"/>
      <c r="VD98" s="272"/>
      <c r="VE98" s="272"/>
      <c r="VF98" s="272"/>
      <c r="VG98" s="272"/>
      <c r="VH98" s="272"/>
      <c r="VI98" s="272"/>
      <c r="VJ98" s="272"/>
      <c r="VK98" s="272"/>
      <c r="VL98" s="272"/>
      <c r="VM98" s="272"/>
      <c r="VN98" s="272"/>
      <c r="VO98" s="272"/>
      <c r="VP98" s="272"/>
      <c r="VQ98" s="272"/>
      <c r="VR98" s="272"/>
      <c r="VS98" s="272"/>
      <c r="VT98" s="272"/>
      <c r="VU98" s="272"/>
      <c r="VV98" s="272"/>
      <c r="VW98" s="272"/>
      <c r="VX98" s="272"/>
      <c r="VY98" s="272"/>
      <c r="VZ98" s="272"/>
      <c r="WA98" s="272"/>
      <c r="WB98" s="272"/>
      <c r="WC98" s="272"/>
      <c r="WD98" s="272"/>
      <c r="WE98" s="272"/>
      <c r="WF98" s="272"/>
      <c r="WG98" s="272"/>
      <c r="WH98" s="272"/>
      <c r="WI98" s="272"/>
      <c r="WJ98" s="272"/>
      <c r="WK98" s="272"/>
      <c r="WL98" s="272"/>
      <c r="WM98" s="272"/>
      <c r="WN98" s="272"/>
      <c r="WO98" s="272"/>
      <c r="WP98" s="272"/>
      <c r="WQ98" s="272"/>
      <c r="WR98" s="272"/>
      <c r="WS98" s="272"/>
      <c r="WT98" s="272"/>
      <c r="WU98" s="272"/>
      <c r="WV98" s="272"/>
      <c r="WW98" s="272"/>
      <c r="WX98" s="272"/>
      <c r="WY98" s="272"/>
      <c r="WZ98" s="272"/>
      <c r="XA98" s="272"/>
      <c r="XB98" s="272"/>
      <c r="XC98" s="272"/>
      <c r="XD98" s="272"/>
      <c r="XE98" s="272"/>
      <c r="XF98" s="272"/>
      <c r="XG98" s="272"/>
      <c r="XH98" s="272"/>
      <c r="XI98" s="272"/>
      <c r="XJ98" s="272"/>
      <c r="XK98" s="272"/>
      <c r="XL98" s="272"/>
      <c r="XM98" s="272"/>
      <c r="XN98" s="272"/>
      <c r="XO98" s="272"/>
      <c r="XP98" s="272"/>
      <c r="XQ98" s="272"/>
      <c r="XR98" s="272"/>
      <c r="XS98" s="272"/>
      <c r="XT98" s="272"/>
      <c r="XU98" s="272"/>
      <c r="XV98" s="272"/>
      <c r="XW98" s="272"/>
      <c r="XX98" s="272"/>
      <c r="XY98" s="272"/>
      <c r="XZ98" s="272"/>
      <c r="YA98" s="272"/>
      <c r="YB98" s="272"/>
      <c r="YC98" s="272"/>
      <c r="YD98" s="272"/>
      <c r="YE98" s="272"/>
      <c r="YF98" s="272"/>
      <c r="YG98" s="272"/>
      <c r="YH98" s="272"/>
      <c r="YI98" s="272"/>
      <c r="YJ98" s="272"/>
      <c r="YK98" s="272"/>
      <c r="YL98" s="272"/>
      <c r="YM98" s="272"/>
      <c r="YN98" s="272"/>
      <c r="YO98" s="272"/>
      <c r="YP98" s="272"/>
      <c r="YQ98" s="272"/>
      <c r="YR98" s="272"/>
      <c r="YS98" s="272"/>
      <c r="YT98" s="272"/>
      <c r="YU98" s="272"/>
      <c r="YV98" s="272"/>
      <c r="YW98" s="272"/>
      <c r="YX98" s="272"/>
      <c r="YY98" s="272"/>
      <c r="YZ98" s="272"/>
      <c r="ZA98" s="272"/>
      <c r="ZB98" s="272"/>
      <c r="ZC98" s="272"/>
      <c r="ZD98" s="272"/>
      <c r="ZE98" s="272"/>
      <c r="ZF98" s="272"/>
      <c r="ZG98" s="272"/>
      <c r="ZH98" s="272"/>
      <c r="ZI98" s="272"/>
      <c r="ZJ98" s="272"/>
      <c r="ZK98" s="272"/>
      <c r="ZL98" s="272"/>
      <c r="ZM98" s="272"/>
      <c r="ZN98" s="272"/>
      <c r="ZO98" s="272"/>
      <c r="ZP98" s="272"/>
      <c r="ZQ98" s="272"/>
      <c r="ZR98" s="272"/>
      <c r="ZS98" s="272"/>
      <c r="ZT98" s="272"/>
    </row>
    <row r="99" spans="1:696" s="86" customFormat="1" ht="12.75" customHeight="1">
      <c r="A99" s="39"/>
      <c r="B99" s="40"/>
      <c r="C99" s="597"/>
      <c r="D99" s="600"/>
      <c r="E99" s="619"/>
      <c r="F99" s="619"/>
      <c r="G99" s="626"/>
      <c r="H99" s="626"/>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2"/>
      <c r="CD99" s="272"/>
      <c r="CE99" s="272"/>
      <c r="CF99" s="272"/>
      <c r="CG99" s="272"/>
      <c r="CH99" s="272"/>
      <c r="CI99" s="272"/>
      <c r="CJ99" s="272"/>
      <c r="CK99" s="272"/>
      <c r="CL99" s="272"/>
      <c r="CM99" s="272"/>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2"/>
      <c r="DQ99" s="272"/>
      <c r="DR99" s="272"/>
      <c r="DS99" s="272"/>
      <c r="DT99" s="272"/>
      <c r="DU99" s="272"/>
      <c r="DV99" s="272"/>
      <c r="DW99" s="272"/>
      <c r="DX99" s="272"/>
      <c r="DY99" s="272"/>
      <c r="DZ99" s="272"/>
      <c r="EA99" s="272"/>
      <c r="EB99" s="272"/>
      <c r="EC99" s="272"/>
      <c r="ED99" s="272"/>
      <c r="EE99" s="272"/>
      <c r="EF99" s="272"/>
      <c r="EG99" s="272"/>
      <c r="EH99" s="272"/>
      <c r="EI99" s="272"/>
      <c r="EJ99" s="272"/>
      <c r="EK99" s="272"/>
      <c r="EL99" s="272"/>
      <c r="EM99" s="272"/>
      <c r="EN99" s="272"/>
      <c r="EO99" s="272"/>
      <c r="EP99" s="272"/>
      <c r="EQ99" s="272"/>
      <c r="ER99" s="272"/>
      <c r="ES99" s="272"/>
      <c r="ET99" s="272"/>
      <c r="EU99" s="272"/>
      <c r="EV99" s="272"/>
      <c r="EW99" s="272"/>
      <c r="EX99" s="272"/>
      <c r="EY99" s="272"/>
      <c r="EZ99" s="272"/>
      <c r="FA99" s="272"/>
      <c r="FB99" s="272"/>
      <c r="FC99" s="272"/>
      <c r="FD99" s="272"/>
      <c r="FE99" s="272"/>
      <c r="FF99" s="272"/>
      <c r="FG99" s="272"/>
      <c r="FH99" s="272"/>
      <c r="FI99" s="272"/>
      <c r="FJ99" s="272"/>
      <c r="FK99" s="272"/>
      <c r="FL99" s="272"/>
      <c r="FM99" s="272"/>
      <c r="FN99" s="272"/>
      <c r="FO99" s="272"/>
      <c r="FP99" s="272"/>
      <c r="FQ99" s="272"/>
      <c r="FR99" s="272"/>
      <c r="FS99" s="272"/>
      <c r="FT99" s="272"/>
      <c r="FU99" s="272"/>
      <c r="FV99" s="272"/>
      <c r="FW99" s="272"/>
      <c r="FX99" s="272"/>
      <c r="FY99" s="272"/>
      <c r="FZ99" s="272"/>
      <c r="GA99" s="272"/>
      <c r="GB99" s="272"/>
      <c r="GC99" s="272"/>
      <c r="GD99" s="272"/>
      <c r="GE99" s="272"/>
      <c r="GF99" s="272"/>
      <c r="GG99" s="272"/>
      <c r="GH99" s="272"/>
      <c r="GI99" s="272"/>
      <c r="GJ99" s="272"/>
      <c r="GK99" s="272"/>
      <c r="GL99" s="272"/>
      <c r="GM99" s="272"/>
      <c r="GN99" s="272"/>
      <c r="GO99" s="272"/>
      <c r="GP99" s="272"/>
      <c r="GQ99" s="272"/>
      <c r="GR99" s="272"/>
      <c r="GS99" s="272"/>
      <c r="GT99" s="272"/>
      <c r="GU99" s="272"/>
      <c r="GV99" s="272"/>
      <c r="GW99" s="272"/>
      <c r="GX99" s="272"/>
      <c r="GY99" s="272"/>
      <c r="GZ99" s="272"/>
      <c r="HA99" s="272"/>
      <c r="HB99" s="272"/>
      <c r="HC99" s="272"/>
      <c r="HD99" s="272"/>
      <c r="HE99" s="272"/>
      <c r="HF99" s="272"/>
      <c r="HG99" s="272"/>
      <c r="HH99" s="272"/>
      <c r="HI99" s="272"/>
      <c r="HJ99" s="272"/>
      <c r="HK99" s="272"/>
      <c r="HL99" s="272"/>
      <c r="HM99" s="272"/>
      <c r="HN99" s="272"/>
      <c r="HO99" s="272"/>
      <c r="HP99" s="272"/>
      <c r="HQ99" s="272"/>
      <c r="HR99" s="272"/>
      <c r="HS99" s="272"/>
      <c r="HT99" s="272"/>
      <c r="HU99" s="272"/>
      <c r="HV99" s="272"/>
      <c r="HW99" s="272"/>
      <c r="HX99" s="272"/>
      <c r="HY99" s="272"/>
      <c r="HZ99" s="272"/>
      <c r="IA99" s="272"/>
      <c r="IB99" s="272"/>
      <c r="IC99" s="272"/>
      <c r="ID99" s="272"/>
      <c r="IE99" s="272"/>
      <c r="IF99" s="272"/>
      <c r="IG99" s="272"/>
      <c r="IH99" s="272"/>
      <c r="II99" s="272"/>
      <c r="IJ99" s="272"/>
      <c r="IK99" s="272"/>
      <c r="IL99" s="272"/>
      <c r="IM99" s="272"/>
      <c r="IN99" s="272"/>
      <c r="IO99" s="272"/>
      <c r="IP99" s="272"/>
      <c r="IQ99" s="272"/>
      <c r="IR99" s="272"/>
      <c r="IS99" s="272"/>
      <c r="IT99" s="272"/>
      <c r="IU99" s="272"/>
      <c r="IV99" s="272"/>
      <c r="IW99" s="272"/>
      <c r="IX99" s="272"/>
      <c r="IY99" s="272"/>
      <c r="IZ99" s="272"/>
      <c r="JA99" s="272"/>
      <c r="JB99" s="272"/>
      <c r="JC99" s="272"/>
      <c r="JD99" s="272"/>
      <c r="JE99" s="272"/>
      <c r="JF99" s="272"/>
      <c r="JG99" s="272"/>
      <c r="JH99" s="272"/>
      <c r="JI99" s="272"/>
      <c r="JJ99" s="272"/>
      <c r="JK99" s="272"/>
      <c r="JL99" s="272"/>
      <c r="JM99" s="272"/>
      <c r="JN99" s="272"/>
      <c r="JO99" s="272"/>
      <c r="JP99" s="272"/>
      <c r="JQ99" s="272"/>
      <c r="JR99" s="272"/>
      <c r="JS99" s="272"/>
      <c r="JT99" s="272"/>
      <c r="JU99" s="272"/>
      <c r="JV99" s="272"/>
      <c r="JW99" s="272"/>
      <c r="JX99" s="272"/>
      <c r="JY99" s="272"/>
      <c r="JZ99" s="272"/>
      <c r="KA99" s="272"/>
      <c r="KB99" s="272"/>
      <c r="KC99" s="272"/>
      <c r="KD99" s="272"/>
      <c r="KE99" s="272"/>
      <c r="KF99" s="272"/>
      <c r="KG99" s="272"/>
      <c r="KH99" s="272"/>
      <c r="KI99" s="272"/>
      <c r="KJ99" s="272"/>
      <c r="KK99" s="272"/>
      <c r="KL99" s="272"/>
      <c r="KM99" s="272"/>
      <c r="KN99" s="272"/>
      <c r="KO99" s="272"/>
      <c r="KP99" s="272"/>
      <c r="KQ99" s="272"/>
      <c r="KR99" s="272"/>
      <c r="KS99" s="272"/>
      <c r="KT99" s="272"/>
      <c r="KU99" s="272"/>
      <c r="KV99" s="272"/>
      <c r="KW99" s="272"/>
      <c r="KX99" s="272"/>
      <c r="KY99" s="272"/>
      <c r="KZ99" s="272"/>
      <c r="LA99" s="272"/>
      <c r="LB99" s="272"/>
      <c r="LC99" s="272"/>
      <c r="LD99" s="272"/>
      <c r="LE99" s="272"/>
      <c r="LF99" s="272"/>
      <c r="LG99" s="272"/>
      <c r="LH99" s="272"/>
      <c r="LI99" s="272"/>
      <c r="LJ99" s="272"/>
      <c r="LK99" s="272"/>
      <c r="LL99" s="272"/>
      <c r="LM99" s="272"/>
      <c r="LN99" s="272"/>
      <c r="LO99" s="272"/>
      <c r="LP99" s="272"/>
      <c r="LQ99" s="272"/>
      <c r="LR99" s="272"/>
      <c r="LS99" s="272"/>
      <c r="LT99" s="272"/>
      <c r="LU99" s="272"/>
      <c r="LV99" s="272"/>
      <c r="LW99" s="272"/>
      <c r="LX99" s="272"/>
      <c r="LY99" s="272"/>
      <c r="LZ99" s="272"/>
      <c r="MA99" s="272"/>
      <c r="MB99" s="272"/>
      <c r="MC99" s="272"/>
      <c r="MD99" s="272"/>
      <c r="ME99" s="272"/>
      <c r="MF99" s="272"/>
      <c r="MG99" s="272"/>
      <c r="MH99" s="272"/>
      <c r="MI99" s="272"/>
      <c r="MJ99" s="272"/>
      <c r="MK99" s="272"/>
      <c r="ML99" s="272"/>
      <c r="MM99" s="272"/>
      <c r="MN99" s="272"/>
      <c r="MO99" s="272"/>
      <c r="MP99" s="272"/>
      <c r="MQ99" s="272"/>
      <c r="MR99" s="272"/>
      <c r="MS99" s="272"/>
      <c r="MT99" s="272"/>
      <c r="MU99" s="272"/>
      <c r="MV99" s="272"/>
      <c r="MW99" s="272"/>
      <c r="MX99" s="272"/>
      <c r="MY99" s="272"/>
      <c r="MZ99" s="272"/>
      <c r="NA99" s="272"/>
      <c r="NB99" s="272"/>
      <c r="NC99" s="272"/>
      <c r="ND99" s="272"/>
      <c r="NE99" s="272"/>
      <c r="NF99" s="272"/>
      <c r="NG99" s="272"/>
      <c r="NH99" s="272"/>
      <c r="NI99" s="272"/>
      <c r="NJ99" s="272"/>
      <c r="NK99" s="272"/>
      <c r="NL99" s="272"/>
      <c r="NM99" s="272"/>
      <c r="NN99" s="272"/>
      <c r="NO99" s="272"/>
      <c r="NP99" s="272"/>
      <c r="NQ99" s="272"/>
      <c r="NR99" s="272"/>
      <c r="NS99" s="272"/>
      <c r="NT99" s="272"/>
      <c r="NU99" s="272"/>
      <c r="NV99" s="272"/>
      <c r="NW99" s="272"/>
      <c r="NX99" s="272"/>
      <c r="NY99" s="272"/>
      <c r="NZ99" s="272"/>
      <c r="OA99" s="272"/>
      <c r="OB99" s="272"/>
      <c r="OC99" s="272"/>
      <c r="OD99" s="272"/>
      <c r="OE99" s="272"/>
      <c r="OF99" s="272"/>
      <c r="OG99" s="272"/>
      <c r="OH99" s="272"/>
      <c r="OI99" s="272"/>
      <c r="OJ99" s="272"/>
      <c r="OK99" s="272"/>
      <c r="OL99" s="272"/>
      <c r="OM99" s="272"/>
      <c r="ON99" s="272"/>
      <c r="OO99" s="272"/>
      <c r="OP99" s="272"/>
      <c r="OQ99" s="272"/>
      <c r="OR99" s="272"/>
      <c r="OS99" s="272"/>
      <c r="OT99" s="272"/>
      <c r="OU99" s="272"/>
      <c r="OV99" s="272"/>
      <c r="OW99" s="272"/>
      <c r="OX99" s="272"/>
      <c r="OY99" s="272"/>
      <c r="OZ99" s="272"/>
      <c r="PA99" s="272"/>
      <c r="PB99" s="272"/>
      <c r="PC99" s="272"/>
      <c r="PD99" s="272"/>
      <c r="PE99" s="272"/>
      <c r="PF99" s="272"/>
      <c r="PG99" s="272"/>
      <c r="PH99" s="272"/>
      <c r="PI99" s="272"/>
      <c r="PJ99" s="272"/>
      <c r="PK99" s="272"/>
      <c r="PL99" s="272"/>
      <c r="PM99" s="272"/>
      <c r="PN99" s="272"/>
      <c r="PO99" s="272"/>
      <c r="PP99" s="272"/>
      <c r="PQ99" s="272"/>
      <c r="PR99" s="272"/>
      <c r="PS99" s="272"/>
      <c r="PT99" s="272"/>
      <c r="PU99" s="272"/>
      <c r="PV99" s="272"/>
      <c r="PW99" s="272"/>
      <c r="PX99" s="272"/>
      <c r="PY99" s="272"/>
      <c r="PZ99" s="272"/>
      <c r="QA99" s="272"/>
      <c r="QB99" s="272"/>
      <c r="QC99" s="272"/>
      <c r="QD99" s="272"/>
      <c r="QE99" s="272"/>
      <c r="QF99" s="272"/>
      <c r="QG99" s="272"/>
      <c r="QH99" s="272"/>
      <c r="QI99" s="272"/>
      <c r="QJ99" s="272"/>
      <c r="QK99" s="272"/>
      <c r="QL99" s="272"/>
      <c r="QM99" s="272"/>
      <c r="QN99" s="272"/>
      <c r="QO99" s="272"/>
      <c r="QP99" s="272"/>
      <c r="QQ99" s="272"/>
      <c r="QR99" s="272"/>
      <c r="QS99" s="272"/>
      <c r="QT99" s="272"/>
      <c r="QU99" s="272"/>
      <c r="QV99" s="272"/>
      <c r="QW99" s="272"/>
      <c r="QX99" s="272"/>
      <c r="QY99" s="272"/>
      <c r="QZ99" s="272"/>
      <c r="RA99" s="272"/>
      <c r="RB99" s="272"/>
      <c r="RC99" s="272"/>
      <c r="RD99" s="272"/>
      <c r="RE99" s="272"/>
      <c r="RF99" s="272"/>
      <c r="RG99" s="272"/>
      <c r="RH99" s="272"/>
      <c r="RI99" s="272"/>
      <c r="RJ99" s="272"/>
      <c r="RK99" s="272"/>
      <c r="RL99" s="272"/>
      <c r="RM99" s="272"/>
      <c r="RN99" s="272"/>
      <c r="RO99" s="272"/>
      <c r="RP99" s="272"/>
      <c r="RQ99" s="272"/>
      <c r="RR99" s="272"/>
      <c r="RS99" s="272"/>
      <c r="RT99" s="272"/>
      <c r="RU99" s="272"/>
      <c r="RV99" s="272"/>
      <c r="RW99" s="272"/>
      <c r="RX99" s="272"/>
      <c r="RY99" s="272"/>
      <c r="RZ99" s="272"/>
      <c r="SA99" s="272"/>
      <c r="SB99" s="272"/>
      <c r="SC99" s="272"/>
      <c r="SD99" s="272"/>
      <c r="SE99" s="272"/>
      <c r="SF99" s="272"/>
      <c r="SG99" s="272"/>
      <c r="SH99" s="272"/>
      <c r="SI99" s="272"/>
      <c r="SJ99" s="272"/>
      <c r="SK99" s="272"/>
      <c r="SL99" s="272"/>
      <c r="SM99" s="272"/>
      <c r="SN99" s="272"/>
      <c r="SO99" s="272"/>
      <c r="SP99" s="272"/>
      <c r="SQ99" s="272"/>
      <c r="SR99" s="272"/>
      <c r="SS99" s="272"/>
      <c r="ST99" s="272"/>
      <c r="SU99" s="272"/>
      <c r="SV99" s="272"/>
      <c r="SW99" s="272"/>
      <c r="SX99" s="272"/>
      <c r="SY99" s="272"/>
      <c r="SZ99" s="272"/>
      <c r="TA99" s="272"/>
      <c r="TB99" s="272"/>
      <c r="TC99" s="272"/>
      <c r="TD99" s="272"/>
      <c r="TE99" s="272"/>
      <c r="TF99" s="272"/>
      <c r="TG99" s="272"/>
      <c r="TH99" s="272"/>
      <c r="TI99" s="272"/>
      <c r="TJ99" s="272"/>
      <c r="TK99" s="272"/>
      <c r="TL99" s="272"/>
      <c r="TM99" s="272"/>
      <c r="TN99" s="272"/>
      <c r="TO99" s="272"/>
      <c r="TP99" s="272"/>
      <c r="TQ99" s="272"/>
      <c r="TR99" s="272"/>
      <c r="TS99" s="272"/>
      <c r="TT99" s="272"/>
      <c r="TU99" s="272"/>
      <c r="TV99" s="272"/>
      <c r="TW99" s="272"/>
      <c r="TX99" s="272"/>
      <c r="TY99" s="272"/>
      <c r="TZ99" s="272"/>
      <c r="UA99" s="272"/>
      <c r="UB99" s="272"/>
      <c r="UC99" s="272"/>
      <c r="UD99" s="272"/>
      <c r="UE99" s="272"/>
      <c r="UF99" s="272"/>
      <c r="UG99" s="272"/>
      <c r="UH99" s="272"/>
      <c r="UI99" s="272"/>
      <c r="UJ99" s="272"/>
      <c r="UK99" s="272"/>
      <c r="UL99" s="272"/>
      <c r="UM99" s="272"/>
      <c r="UN99" s="272"/>
      <c r="UO99" s="272"/>
      <c r="UP99" s="272"/>
      <c r="UQ99" s="272"/>
      <c r="UR99" s="272"/>
      <c r="US99" s="272"/>
      <c r="UT99" s="272"/>
      <c r="UU99" s="272"/>
      <c r="UV99" s="272"/>
      <c r="UW99" s="272"/>
      <c r="UX99" s="272"/>
      <c r="UY99" s="272"/>
      <c r="UZ99" s="272"/>
      <c r="VA99" s="272"/>
      <c r="VB99" s="272"/>
      <c r="VC99" s="272"/>
      <c r="VD99" s="272"/>
      <c r="VE99" s="272"/>
      <c r="VF99" s="272"/>
      <c r="VG99" s="272"/>
      <c r="VH99" s="272"/>
      <c r="VI99" s="272"/>
      <c r="VJ99" s="272"/>
      <c r="VK99" s="272"/>
      <c r="VL99" s="272"/>
      <c r="VM99" s="272"/>
      <c r="VN99" s="272"/>
      <c r="VO99" s="272"/>
      <c r="VP99" s="272"/>
      <c r="VQ99" s="272"/>
      <c r="VR99" s="272"/>
      <c r="VS99" s="272"/>
      <c r="VT99" s="272"/>
      <c r="VU99" s="272"/>
      <c r="VV99" s="272"/>
      <c r="VW99" s="272"/>
      <c r="VX99" s="272"/>
      <c r="VY99" s="272"/>
      <c r="VZ99" s="272"/>
      <c r="WA99" s="272"/>
      <c r="WB99" s="272"/>
      <c r="WC99" s="272"/>
      <c r="WD99" s="272"/>
      <c r="WE99" s="272"/>
      <c r="WF99" s="272"/>
      <c r="WG99" s="272"/>
      <c r="WH99" s="272"/>
      <c r="WI99" s="272"/>
      <c r="WJ99" s="272"/>
      <c r="WK99" s="272"/>
      <c r="WL99" s="272"/>
      <c r="WM99" s="272"/>
      <c r="WN99" s="272"/>
      <c r="WO99" s="272"/>
      <c r="WP99" s="272"/>
      <c r="WQ99" s="272"/>
      <c r="WR99" s="272"/>
      <c r="WS99" s="272"/>
      <c r="WT99" s="272"/>
      <c r="WU99" s="272"/>
      <c r="WV99" s="272"/>
      <c r="WW99" s="272"/>
      <c r="WX99" s="272"/>
      <c r="WY99" s="272"/>
      <c r="WZ99" s="272"/>
      <c r="XA99" s="272"/>
      <c r="XB99" s="272"/>
      <c r="XC99" s="272"/>
      <c r="XD99" s="272"/>
      <c r="XE99" s="272"/>
      <c r="XF99" s="272"/>
      <c r="XG99" s="272"/>
      <c r="XH99" s="272"/>
      <c r="XI99" s="272"/>
      <c r="XJ99" s="272"/>
      <c r="XK99" s="272"/>
      <c r="XL99" s="272"/>
      <c r="XM99" s="272"/>
      <c r="XN99" s="272"/>
      <c r="XO99" s="272"/>
      <c r="XP99" s="272"/>
      <c r="XQ99" s="272"/>
      <c r="XR99" s="272"/>
      <c r="XS99" s="272"/>
      <c r="XT99" s="272"/>
      <c r="XU99" s="272"/>
      <c r="XV99" s="272"/>
      <c r="XW99" s="272"/>
      <c r="XX99" s="272"/>
      <c r="XY99" s="272"/>
      <c r="XZ99" s="272"/>
      <c r="YA99" s="272"/>
      <c r="YB99" s="272"/>
      <c r="YC99" s="272"/>
      <c r="YD99" s="272"/>
      <c r="YE99" s="272"/>
      <c r="YF99" s="272"/>
      <c r="YG99" s="272"/>
      <c r="YH99" s="272"/>
      <c r="YI99" s="272"/>
      <c r="YJ99" s="272"/>
      <c r="YK99" s="272"/>
      <c r="YL99" s="272"/>
      <c r="YM99" s="272"/>
      <c r="YN99" s="272"/>
      <c r="YO99" s="272"/>
      <c r="YP99" s="272"/>
      <c r="YQ99" s="272"/>
      <c r="YR99" s="272"/>
      <c r="YS99" s="272"/>
      <c r="YT99" s="272"/>
      <c r="YU99" s="272"/>
      <c r="YV99" s="272"/>
      <c r="YW99" s="272"/>
      <c r="YX99" s="272"/>
      <c r="YY99" s="272"/>
      <c r="YZ99" s="272"/>
      <c r="ZA99" s="272"/>
      <c r="ZB99" s="272"/>
      <c r="ZC99" s="272"/>
      <c r="ZD99" s="272"/>
      <c r="ZE99" s="272"/>
      <c r="ZF99" s="272"/>
      <c r="ZG99" s="272"/>
      <c r="ZH99" s="272"/>
      <c r="ZI99" s="272"/>
      <c r="ZJ99" s="272"/>
      <c r="ZK99" s="272"/>
      <c r="ZL99" s="272"/>
      <c r="ZM99" s="272"/>
      <c r="ZN99" s="272"/>
      <c r="ZO99" s="272"/>
      <c r="ZP99" s="272"/>
      <c r="ZQ99" s="272"/>
      <c r="ZR99" s="272"/>
      <c r="ZS99" s="272"/>
      <c r="ZT99" s="272"/>
    </row>
    <row r="100" spans="1:696" s="86" customFormat="1" ht="12.75" customHeight="1">
      <c r="A100" s="39"/>
      <c r="B100" s="40"/>
      <c r="C100" s="597"/>
      <c r="D100" s="600"/>
      <c r="E100" s="619"/>
      <c r="F100" s="619"/>
      <c r="G100" s="626"/>
      <c r="H100" s="626"/>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2"/>
      <c r="CC100" s="272"/>
      <c r="CD100" s="272"/>
      <c r="CE100" s="272"/>
      <c r="CF100" s="272"/>
      <c r="CG100" s="272"/>
      <c r="CH100" s="272"/>
      <c r="CI100" s="272"/>
      <c r="CJ100" s="272"/>
      <c r="CK100" s="272"/>
      <c r="CL100" s="27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272"/>
      <c r="DM100" s="272"/>
      <c r="DN100" s="272"/>
      <c r="DO100" s="272"/>
      <c r="DP100" s="272"/>
      <c r="DQ100" s="272"/>
      <c r="DR100" s="272"/>
      <c r="DS100" s="272"/>
      <c r="DT100" s="272"/>
      <c r="DU100" s="272"/>
      <c r="DV100" s="272"/>
      <c r="DW100" s="272"/>
      <c r="DX100" s="272"/>
      <c r="DY100" s="272"/>
      <c r="DZ100" s="272"/>
      <c r="EA100" s="272"/>
      <c r="EB100" s="272"/>
      <c r="EC100" s="272"/>
      <c r="ED100" s="272"/>
      <c r="EE100" s="272"/>
      <c r="EF100" s="272"/>
      <c r="EG100" s="272"/>
      <c r="EH100" s="272"/>
      <c r="EI100" s="272"/>
      <c r="EJ100" s="272"/>
      <c r="EK100" s="272"/>
      <c r="EL100" s="272"/>
      <c r="EM100" s="272"/>
      <c r="EN100" s="272"/>
      <c r="EO100" s="272"/>
      <c r="EP100" s="272"/>
      <c r="EQ100" s="272"/>
      <c r="ER100" s="272"/>
      <c r="ES100" s="272"/>
      <c r="ET100" s="272"/>
      <c r="EU100" s="272"/>
      <c r="EV100" s="272"/>
      <c r="EW100" s="272"/>
      <c r="EX100" s="272"/>
      <c r="EY100" s="272"/>
      <c r="EZ100" s="272"/>
      <c r="FA100" s="272"/>
      <c r="FB100" s="272"/>
      <c r="FC100" s="272"/>
      <c r="FD100" s="272"/>
      <c r="FE100" s="272"/>
      <c r="FF100" s="272"/>
      <c r="FG100" s="272"/>
      <c r="FH100" s="272"/>
      <c r="FI100" s="272"/>
      <c r="FJ100" s="272"/>
      <c r="FK100" s="272"/>
      <c r="FL100" s="272"/>
      <c r="FM100" s="272"/>
      <c r="FN100" s="272"/>
      <c r="FO100" s="272"/>
      <c r="FP100" s="272"/>
      <c r="FQ100" s="272"/>
      <c r="FR100" s="272"/>
      <c r="FS100" s="272"/>
      <c r="FT100" s="272"/>
      <c r="FU100" s="272"/>
      <c r="FV100" s="272"/>
      <c r="FW100" s="272"/>
      <c r="FX100" s="272"/>
      <c r="FY100" s="272"/>
      <c r="FZ100" s="272"/>
      <c r="GA100" s="272"/>
      <c r="GB100" s="272"/>
      <c r="GC100" s="272"/>
      <c r="GD100" s="272"/>
      <c r="GE100" s="272"/>
      <c r="GF100" s="272"/>
      <c r="GG100" s="272"/>
      <c r="GH100" s="272"/>
      <c r="GI100" s="272"/>
      <c r="GJ100" s="272"/>
      <c r="GK100" s="272"/>
      <c r="GL100" s="272"/>
      <c r="GM100" s="272"/>
      <c r="GN100" s="272"/>
      <c r="GO100" s="272"/>
      <c r="GP100" s="272"/>
      <c r="GQ100" s="272"/>
      <c r="GR100" s="272"/>
      <c r="GS100" s="272"/>
      <c r="GT100" s="272"/>
      <c r="GU100" s="272"/>
      <c r="GV100" s="272"/>
      <c r="GW100" s="272"/>
      <c r="GX100" s="272"/>
      <c r="GY100" s="272"/>
      <c r="GZ100" s="272"/>
      <c r="HA100" s="272"/>
      <c r="HB100" s="272"/>
      <c r="HC100" s="272"/>
      <c r="HD100" s="272"/>
      <c r="HE100" s="272"/>
      <c r="HF100" s="272"/>
      <c r="HG100" s="272"/>
      <c r="HH100" s="272"/>
      <c r="HI100" s="272"/>
      <c r="HJ100" s="272"/>
      <c r="HK100" s="272"/>
      <c r="HL100" s="272"/>
      <c r="HM100" s="272"/>
      <c r="HN100" s="272"/>
      <c r="HO100" s="272"/>
      <c r="HP100" s="272"/>
      <c r="HQ100" s="272"/>
      <c r="HR100" s="272"/>
      <c r="HS100" s="272"/>
      <c r="HT100" s="272"/>
      <c r="HU100" s="272"/>
      <c r="HV100" s="272"/>
      <c r="HW100" s="272"/>
      <c r="HX100" s="272"/>
      <c r="HY100" s="272"/>
      <c r="HZ100" s="272"/>
      <c r="IA100" s="272"/>
      <c r="IB100" s="272"/>
      <c r="IC100" s="272"/>
      <c r="ID100" s="272"/>
      <c r="IE100" s="272"/>
      <c r="IF100" s="272"/>
      <c r="IG100" s="272"/>
      <c r="IH100" s="272"/>
      <c r="II100" s="272"/>
      <c r="IJ100" s="272"/>
      <c r="IK100" s="272"/>
      <c r="IL100" s="272"/>
      <c r="IM100" s="272"/>
      <c r="IN100" s="272"/>
      <c r="IO100" s="272"/>
      <c r="IP100" s="272"/>
      <c r="IQ100" s="272"/>
      <c r="IR100" s="272"/>
      <c r="IS100" s="272"/>
      <c r="IT100" s="272"/>
      <c r="IU100" s="272"/>
      <c r="IV100" s="272"/>
      <c r="IW100" s="272"/>
      <c r="IX100" s="272"/>
      <c r="IY100" s="272"/>
      <c r="IZ100" s="272"/>
      <c r="JA100" s="272"/>
      <c r="JB100" s="272"/>
      <c r="JC100" s="272"/>
      <c r="JD100" s="272"/>
      <c r="JE100" s="272"/>
      <c r="JF100" s="272"/>
      <c r="JG100" s="272"/>
      <c r="JH100" s="272"/>
      <c r="JI100" s="272"/>
      <c r="JJ100" s="272"/>
      <c r="JK100" s="272"/>
      <c r="JL100" s="272"/>
      <c r="JM100" s="272"/>
      <c r="JN100" s="272"/>
      <c r="JO100" s="272"/>
      <c r="JP100" s="272"/>
      <c r="JQ100" s="272"/>
      <c r="JR100" s="272"/>
      <c r="JS100" s="272"/>
      <c r="JT100" s="272"/>
      <c r="JU100" s="272"/>
      <c r="JV100" s="272"/>
      <c r="JW100" s="272"/>
      <c r="JX100" s="272"/>
      <c r="JY100" s="272"/>
      <c r="JZ100" s="272"/>
      <c r="KA100" s="272"/>
      <c r="KB100" s="272"/>
      <c r="KC100" s="272"/>
      <c r="KD100" s="272"/>
      <c r="KE100" s="272"/>
      <c r="KF100" s="272"/>
      <c r="KG100" s="272"/>
      <c r="KH100" s="272"/>
      <c r="KI100" s="272"/>
      <c r="KJ100" s="272"/>
      <c r="KK100" s="272"/>
      <c r="KL100" s="272"/>
      <c r="KM100" s="272"/>
      <c r="KN100" s="272"/>
      <c r="KO100" s="272"/>
      <c r="KP100" s="272"/>
      <c r="KQ100" s="272"/>
      <c r="KR100" s="272"/>
      <c r="KS100" s="272"/>
      <c r="KT100" s="272"/>
      <c r="KU100" s="272"/>
      <c r="KV100" s="272"/>
      <c r="KW100" s="272"/>
      <c r="KX100" s="272"/>
      <c r="KY100" s="272"/>
      <c r="KZ100" s="272"/>
      <c r="LA100" s="272"/>
      <c r="LB100" s="272"/>
      <c r="LC100" s="272"/>
      <c r="LD100" s="272"/>
      <c r="LE100" s="272"/>
      <c r="LF100" s="272"/>
      <c r="LG100" s="272"/>
      <c r="LH100" s="272"/>
      <c r="LI100" s="272"/>
      <c r="LJ100" s="272"/>
      <c r="LK100" s="272"/>
      <c r="LL100" s="272"/>
      <c r="LM100" s="272"/>
      <c r="LN100" s="272"/>
      <c r="LO100" s="272"/>
      <c r="LP100" s="272"/>
      <c r="LQ100" s="272"/>
      <c r="LR100" s="272"/>
      <c r="LS100" s="272"/>
      <c r="LT100" s="272"/>
      <c r="LU100" s="272"/>
      <c r="LV100" s="272"/>
      <c r="LW100" s="272"/>
      <c r="LX100" s="272"/>
      <c r="LY100" s="272"/>
      <c r="LZ100" s="272"/>
      <c r="MA100" s="272"/>
      <c r="MB100" s="272"/>
      <c r="MC100" s="272"/>
      <c r="MD100" s="272"/>
      <c r="ME100" s="272"/>
      <c r="MF100" s="272"/>
      <c r="MG100" s="272"/>
      <c r="MH100" s="272"/>
      <c r="MI100" s="272"/>
      <c r="MJ100" s="272"/>
      <c r="MK100" s="272"/>
      <c r="ML100" s="272"/>
      <c r="MM100" s="272"/>
      <c r="MN100" s="272"/>
      <c r="MO100" s="272"/>
      <c r="MP100" s="272"/>
      <c r="MQ100" s="272"/>
      <c r="MR100" s="272"/>
      <c r="MS100" s="272"/>
      <c r="MT100" s="272"/>
      <c r="MU100" s="272"/>
      <c r="MV100" s="272"/>
      <c r="MW100" s="272"/>
      <c r="MX100" s="272"/>
      <c r="MY100" s="272"/>
      <c r="MZ100" s="272"/>
      <c r="NA100" s="272"/>
      <c r="NB100" s="272"/>
      <c r="NC100" s="272"/>
      <c r="ND100" s="272"/>
      <c r="NE100" s="272"/>
      <c r="NF100" s="272"/>
      <c r="NG100" s="272"/>
      <c r="NH100" s="272"/>
      <c r="NI100" s="272"/>
      <c r="NJ100" s="272"/>
      <c r="NK100" s="272"/>
      <c r="NL100" s="272"/>
      <c r="NM100" s="272"/>
      <c r="NN100" s="272"/>
      <c r="NO100" s="272"/>
      <c r="NP100" s="272"/>
      <c r="NQ100" s="272"/>
      <c r="NR100" s="272"/>
      <c r="NS100" s="272"/>
      <c r="NT100" s="272"/>
      <c r="NU100" s="272"/>
      <c r="NV100" s="272"/>
      <c r="NW100" s="272"/>
      <c r="NX100" s="272"/>
      <c r="NY100" s="272"/>
      <c r="NZ100" s="272"/>
      <c r="OA100" s="272"/>
      <c r="OB100" s="272"/>
      <c r="OC100" s="272"/>
      <c r="OD100" s="272"/>
      <c r="OE100" s="272"/>
      <c r="OF100" s="272"/>
      <c r="OG100" s="272"/>
      <c r="OH100" s="272"/>
      <c r="OI100" s="272"/>
      <c r="OJ100" s="272"/>
      <c r="OK100" s="272"/>
      <c r="OL100" s="272"/>
      <c r="OM100" s="272"/>
      <c r="ON100" s="272"/>
      <c r="OO100" s="272"/>
      <c r="OP100" s="272"/>
      <c r="OQ100" s="272"/>
      <c r="OR100" s="272"/>
      <c r="OS100" s="272"/>
      <c r="OT100" s="272"/>
      <c r="OU100" s="272"/>
      <c r="OV100" s="272"/>
      <c r="OW100" s="272"/>
      <c r="OX100" s="272"/>
      <c r="OY100" s="272"/>
      <c r="OZ100" s="272"/>
      <c r="PA100" s="272"/>
      <c r="PB100" s="272"/>
      <c r="PC100" s="272"/>
      <c r="PD100" s="272"/>
      <c r="PE100" s="272"/>
      <c r="PF100" s="272"/>
      <c r="PG100" s="272"/>
      <c r="PH100" s="272"/>
      <c r="PI100" s="272"/>
      <c r="PJ100" s="272"/>
      <c r="PK100" s="272"/>
      <c r="PL100" s="272"/>
      <c r="PM100" s="272"/>
      <c r="PN100" s="272"/>
      <c r="PO100" s="272"/>
      <c r="PP100" s="272"/>
      <c r="PQ100" s="272"/>
      <c r="PR100" s="272"/>
      <c r="PS100" s="272"/>
      <c r="PT100" s="272"/>
      <c r="PU100" s="272"/>
      <c r="PV100" s="272"/>
      <c r="PW100" s="272"/>
      <c r="PX100" s="272"/>
      <c r="PY100" s="272"/>
      <c r="PZ100" s="272"/>
      <c r="QA100" s="272"/>
      <c r="QB100" s="272"/>
      <c r="QC100" s="272"/>
      <c r="QD100" s="272"/>
      <c r="QE100" s="272"/>
      <c r="QF100" s="272"/>
      <c r="QG100" s="272"/>
      <c r="QH100" s="272"/>
      <c r="QI100" s="272"/>
      <c r="QJ100" s="272"/>
      <c r="QK100" s="272"/>
      <c r="QL100" s="272"/>
      <c r="QM100" s="272"/>
      <c r="QN100" s="272"/>
      <c r="QO100" s="272"/>
      <c r="QP100" s="272"/>
      <c r="QQ100" s="272"/>
      <c r="QR100" s="272"/>
      <c r="QS100" s="272"/>
      <c r="QT100" s="272"/>
      <c r="QU100" s="272"/>
      <c r="QV100" s="272"/>
      <c r="QW100" s="272"/>
      <c r="QX100" s="272"/>
      <c r="QY100" s="272"/>
      <c r="QZ100" s="272"/>
      <c r="RA100" s="272"/>
      <c r="RB100" s="272"/>
      <c r="RC100" s="272"/>
      <c r="RD100" s="272"/>
      <c r="RE100" s="272"/>
      <c r="RF100" s="272"/>
      <c r="RG100" s="272"/>
      <c r="RH100" s="272"/>
      <c r="RI100" s="272"/>
      <c r="RJ100" s="272"/>
      <c r="RK100" s="272"/>
      <c r="RL100" s="272"/>
      <c r="RM100" s="272"/>
      <c r="RN100" s="272"/>
      <c r="RO100" s="272"/>
      <c r="RP100" s="272"/>
      <c r="RQ100" s="272"/>
      <c r="RR100" s="272"/>
      <c r="RS100" s="272"/>
      <c r="RT100" s="272"/>
      <c r="RU100" s="272"/>
      <c r="RV100" s="272"/>
      <c r="RW100" s="272"/>
      <c r="RX100" s="272"/>
      <c r="RY100" s="272"/>
      <c r="RZ100" s="272"/>
      <c r="SA100" s="272"/>
      <c r="SB100" s="272"/>
      <c r="SC100" s="272"/>
      <c r="SD100" s="272"/>
      <c r="SE100" s="272"/>
      <c r="SF100" s="272"/>
      <c r="SG100" s="272"/>
      <c r="SH100" s="272"/>
      <c r="SI100" s="272"/>
      <c r="SJ100" s="272"/>
      <c r="SK100" s="272"/>
      <c r="SL100" s="272"/>
      <c r="SM100" s="272"/>
      <c r="SN100" s="272"/>
      <c r="SO100" s="272"/>
      <c r="SP100" s="272"/>
      <c r="SQ100" s="272"/>
      <c r="SR100" s="272"/>
      <c r="SS100" s="272"/>
      <c r="ST100" s="272"/>
      <c r="SU100" s="272"/>
      <c r="SV100" s="272"/>
      <c r="SW100" s="272"/>
      <c r="SX100" s="272"/>
      <c r="SY100" s="272"/>
      <c r="SZ100" s="272"/>
      <c r="TA100" s="272"/>
      <c r="TB100" s="272"/>
      <c r="TC100" s="272"/>
      <c r="TD100" s="272"/>
      <c r="TE100" s="272"/>
      <c r="TF100" s="272"/>
      <c r="TG100" s="272"/>
      <c r="TH100" s="272"/>
      <c r="TI100" s="272"/>
      <c r="TJ100" s="272"/>
      <c r="TK100" s="272"/>
      <c r="TL100" s="272"/>
      <c r="TM100" s="272"/>
      <c r="TN100" s="272"/>
      <c r="TO100" s="272"/>
      <c r="TP100" s="272"/>
      <c r="TQ100" s="272"/>
      <c r="TR100" s="272"/>
      <c r="TS100" s="272"/>
      <c r="TT100" s="272"/>
      <c r="TU100" s="272"/>
      <c r="TV100" s="272"/>
      <c r="TW100" s="272"/>
      <c r="TX100" s="272"/>
      <c r="TY100" s="272"/>
      <c r="TZ100" s="272"/>
      <c r="UA100" s="272"/>
      <c r="UB100" s="272"/>
      <c r="UC100" s="272"/>
      <c r="UD100" s="272"/>
      <c r="UE100" s="272"/>
      <c r="UF100" s="272"/>
      <c r="UG100" s="272"/>
      <c r="UH100" s="272"/>
      <c r="UI100" s="272"/>
      <c r="UJ100" s="272"/>
      <c r="UK100" s="272"/>
      <c r="UL100" s="272"/>
      <c r="UM100" s="272"/>
      <c r="UN100" s="272"/>
      <c r="UO100" s="272"/>
      <c r="UP100" s="272"/>
      <c r="UQ100" s="272"/>
      <c r="UR100" s="272"/>
      <c r="US100" s="272"/>
      <c r="UT100" s="272"/>
      <c r="UU100" s="272"/>
      <c r="UV100" s="272"/>
      <c r="UW100" s="272"/>
      <c r="UX100" s="272"/>
      <c r="UY100" s="272"/>
      <c r="UZ100" s="272"/>
      <c r="VA100" s="272"/>
      <c r="VB100" s="272"/>
      <c r="VC100" s="272"/>
      <c r="VD100" s="272"/>
      <c r="VE100" s="272"/>
      <c r="VF100" s="272"/>
      <c r="VG100" s="272"/>
      <c r="VH100" s="272"/>
      <c r="VI100" s="272"/>
      <c r="VJ100" s="272"/>
      <c r="VK100" s="272"/>
      <c r="VL100" s="272"/>
      <c r="VM100" s="272"/>
      <c r="VN100" s="272"/>
      <c r="VO100" s="272"/>
      <c r="VP100" s="272"/>
      <c r="VQ100" s="272"/>
      <c r="VR100" s="272"/>
      <c r="VS100" s="272"/>
      <c r="VT100" s="272"/>
      <c r="VU100" s="272"/>
      <c r="VV100" s="272"/>
      <c r="VW100" s="272"/>
      <c r="VX100" s="272"/>
      <c r="VY100" s="272"/>
      <c r="VZ100" s="272"/>
      <c r="WA100" s="272"/>
      <c r="WB100" s="272"/>
      <c r="WC100" s="272"/>
      <c r="WD100" s="272"/>
      <c r="WE100" s="272"/>
      <c r="WF100" s="272"/>
      <c r="WG100" s="272"/>
      <c r="WH100" s="272"/>
      <c r="WI100" s="272"/>
      <c r="WJ100" s="272"/>
      <c r="WK100" s="272"/>
      <c r="WL100" s="272"/>
      <c r="WM100" s="272"/>
      <c r="WN100" s="272"/>
      <c r="WO100" s="272"/>
      <c r="WP100" s="272"/>
      <c r="WQ100" s="272"/>
      <c r="WR100" s="272"/>
      <c r="WS100" s="272"/>
      <c r="WT100" s="272"/>
      <c r="WU100" s="272"/>
      <c r="WV100" s="272"/>
      <c r="WW100" s="272"/>
      <c r="WX100" s="272"/>
      <c r="WY100" s="272"/>
      <c r="WZ100" s="272"/>
      <c r="XA100" s="272"/>
      <c r="XB100" s="272"/>
      <c r="XC100" s="272"/>
      <c r="XD100" s="272"/>
      <c r="XE100" s="272"/>
      <c r="XF100" s="272"/>
      <c r="XG100" s="272"/>
      <c r="XH100" s="272"/>
      <c r="XI100" s="272"/>
      <c r="XJ100" s="272"/>
      <c r="XK100" s="272"/>
      <c r="XL100" s="272"/>
      <c r="XM100" s="272"/>
      <c r="XN100" s="272"/>
      <c r="XO100" s="272"/>
      <c r="XP100" s="272"/>
      <c r="XQ100" s="272"/>
      <c r="XR100" s="272"/>
      <c r="XS100" s="272"/>
      <c r="XT100" s="272"/>
      <c r="XU100" s="272"/>
      <c r="XV100" s="272"/>
      <c r="XW100" s="272"/>
      <c r="XX100" s="272"/>
      <c r="XY100" s="272"/>
      <c r="XZ100" s="272"/>
      <c r="YA100" s="272"/>
      <c r="YB100" s="272"/>
      <c r="YC100" s="272"/>
      <c r="YD100" s="272"/>
      <c r="YE100" s="272"/>
      <c r="YF100" s="272"/>
      <c r="YG100" s="272"/>
      <c r="YH100" s="272"/>
      <c r="YI100" s="272"/>
      <c r="YJ100" s="272"/>
      <c r="YK100" s="272"/>
      <c r="YL100" s="272"/>
      <c r="YM100" s="272"/>
      <c r="YN100" s="272"/>
      <c r="YO100" s="272"/>
      <c r="YP100" s="272"/>
      <c r="YQ100" s="272"/>
      <c r="YR100" s="272"/>
      <c r="YS100" s="272"/>
      <c r="YT100" s="272"/>
      <c r="YU100" s="272"/>
      <c r="YV100" s="272"/>
      <c r="YW100" s="272"/>
      <c r="YX100" s="272"/>
      <c r="YY100" s="272"/>
      <c r="YZ100" s="272"/>
      <c r="ZA100" s="272"/>
      <c r="ZB100" s="272"/>
      <c r="ZC100" s="272"/>
      <c r="ZD100" s="272"/>
      <c r="ZE100" s="272"/>
      <c r="ZF100" s="272"/>
      <c r="ZG100" s="272"/>
      <c r="ZH100" s="272"/>
      <c r="ZI100" s="272"/>
      <c r="ZJ100" s="272"/>
      <c r="ZK100" s="272"/>
      <c r="ZL100" s="272"/>
      <c r="ZM100" s="272"/>
      <c r="ZN100" s="272"/>
      <c r="ZO100" s="272"/>
      <c r="ZP100" s="272"/>
      <c r="ZQ100" s="272"/>
      <c r="ZR100" s="272"/>
      <c r="ZS100" s="272"/>
      <c r="ZT100" s="272"/>
    </row>
    <row r="101" spans="1:696" s="86" customFormat="1" ht="12.75" customHeight="1">
      <c r="A101" s="39"/>
      <c r="B101" s="40"/>
      <c r="C101" s="597"/>
      <c r="D101" s="600"/>
      <c r="E101" s="619"/>
      <c r="F101" s="619"/>
      <c r="G101" s="626"/>
      <c r="H101" s="626"/>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c r="DV101" s="272"/>
      <c r="DW101" s="272"/>
      <c r="DX101" s="272"/>
      <c r="DY101" s="272"/>
      <c r="DZ101" s="272"/>
      <c r="EA101" s="272"/>
      <c r="EB101" s="272"/>
      <c r="EC101" s="272"/>
      <c r="ED101" s="272"/>
      <c r="EE101" s="272"/>
      <c r="EF101" s="272"/>
      <c r="EG101" s="272"/>
      <c r="EH101" s="272"/>
      <c r="EI101" s="272"/>
      <c r="EJ101" s="272"/>
      <c r="EK101" s="272"/>
      <c r="EL101" s="272"/>
      <c r="EM101" s="272"/>
      <c r="EN101" s="272"/>
      <c r="EO101" s="272"/>
      <c r="EP101" s="272"/>
      <c r="EQ101" s="272"/>
      <c r="ER101" s="272"/>
      <c r="ES101" s="272"/>
      <c r="ET101" s="272"/>
      <c r="EU101" s="272"/>
      <c r="EV101" s="272"/>
      <c r="EW101" s="272"/>
      <c r="EX101" s="272"/>
      <c r="EY101" s="272"/>
      <c r="EZ101" s="272"/>
      <c r="FA101" s="272"/>
      <c r="FB101" s="272"/>
      <c r="FC101" s="272"/>
      <c r="FD101" s="272"/>
      <c r="FE101" s="272"/>
      <c r="FF101" s="272"/>
      <c r="FG101" s="272"/>
      <c r="FH101" s="272"/>
      <c r="FI101" s="272"/>
      <c r="FJ101" s="272"/>
      <c r="FK101" s="272"/>
      <c r="FL101" s="272"/>
      <c r="FM101" s="272"/>
      <c r="FN101" s="272"/>
      <c r="FO101" s="272"/>
      <c r="FP101" s="272"/>
      <c r="FQ101" s="272"/>
      <c r="FR101" s="272"/>
      <c r="FS101" s="272"/>
      <c r="FT101" s="272"/>
      <c r="FU101" s="272"/>
      <c r="FV101" s="272"/>
      <c r="FW101" s="272"/>
      <c r="FX101" s="272"/>
      <c r="FY101" s="272"/>
      <c r="FZ101" s="272"/>
      <c r="GA101" s="272"/>
      <c r="GB101" s="272"/>
      <c r="GC101" s="272"/>
      <c r="GD101" s="272"/>
      <c r="GE101" s="272"/>
      <c r="GF101" s="272"/>
      <c r="GG101" s="272"/>
      <c r="GH101" s="272"/>
      <c r="GI101" s="272"/>
      <c r="GJ101" s="272"/>
      <c r="GK101" s="272"/>
      <c r="GL101" s="272"/>
      <c r="GM101" s="272"/>
      <c r="GN101" s="272"/>
      <c r="GO101" s="272"/>
      <c r="GP101" s="272"/>
      <c r="GQ101" s="272"/>
      <c r="GR101" s="272"/>
      <c r="GS101" s="272"/>
      <c r="GT101" s="272"/>
      <c r="GU101" s="272"/>
      <c r="GV101" s="272"/>
      <c r="GW101" s="272"/>
      <c r="GX101" s="272"/>
      <c r="GY101" s="272"/>
      <c r="GZ101" s="272"/>
      <c r="HA101" s="272"/>
      <c r="HB101" s="272"/>
      <c r="HC101" s="272"/>
      <c r="HD101" s="272"/>
      <c r="HE101" s="272"/>
      <c r="HF101" s="272"/>
      <c r="HG101" s="272"/>
      <c r="HH101" s="272"/>
      <c r="HI101" s="272"/>
      <c r="HJ101" s="272"/>
      <c r="HK101" s="272"/>
      <c r="HL101" s="272"/>
      <c r="HM101" s="272"/>
      <c r="HN101" s="272"/>
      <c r="HO101" s="272"/>
      <c r="HP101" s="272"/>
      <c r="HQ101" s="272"/>
      <c r="HR101" s="272"/>
      <c r="HS101" s="272"/>
      <c r="HT101" s="272"/>
      <c r="HU101" s="272"/>
      <c r="HV101" s="272"/>
      <c r="HW101" s="272"/>
      <c r="HX101" s="272"/>
      <c r="HY101" s="272"/>
      <c r="HZ101" s="272"/>
      <c r="IA101" s="272"/>
      <c r="IB101" s="272"/>
      <c r="IC101" s="272"/>
      <c r="ID101" s="272"/>
      <c r="IE101" s="272"/>
      <c r="IF101" s="272"/>
      <c r="IG101" s="272"/>
      <c r="IH101" s="272"/>
      <c r="II101" s="272"/>
      <c r="IJ101" s="272"/>
      <c r="IK101" s="272"/>
      <c r="IL101" s="272"/>
      <c r="IM101" s="272"/>
      <c r="IN101" s="272"/>
      <c r="IO101" s="272"/>
      <c r="IP101" s="272"/>
      <c r="IQ101" s="272"/>
      <c r="IR101" s="272"/>
      <c r="IS101" s="272"/>
      <c r="IT101" s="272"/>
      <c r="IU101" s="272"/>
      <c r="IV101" s="272"/>
      <c r="IW101" s="272"/>
      <c r="IX101" s="272"/>
      <c r="IY101" s="272"/>
      <c r="IZ101" s="272"/>
      <c r="JA101" s="272"/>
      <c r="JB101" s="272"/>
      <c r="JC101" s="272"/>
      <c r="JD101" s="272"/>
      <c r="JE101" s="272"/>
      <c r="JF101" s="272"/>
      <c r="JG101" s="272"/>
      <c r="JH101" s="272"/>
      <c r="JI101" s="272"/>
      <c r="JJ101" s="272"/>
      <c r="JK101" s="272"/>
      <c r="JL101" s="272"/>
      <c r="JM101" s="272"/>
      <c r="JN101" s="272"/>
      <c r="JO101" s="272"/>
      <c r="JP101" s="272"/>
      <c r="JQ101" s="272"/>
      <c r="JR101" s="272"/>
      <c r="JS101" s="272"/>
      <c r="JT101" s="272"/>
      <c r="JU101" s="272"/>
      <c r="JV101" s="272"/>
      <c r="JW101" s="272"/>
      <c r="JX101" s="272"/>
      <c r="JY101" s="272"/>
      <c r="JZ101" s="272"/>
      <c r="KA101" s="272"/>
      <c r="KB101" s="272"/>
      <c r="KC101" s="272"/>
      <c r="KD101" s="272"/>
      <c r="KE101" s="272"/>
      <c r="KF101" s="272"/>
      <c r="KG101" s="272"/>
      <c r="KH101" s="272"/>
      <c r="KI101" s="272"/>
      <c r="KJ101" s="272"/>
      <c r="KK101" s="272"/>
      <c r="KL101" s="272"/>
      <c r="KM101" s="272"/>
      <c r="KN101" s="272"/>
      <c r="KO101" s="272"/>
      <c r="KP101" s="272"/>
      <c r="KQ101" s="272"/>
      <c r="KR101" s="272"/>
      <c r="KS101" s="272"/>
      <c r="KT101" s="272"/>
      <c r="KU101" s="272"/>
      <c r="KV101" s="272"/>
      <c r="KW101" s="272"/>
      <c r="KX101" s="272"/>
      <c r="KY101" s="272"/>
      <c r="KZ101" s="272"/>
      <c r="LA101" s="272"/>
      <c r="LB101" s="272"/>
      <c r="LC101" s="272"/>
      <c r="LD101" s="272"/>
      <c r="LE101" s="272"/>
      <c r="LF101" s="272"/>
      <c r="LG101" s="272"/>
      <c r="LH101" s="272"/>
      <c r="LI101" s="272"/>
      <c r="LJ101" s="272"/>
      <c r="LK101" s="272"/>
      <c r="LL101" s="272"/>
      <c r="LM101" s="272"/>
      <c r="LN101" s="272"/>
      <c r="LO101" s="272"/>
      <c r="LP101" s="272"/>
      <c r="LQ101" s="272"/>
      <c r="LR101" s="272"/>
      <c r="LS101" s="272"/>
      <c r="LT101" s="272"/>
      <c r="LU101" s="272"/>
      <c r="LV101" s="272"/>
      <c r="LW101" s="272"/>
      <c r="LX101" s="272"/>
      <c r="LY101" s="272"/>
      <c r="LZ101" s="272"/>
      <c r="MA101" s="272"/>
      <c r="MB101" s="272"/>
      <c r="MC101" s="272"/>
      <c r="MD101" s="272"/>
      <c r="ME101" s="272"/>
      <c r="MF101" s="272"/>
      <c r="MG101" s="272"/>
      <c r="MH101" s="272"/>
      <c r="MI101" s="272"/>
      <c r="MJ101" s="272"/>
      <c r="MK101" s="272"/>
      <c r="ML101" s="272"/>
      <c r="MM101" s="272"/>
      <c r="MN101" s="272"/>
      <c r="MO101" s="272"/>
      <c r="MP101" s="272"/>
      <c r="MQ101" s="272"/>
      <c r="MR101" s="272"/>
      <c r="MS101" s="272"/>
      <c r="MT101" s="272"/>
      <c r="MU101" s="272"/>
      <c r="MV101" s="272"/>
      <c r="MW101" s="272"/>
      <c r="MX101" s="272"/>
      <c r="MY101" s="272"/>
      <c r="MZ101" s="272"/>
      <c r="NA101" s="272"/>
      <c r="NB101" s="272"/>
      <c r="NC101" s="272"/>
      <c r="ND101" s="272"/>
      <c r="NE101" s="272"/>
      <c r="NF101" s="272"/>
      <c r="NG101" s="272"/>
      <c r="NH101" s="272"/>
      <c r="NI101" s="272"/>
      <c r="NJ101" s="272"/>
      <c r="NK101" s="272"/>
      <c r="NL101" s="272"/>
      <c r="NM101" s="272"/>
      <c r="NN101" s="272"/>
      <c r="NO101" s="272"/>
      <c r="NP101" s="272"/>
      <c r="NQ101" s="272"/>
      <c r="NR101" s="272"/>
      <c r="NS101" s="272"/>
      <c r="NT101" s="272"/>
      <c r="NU101" s="272"/>
      <c r="NV101" s="272"/>
      <c r="NW101" s="272"/>
      <c r="NX101" s="272"/>
      <c r="NY101" s="272"/>
      <c r="NZ101" s="272"/>
      <c r="OA101" s="272"/>
      <c r="OB101" s="272"/>
      <c r="OC101" s="272"/>
      <c r="OD101" s="272"/>
      <c r="OE101" s="272"/>
      <c r="OF101" s="272"/>
      <c r="OG101" s="272"/>
      <c r="OH101" s="272"/>
      <c r="OI101" s="272"/>
      <c r="OJ101" s="272"/>
      <c r="OK101" s="272"/>
      <c r="OL101" s="272"/>
      <c r="OM101" s="272"/>
      <c r="ON101" s="272"/>
      <c r="OO101" s="272"/>
      <c r="OP101" s="272"/>
      <c r="OQ101" s="272"/>
      <c r="OR101" s="272"/>
      <c r="OS101" s="272"/>
      <c r="OT101" s="272"/>
      <c r="OU101" s="272"/>
      <c r="OV101" s="272"/>
      <c r="OW101" s="272"/>
      <c r="OX101" s="272"/>
      <c r="OY101" s="272"/>
      <c r="OZ101" s="272"/>
      <c r="PA101" s="272"/>
      <c r="PB101" s="272"/>
      <c r="PC101" s="272"/>
      <c r="PD101" s="272"/>
      <c r="PE101" s="272"/>
      <c r="PF101" s="272"/>
      <c r="PG101" s="272"/>
      <c r="PH101" s="272"/>
      <c r="PI101" s="272"/>
      <c r="PJ101" s="272"/>
      <c r="PK101" s="272"/>
      <c r="PL101" s="272"/>
      <c r="PM101" s="272"/>
      <c r="PN101" s="272"/>
      <c r="PO101" s="272"/>
      <c r="PP101" s="272"/>
      <c r="PQ101" s="272"/>
      <c r="PR101" s="272"/>
      <c r="PS101" s="272"/>
      <c r="PT101" s="272"/>
      <c r="PU101" s="272"/>
      <c r="PV101" s="272"/>
      <c r="PW101" s="272"/>
      <c r="PX101" s="272"/>
      <c r="PY101" s="272"/>
      <c r="PZ101" s="272"/>
      <c r="QA101" s="272"/>
      <c r="QB101" s="272"/>
      <c r="QC101" s="272"/>
      <c r="QD101" s="272"/>
      <c r="QE101" s="272"/>
      <c r="QF101" s="272"/>
      <c r="QG101" s="272"/>
      <c r="QH101" s="272"/>
      <c r="QI101" s="272"/>
      <c r="QJ101" s="272"/>
      <c r="QK101" s="272"/>
      <c r="QL101" s="272"/>
      <c r="QM101" s="272"/>
      <c r="QN101" s="272"/>
      <c r="QO101" s="272"/>
      <c r="QP101" s="272"/>
      <c r="QQ101" s="272"/>
      <c r="QR101" s="272"/>
      <c r="QS101" s="272"/>
      <c r="QT101" s="272"/>
      <c r="QU101" s="272"/>
      <c r="QV101" s="272"/>
      <c r="QW101" s="272"/>
      <c r="QX101" s="272"/>
      <c r="QY101" s="272"/>
      <c r="QZ101" s="272"/>
      <c r="RA101" s="272"/>
      <c r="RB101" s="272"/>
      <c r="RC101" s="272"/>
      <c r="RD101" s="272"/>
      <c r="RE101" s="272"/>
      <c r="RF101" s="272"/>
      <c r="RG101" s="272"/>
      <c r="RH101" s="272"/>
      <c r="RI101" s="272"/>
      <c r="RJ101" s="272"/>
      <c r="RK101" s="272"/>
      <c r="RL101" s="272"/>
      <c r="RM101" s="272"/>
      <c r="RN101" s="272"/>
      <c r="RO101" s="272"/>
      <c r="RP101" s="272"/>
      <c r="RQ101" s="272"/>
      <c r="RR101" s="272"/>
      <c r="RS101" s="272"/>
      <c r="RT101" s="272"/>
      <c r="RU101" s="272"/>
      <c r="RV101" s="272"/>
      <c r="RW101" s="272"/>
      <c r="RX101" s="272"/>
      <c r="RY101" s="272"/>
      <c r="RZ101" s="272"/>
      <c r="SA101" s="272"/>
      <c r="SB101" s="272"/>
      <c r="SC101" s="272"/>
      <c r="SD101" s="272"/>
      <c r="SE101" s="272"/>
      <c r="SF101" s="272"/>
      <c r="SG101" s="272"/>
      <c r="SH101" s="272"/>
      <c r="SI101" s="272"/>
      <c r="SJ101" s="272"/>
      <c r="SK101" s="272"/>
      <c r="SL101" s="272"/>
      <c r="SM101" s="272"/>
      <c r="SN101" s="272"/>
      <c r="SO101" s="272"/>
      <c r="SP101" s="272"/>
      <c r="SQ101" s="272"/>
      <c r="SR101" s="272"/>
      <c r="SS101" s="272"/>
      <c r="ST101" s="272"/>
      <c r="SU101" s="272"/>
      <c r="SV101" s="272"/>
      <c r="SW101" s="272"/>
      <c r="SX101" s="272"/>
      <c r="SY101" s="272"/>
      <c r="SZ101" s="272"/>
      <c r="TA101" s="272"/>
      <c r="TB101" s="272"/>
      <c r="TC101" s="272"/>
      <c r="TD101" s="272"/>
      <c r="TE101" s="272"/>
      <c r="TF101" s="272"/>
      <c r="TG101" s="272"/>
      <c r="TH101" s="272"/>
      <c r="TI101" s="272"/>
      <c r="TJ101" s="272"/>
      <c r="TK101" s="272"/>
      <c r="TL101" s="272"/>
      <c r="TM101" s="272"/>
      <c r="TN101" s="272"/>
      <c r="TO101" s="272"/>
      <c r="TP101" s="272"/>
      <c r="TQ101" s="272"/>
      <c r="TR101" s="272"/>
      <c r="TS101" s="272"/>
      <c r="TT101" s="272"/>
      <c r="TU101" s="272"/>
      <c r="TV101" s="272"/>
      <c r="TW101" s="272"/>
      <c r="TX101" s="272"/>
      <c r="TY101" s="272"/>
      <c r="TZ101" s="272"/>
      <c r="UA101" s="272"/>
      <c r="UB101" s="272"/>
      <c r="UC101" s="272"/>
      <c r="UD101" s="272"/>
      <c r="UE101" s="272"/>
      <c r="UF101" s="272"/>
      <c r="UG101" s="272"/>
      <c r="UH101" s="272"/>
      <c r="UI101" s="272"/>
      <c r="UJ101" s="272"/>
      <c r="UK101" s="272"/>
      <c r="UL101" s="272"/>
      <c r="UM101" s="272"/>
      <c r="UN101" s="272"/>
      <c r="UO101" s="272"/>
      <c r="UP101" s="272"/>
      <c r="UQ101" s="272"/>
      <c r="UR101" s="272"/>
      <c r="US101" s="272"/>
      <c r="UT101" s="272"/>
      <c r="UU101" s="272"/>
      <c r="UV101" s="272"/>
      <c r="UW101" s="272"/>
      <c r="UX101" s="272"/>
      <c r="UY101" s="272"/>
      <c r="UZ101" s="272"/>
      <c r="VA101" s="272"/>
      <c r="VB101" s="272"/>
      <c r="VC101" s="272"/>
      <c r="VD101" s="272"/>
      <c r="VE101" s="272"/>
      <c r="VF101" s="272"/>
      <c r="VG101" s="272"/>
      <c r="VH101" s="272"/>
      <c r="VI101" s="272"/>
      <c r="VJ101" s="272"/>
      <c r="VK101" s="272"/>
      <c r="VL101" s="272"/>
      <c r="VM101" s="272"/>
      <c r="VN101" s="272"/>
      <c r="VO101" s="272"/>
      <c r="VP101" s="272"/>
      <c r="VQ101" s="272"/>
      <c r="VR101" s="272"/>
      <c r="VS101" s="272"/>
      <c r="VT101" s="272"/>
      <c r="VU101" s="272"/>
      <c r="VV101" s="272"/>
      <c r="VW101" s="272"/>
      <c r="VX101" s="272"/>
      <c r="VY101" s="272"/>
      <c r="VZ101" s="272"/>
      <c r="WA101" s="272"/>
      <c r="WB101" s="272"/>
      <c r="WC101" s="272"/>
      <c r="WD101" s="272"/>
      <c r="WE101" s="272"/>
      <c r="WF101" s="272"/>
      <c r="WG101" s="272"/>
      <c r="WH101" s="272"/>
      <c r="WI101" s="272"/>
      <c r="WJ101" s="272"/>
      <c r="WK101" s="272"/>
      <c r="WL101" s="272"/>
      <c r="WM101" s="272"/>
      <c r="WN101" s="272"/>
      <c r="WO101" s="272"/>
      <c r="WP101" s="272"/>
      <c r="WQ101" s="272"/>
      <c r="WR101" s="272"/>
      <c r="WS101" s="272"/>
      <c r="WT101" s="272"/>
      <c r="WU101" s="272"/>
      <c r="WV101" s="272"/>
      <c r="WW101" s="272"/>
      <c r="WX101" s="272"/>
      <c r="WY101" s="272"/>
      <c r="WZ101" s="272"/>
      <c r="XA101" s="272"/>
      <c r="XB101" s="272"/>
      <c r="XC101" s="272"/>
      <c r="XD101" s="272"/>
      <c r="XE101" s="272"/>
      <c r="XF101" s="272"/>
      <c r="XG101" s="272"/>
      <c r="XH101" s="272"/>
      <c r="XI101" s="272"/>
      <c r="XJ101" s="272"/>
      <c r="XK101" s="272"/>
      <c r="XL101" s="272"/>
      <c r="XM101" s="272"/>
      <c r="XN101" s="272"/>
      <c r="XO101" s="272"/>
      <c r="XP101" s="272"/>
      <c r="XQ101" s="272"/>
      <c r="XR101" s="272"/>
      <c r="XS101" s="272"/>
      <c r="XT101" s="272"/>
      <c r="XU101" s="272"/>
      <c r="XV101" s="272"/>
      <c r="XW101" s="272"/>
      <c r="XX101" s="272"/>
      <c r="XY101" s="272"/>
      <c r="XZ101" s="272"/>
      <c r="YA101" s="272"/>
      <c r="YB101" s="272"/>
      <c r="YC101" s="272"/>
      <c r="YD101" s="272"/>
      <c r="YE101" s="272"/>
      <c r="YF101" s="272"/>
      <c r="YG101" s="272"/>
      <c r="YH101" s="272"/>
      <c r="YI101" s="272"/>
      <c r="YJ101" s="272"/>
      <c r="YK101" s="272"/>
      <c r="YL101" s="272"/>
      <c r="YM101" s="272"/>
      <c r="YN101" s="272"/>
      <c r="YO101" s="272"/>
      <c r="YP101" s="272"/>
      <c r="YQ101" s="272"/>
      <c r="YR101" s="272"/>
      <c r="YS101" s="272"/>
      <c r="YT101" s="272"/>
      <c r="YU101" s="272"/>
      <c r="YV101" s="272"/>
      <c r="YW101" s="272"/>
      <c r="YX101" s="272"/>
      <c r="YY101" s="272"/>
      <c r="YZ101" s="272"/>
      <c r="ZA101" s="272"/>
      <c r="ZB101" s="272"/>
      <c r="ZC101" s="272"/>
      <c r="ZD101" s="272"/>
      <c r="ZE101" s="272"/>
      <c r="ZF101" s="272"/>
      <c r="ZG101" s="272"/>
      <c r="ZH101" s="272"/>
      <c r="ZI101" s="272"/>
      <c r="ZJ101" s="272"/>
      <c r="ZK101" s="272"/>
      <c r="ZL101" s="272"/>
      <c r="ZM101" s="272"/>
      <c r="ZN101" s="272"/>
      <c r="ZO101" s="272"/>
      <c r="ZP101" s="272"/>
      <c r="ZQ101" s="272"/>
      <c r="ZR101" s="272"/>
      <c r="ZS101" s="272"/>
      <c r="ZT101" s="272"/>
    </row>
    <row r="102" spans="1:696" s="86" customFormat="1" ht="12.75" customHeight="1">
      <c r="A102" s="39"/>
      <c r="B102" s="40"/>
      <c r="C102" s="597"/>
      <c r="D102" s="600"/>
      <c r="E102" s="619"/>
      <c r="F102" s="619"/>
      <c r="G102" s="626"/>
      <c r="H102" s="626"/>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272"/>
      <c r="DS102" s="272"/>
      <c r="DT102" s="272"/>
      <c r="DU102" s="272"/>
      <c r="DV102" s="272"/>
      <c r="DW102" s="272"/>
      <c r="DX102" s="272"/>
      <c r="DY102" s="272"/>
      <c r="DZ102" s="272"/>
      <c r="EA102" s="272"/>
      <c r="EB102" s="272"/>
      <c r="EC102" s="272"/>
      <c r="ED102" s="272"/>
      <c r="EE102" s="272"/>
      <c r="EF102" s="272"/>
      <c r="EG102" s="272"/>
      <c r="EH102" s="272"/>
      <c r="EI102" s="272"/>
      <c r="EJ102" s="272"/>
      <c r="EK102" s="272"/>
      <c r="EL102" s="272"/>
      <c r="EM102" s="272"/>
      <c r="EN102" s="272"/>
      <c r="EO102" s="272"/>
      <c r="EP102" s="272"/>
      <c r="EQ102" s="272"/>
      <c r="ER102" s="272"/>
      <c r="ES102" s="272"/>
      <c r="ET102" s="272"/>
      <c r="EU102" s="272"/>
      <c r="EV102" s="272"/>
      <c r="EW102" s="272"/>
      <c r="EX102" s="272"/>
      <c r="EY102" s="272"/>
      <c r="EZ102" s="272"/>
      <c r="FA102" s="272"/>
      <c r="FB102" s="272"/>
      <c r="FC102" s="272"/>
      <c r="FD102" s="272"/>
      <c r="FE102" s="272"/>
      <c r="FF102" s="272"/>
      <c r="FG102" s="272"/>
      <c r="FH102" s="272"/>
      <c r="FI102" s="272"/>
      <c r="FJ102" s="272"/>
      <c r="FK102" s="272"/>
      <c r="FL102" s="272"/>
      <c r="FM102" s="272"/>
      <c r="FN102" s="272"/>
      <c r="FO102" s="272"/>
      <c r="FP102" s="272"/>
      <c r="FQ102" s="272"/>
      <c r="FR102" s="272"/>
      <c r="FS102" s="272"/>
      <c r="FT102" s="272"/>
      <c r="FU102" s="272"/>
      <c r="FV102" s="272"/>
      <c r="FW102" s="272"/>
      <c r="FX102" s="272"/>
      <c r="FY102" s="272"/>
      <c r="FZ102" s="272"/>
      <c r="GA102" s="272"/>
      <c r="GB102" s="272"/>
      <c r="GC102" s="272"/>
      <c r="GD102" s="272"/>
      <c r="GE102" s="272"/>
      <c r="GF102" s="272"/>
      <c r="GG102" s="272"/>
      <c r="GH102" s="272"/>
      <c r="GI102" s="272"/>
      <c r="GJ102" s="272"/>
      <c r="GK102" s="272"/>
      <c r="GL102" s="272"/>
      <c r="GM102" s="272"/>
      <c r="GN102" s="272"/>
      <c r="GO102" s="272"/>
      <c r="GP102" s="272"/>
      <c r="GQ102" s="272"/>
      <c r="GR102" s="272"/>
      <c r="GS102" s="272"/>
      <c r="GT102" s="272"/>
      <c r="GU102" s="272"/>
      <c r="GV102" s="272"/>
      <c r="GW102" s="272"/>
      <c r="GX102" s="272"/>
      <c r="GY102" s="272"/>
      <c r="GZ102" s="272"/>
      <c r="HA102" s="272"/>
      <c r="HB102" s="272"/>
      <c r="HC102" s="272"/>
      <c r="HD102" s="272"/>
      <c r="HE102" s="272"/>
      <c r="HF102" s="272"/>
      <c r="HG102" s="272"/>
      <c r="HH102" s="272"/>
      <c r="HI102" s="272"/>
      <c r="HJ102" s="272"/>
      <c r="HK102" s="272"/>
      <c r="HL102" s="272"/>
      <c r="HM102" s="272"/>
      <c r="HN102" s="272"/>
      <c r="HO102" s="272"/>
      <c r="HP102" s="272"/>
      <c r="HQ102" s="272"/>
      <c r="HR102" s="272"/>
      <c r="HS102" s="272"/>
      <c r="HT102" s="272"/>
      <c r="HU102" s="272"/>
      <c r="HV102" s="272"/>
      <c r="HW102" s="272"/>
      <c r="HX102" s="272"/>
      <c r="HY102" s="272"/>
      <c r="HZ102" s="272"/>
      <c r="IA102" s="272"/>
      <c r="IB102" s="272"/>
      <c r="IC102" s="272"/>
      <c r="ID102" s="272"/>
      <c r="IE102" s="272"/>
      <c r="IF102" s="272"/>
      <c r="IG102" s="272"/>
      <c r="IH102" s="272"/>
      <c r="II102" s="272"/>
      <c r="IJ102" s="272"/>
      <c r="IK102" s="272"/>
      <c r="IL102" s="272"/>
      <c r="IM102" s="272"/>
      <c r="IN102" s="272"/>
      <c r="IO102" s="272"/>
      <c r="IP102" s="272"/>
      <c r="IQ102" s="272"/>
      <c r="IR102" s="272"/>
      <c r="IS102" s="272"/>
      <c r="IT102" s="272"/>
      <c r="IU102" s="272"/>
      <c r="IV102" s="272"/>
      <c r="IW102" s="272"/>
      <c r="IX102" s="272"/>
      <c r="IY102" s="272"/>
      <c r="IZ102" s="272"/>
      <c r="JA102" s="272"/>
      <c r="JB102" s="272"/>
      <c r="JC102" s="272"/>
      <c r="JD102" s="272"/>
      <c r="JE102" s="272"/>
      <c r="JF102" s="272"/>
      <c r="JG102" s="272"/>
      <c r="JH102" s="272"/>
      <c r="JI102" s="272"/>
      <c r="JJ102" s="272"/>
      <c r="JK102" s="272"/>
      <c r="JL102" s="272"/>
      <c r="JM102" s="272"/>
      <c r="JN102" s="272"/>
      <c r="JO102" s="272"/>
      <c r="JP102" s="272"/>
      <c r="JQ102" s="272"/>
      <c r="JR102" s="272"/>
      <c r="JS102" s="272"/>
      <c r="JT102" s="272"/>
      <c r="JU102" s="272"/>
      <c r="JV102" s="272"/>
      <c r="JW102" s="272"/>
      <c r="JX102" s="272"/>
      <c r="JY102" s="272"/>
      <c r="JZ102" s="272"/>
      <c r="KA102" s="272"/>
      <c r="KB102" s="272"/>
      <c r="KC102" s="272"/>
      <c r="KD102" s="272"/>
      <c r="KE102" s="272"/>
      <c r="KF102" s="272"/>
      <c r="KG102" s="272"/>
      <c r="KH102" s="272"/>
      <c r="KI102" s="272"/>
      <c r="KJ102" s="272"/>
      <c r="KK102" s="272"/>
      <c r="KL102" s="272"/>
      <c r="KM102" s="272"/>
      <c r="KN102" s="272"/>
      <c r="KO102" s="272"/>
      <c r="KP102" s="272"/>
      <c r="KQ102" s="272"/>
      <c r="KR102" s="272"/>
      <c r="KS102" s="272"/>
      <c r="KT102" s="272"/>
      <c r="KU102" s="272"/>
      <c r="KV102" s="272"/>
      <c r="KW102" s="272"/>
      <c r="KX102" s="272"/>
      <c r="KY102" s="272"/>
      <c r="KZ102" s="272"/>
      <c r="LA102" s="272"/>
      <c r="LB102" s="272"/>
      <c r="LC102" s="272"/>
      <c r="LD102" s="272"/>
      <c r="LE102" s="272"/>
      <c r="LF102" s="272"/>
      <c r="LG102" s="272"/>
      <c r="LH102" s="272"/>
      <c r="LI102" s="272"/>
      <c r="LJ102" s="272"/>
      <c r="LK102" s="272"/>
      <c r="LL102" s="272"/>
      <c r="LM102" s="272"/>
      <c r="LN102" s="272"/>
      <c r="LO102" s="272"/>
      <c r="LP102" s="272"/>
      <c r="LQ102" s="272"/>
      <c r="LR102" s="272"/>
      <c r="LS102" s="272"/>
      <c r="LT102" s="272"/>
      <c r="LU102" s="272"/>
      <c r="LV102" s="272"/>
      <c r="LW102" s="272"/>
      <c r="LX102" s="272"/>
      <c r="LY102" s="272"/>
      <c r="LZ102" s="272"/>
      <c r="MA102" s="272"/>
      <c r="MB102" s="272"/>
      <c r="MC102" s="272"/>
      <c r="MD102" s="272"/>
      <c r="ME102" s="272"/>
      <c r="MF102" s="272"/>
      <c r="MG102" s="272"/>
      <c r="MH102" s="272"/>
      <c r="MI102" s="272"/>
      <c r="MJ102" s="272"/>
      <c r="MK102" s="272"/>
      <c r="ML102" s="272"/>
      <c r="MM102" s="272"/>
      <c r="MN102" s="272"/>
      <c r="MO102" s="272"/>
      <c r="MP102" s="272"/>
      <c r="MQ102" s="272"/>
      <c r="MR102" s="272"/>
      <c r="MS102" s="272"/>
      <c r="MT102" s="272"/>
      <c r="MU102" s="272"/>
      <c r="MV102" s="272"/>
      <c r="MW102" s="272"/>
      <c r="MX102" s="272"/>
      <c r="MY102" s="272"/>
      <c r="MZ102" s="272"/>
      <c r="NA102" s="272"/>
      <c r="NB102" s="272"/>
      <c r="NC102" s="272"/>
      <c r="ND102" s="272"/>
      <c r="NE102" s="272"/>
      <c r="NF102" s="272"/>
      <c r="NG102" s="272"/>
      <c r="NH102" s="272"/>
      <c r="NI102" s="272"/>
      <c r="NJ102" s="272"/>
      <c r="NK102" s="272"/>
      <c r="NL102" s="272"/>
      <c r="NM102" s="272"/>
      <c r="NN102" s="272"/>
      <c r="NO102" s="272"/>
      <c r="NP102" s="272"/>
      <c r="NQ102" s="272"/>
      <c r="NR102" s="272"/>
      <c r="NS102" s="272"/>
      <c r="NT102" s="272"/>
      <c r="NU102" s="272"/>
      <c r="NV102" s="272"/>
      <c r="NW102" s="272"/>
      <c r="NX102" s="272"/>
      <c r="NY102" s="272"/>
      <c r="NZ102" s="272"/>
      <c r="OA102" s="272"/>
      <c r="OB102" s="272"/>
      <c r="OC102" s="272"/>
      <c r="OD102" s="272"/>
      <c r="OE102" s="272"/>
      <c r="OF102" s="272"/>
      <c r="OG102" s="272"/>
      <c r="OH102" s="272"/>
      <c r="OI102" s="272"/>
      <c r="OJ102" s="272"/>
      <c r="OK102" s="272"/>
      <c r="OL102" s="272"/>
      <c r="OM102" s="272"/>
      <c r="ON102" s="272"/>
      <c r="OO102" s="272"/>
      <c r="OP102" s="272"/>
      <c r="OQ102" s="272"/>
      <c r="OR102" s="272"/>
      <c r="OS102" s="272"/>
      <c r="OT102" s="272"/>
      <c r="OU102" s="272"/>
      <c r="OV102" s="272"/>
      <c r="OW102" s="272"/>
      <c r="OX102" s="272"/>
      <c r="OY102" s="272"/>
      <c r="OZ102" s="272"/>
      <c r="PA102" s="272"/>
      <c r="PB102" s="272"/>
      <c r="PC102" s="272"/>
      <c r="PD102" s="272"/>
      <c r="PE102" s="272"/>
      <c r="PF102" s="272"/>
      <c r="PG102" s="272"/>
      <c r="PH102" s="272"/>
      <c r="PI102" s="272"/>
      <c r="PJ102" s="272"/>
      <c r="PK102" s="272"/>
      <c r="PL102" s="272"/>
      <c r="PM102" s="272"/>
      <c r="PN102" s="272"/>
      <c r="PO102" s="272"/>
      <c r="PP102" s="272"/>
      <c r="PQ102" s="272"/>
      <c r="PR102" s="272"/>
      <c r="PS102" s="272"/>
      <c r="PT102" s="272"/>
      <c r="PU102" s="272"/>
      <c r="PV102" s="272"/>
      <c r="PW102" s="272"/>
      <c r="PX102" s="272"/>
      <c r="PY102" s="272"/>
      <c r="PZ102" s="272"/>
      <c r="QA102" s="272"/>
      <c r="QB102" s="272"/>
      <c r="QC102" s="272"/>
      <c r="QD102" s="272"/>
      <c r="QE102" s="272"/>
      <c r="QF102" s="272"/>
      <c r="QG102" s="272"/>
      <c r="QH102" s="272"/>
      <c r="QI102" s="272"/>
      <c r="QJ102" s="272"/>
      <c r="QK102" s="272"/>
      <c r="QL102" s="272"/>
      <c r="QM102" s="272"/>
      <c r="QN102" s="272"/>
      <c r="QO102" s="272"/>
      <c r="QP102" s="272"/>
      <c r="QQ102" s="272"/>
      <c r="QR102" s="272"/>
      <c r="QS102" s="272"/>
      <c r="QT102" s="272"/>
      <c r="QU102" s="272"/>
      <c r="QV102" s="272"/>
      <c r="QW102" s="272"/>
      <c r="QX102" s="272"/>
      <c r="QY102" s="272"/>
      <c r="QZ102" s="272"/>
      <c r="RA102" s="272"/>
      <c r="RB102" s="272"/>
      <c r="RC102" s="272"/>
      <c r="RD102" s="272"/>
      <c r="RE102" s="272"/>
      <c r="RF102" s="272"/>
      <c r="RG102" s="272"/>
      <c r="RH102" s="272"/>
      <c r="RI102" s="272"/>
      <c r="RJ102" s="272"/>
      <c r="RK102" s="272"/>
      <c r="RL102" s="272"/>
      <c r="RM102" s="272"/>
      <c r="RN102" s="272"/>
      <c r="RO102" s="272"/>
      <c r="RP102" s="272"/>
      <c r="RQ102" s="272"/>
      <c r="RR102" s="272"/>
      <c r="RS102" s="272"/>
      <c r="RT102" s="272"/>
      <c r="RU102" s="272"/>
      <c r="RV102" s="272"/>
      <c r="RW102" s="272"/>
      <c r="RX102" s="272"/>
      <c r="RY102" s="272"/>
      <c r="RZ102" s="272"/>
      <c r="SA102" s="272"/>
      <c r="SB102" s="272"/>
      <c r="SC102" s="272"/>
      <c r="SD102" s="272"/>
      <c r="SE102" s="272"/>
      <c r="SF102" s="272"/>
      <c r="SG102" s="272"/>
      <c r="SH102" s="272"/>
      <c r="SI102" s="272"/>
      <c r="SJ102" s="272"/>
      <c r="SK102" s="272"/>
      <c r="SL102" s="272"/>
      <c r="SM102" s="272"/>
      <c r="SN102" s="272"/>
      <c r="SO102" s="272"/>
      <c r="SP102" s="272"/>
      <c r="SQ102" s="272"/>
      <c r="SR102" s="272"/>
      <c r="SS102" s="272"/>
      <c r="ST102" s="272"/>
      <c r="SU102" s="272"/>
      <c r="SV102" s="272"/>
      <c r="SW102" s="272"/>
      <c r="SX102" s="272"/>
      <c r="SY102" s="272"/>
      <c r="SZ102" s="272"/>
      <c r="TA102" s="272"/>
      <c r="TB102" s="272"/>
      <c r="TC102" s="272"/>
      <c r="TD102" s="272"/>
      <c r="TE102" s="272"/>
      <c r="TF102" s="272"/>
      <c r="TG102" s="272"/>
      <c r="TH102" s="272"/>
      <c r="TI102" s="272"/>
      <c r="TJ102" s="272"/>
      <c r="TK102" s="272"/>
      <c r="TL102" s="272"/>
      <c r="TM102" s="272"/>
      <c r="TN102" s="272"/>
      <c r="TO102" s="272"/>
      <c r="TP102" s="272"/>
      <c r="TQ102" s="272"/>
      <c r="TR102" s="272"/>
      <c r="TS102" s="272"/>
      <c r="TT102" s="272"/>
      <c r="TU102" s="272"/>
      <c r="TV102" s="272"/>
      <c r="TW102" s="272"/>
      <c r="TX102" s="272"/>
      <c r="TY102" s="272"/>
      <c r="TZ102" s="272"/>
      <c r="UA102" s="272"/>
      <c r="UB102" s="272"/>
      <c r="UC102" s="272"/>
      <c r="UD102" s="272"/>
      <c r="UE102" s="272"/>
      <c r="UF102" s="272"/>
      <c r="UG102" s="272"/>
      <c r="UH102" s="272"/>
      <c r="UI102" s="272"/>
      <c r="UJ102" s="272"/>
      <c r="UK102" s="272"/>
      <c r="UL102" s="272"/>
      <c r="UM102" s="272"/>
      <c r="UN102" s="272"/>
      <c r="UO102" s="272"/>
      <c r="UP102" s="272"/>
      <c r="UQ102" s="272"/>
      <c r="UR102" s="272"/>
      <c r="US102" s="272"/>
      <c r="UT102" s="272"/>
      <c r="UU102" s="272"/>
      <c r="UV102" s="272"/>
      <c r="UW102" s="272"/>
      <c r="UX102" s="272"/>
      <c r="UY102" s="272"/>
      <c r="UZ102" s="272"/>
      <c r="VA102" s="272"/>
      <c r="VB102" s="272"/>
      <c r="VC102" s="272"/>
      <c r="VD102" s="272"/>
      <c r="VE102" s="272"/>
      <c r="VF102" s="272"/>
      <c r="VG102" s="272"/>
      <c r="VH102" s="272"/>
      <c r="VI102" s="272"/>
      <c r="VJ102" s="272"/>
      <c r="VK102" s="272"/>
      <c r="VL102" s="272"/>
      <c r="VM102" s="272"/>
      <c r="VN102" s="272"/>
      <c r="VO102" s="272"/>
      <c r="VP102" s="272"/>
      <c r="VQ102" s="272"/>
      <c r="VR102" s="272"/>
      <c r="VS102" s="272"/>
      <c r="VT102" s="272"/>
      <c r="VU102" s="272"/>
      <c r="VV102" s="272"/>
      <c r="VW102" s="272"/>
      <c r="VX102" s="272"/>
      <c r="VY102" s="272"/>
      <c r="VZ102" s="272"/>
      <c r="WA102" s="272"/>
      <c r="WB102" s="272"/>
      <c r="WC102" s="272"/>
      <c r="WD102" s="272"/>
      <c r="WE102" s="272"/>
      <c r="WF102" s="272"/>
      <c r="WG102" s="272"/>
      <c r="WH102" s="272"/>
      <c r="WI102" s="272"/>
      <c r="WJ102" s="272"/>
      <c r="WK102" s="272"/>
      <c r="WL102" s="272"/>
      <c r="WM102" s="272"/>
      <c r="WN102" s="272"/>
      <c r="WO102" s="272"/>
      <c r="WP102" s="272"/>
      <c r="WQ102" s="272"/>
      <c r="WR102" s="272"/>
      <c r="WS102" s="272"/>
      <c r="WT102" s="272"/>
      <c r="WU102" s="272"/>
      <c r="WV102" s="272"/>
      <c r="WW102" s="272"/>
      <c r="WX102" s="272"/>
      <c r="WY102" s="272"/>
      <c r="WZ102" s="272"/>
      <c r="XA102" s="272"/>
      <c r="XB102" s="272"/>
      <c r="XC102" s="272"/>
      <c r="XD102" s="272"/>
      <c r="XE102" s="272"/>
      <c r="XF102" s="272"/>
      <c r="XG102" s="272"/>
      <c r="XH102" s="272"/>
      <c r="XI102" s="272"/>
      <c r="XJ102" s="272"/>
      <c r="XK102" s="272"/>
      <c r="XL102" s="272"/>
      <c r="XM102" s="272"/>
      <c r="XN102" s="272"/>
      <c r="XO102" s="272"/>
      <c r="XP102" s="272"/>
      <c r="XQ102" s="272"/>
      <c r="XR102" s="272"/>
      <c r="XS102" s="272"/>
      <c r="XT102" s="272"/>
      <c r="XU102" s="272"/>
      <c r="XV102" s="272"/>
      <c r="XW102" s="272"/>
      <c r="XX102" s="272"/>
      <c r="XY102" s="272"/>
      <c r="XZ102" s="272"/>
      <c r="YA102" s="272"/>
      <c r="YB102" s="272"/>
      <c r="YC102" s="272"/>
      <c r="YD102" s="272"/>
      <c r="YE102" s="272"/>
      <c r="YF102" s="272"/>
      <c r="YG102" s="272"/>
      <c r="YH102" s="272"/>
      <c r="YI102" s="272"/>
      <c r="YJ102" s="272"/>
      <c r="YK102" s="272"/>
      <c r="YL102" s="272"/>
      <c r="YM102" s="272"/>
      <c r="YN102" s="272"/>
      <c r="YO102" s="272"/>
      <c r="YP102" s="272"/>
      <c r="YQ102" s="272"/>
      <c r="YR102" s="272"/>
      <c r="YS102" s="272"/>
      <c r="YT102" s="272"/>
      <c r="YU102" s="272"/>
      <c r="YV102" s="272"/>
      <c r="YW102" s="272"/>
      <c r="YX102" s="272"/>
      <c r="YY102" s="272"/>
      <c r="YZ102" s="272"/>
      <c r="ZA102" s="272"/>
      <c r="ZB102" s="272"/>
      <c r="ZC102" s="272"/>
      <c r="ZD102" s="272"/>
      <c r="ZE102" s="272"/>
      <c r="ZF102" s="272"/>
      <c r="ZG102" s="272"/>
      <c r="ZH102" s="272"/>
      <c r="ZI102" s="272"/>
      <c r="ZJ102" s="272"/>
      <c r="ZK102" s="272"/>
      <c r="ZL102" s="272"/>
      <c r="ZM102" s="272"/>
      <c r="ZN102" s="272"/>
      <c r="ZO102" s="272"/>
      <c r="ZP102" s="272"/>
      <c r="ZQ102" s="272"/>
      <c r="ZR102" s="272"/>
      <c r="ZS102" s="272"/>
      <c r="ZT102" s="272"/>
    </row>
    <row r="103" spans="1:696" s="86" customFormat="1" ht="12.75" customHeight="1">
      <c r="A103" s="39"/>
      <c r="B103" s="40"/>
      <c r="C103" s="597"/>
      <c r="D103" s="600"/>
      <c r="E103" s="619"/>
      <c r="F103" s="619"/>
      <c r="G103" s="626"/>
      <c r="H103" s="626"/>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2"/>
      <c r="BA103" s="272"/>
      <c r="BB103" s="272"/>
      <c r="BC103" s="272"/>
      <c r="BD103" s="272"/>
      <c r="BE103" s="272"/>
      <c r="BF103" s="272"/>
      <c r="BG103" s="272"/>
      <c r="BH103" s="272"/>
      <c r="BI103" s="272"/>
      <c r="BJ103" s="272"/>
      <c r="BK103" s="272"/>
      <c r="BL103" s="272"/>
      <c r="BM103" s="272"/>
      <c r="BN103" s="272"/>
      <c r="BO103" s="272"/>
      <c r="BP103" s="272"/>
      <c r="BQ103" s="272"/>
      <c r="BR103" s="272"/>
      <c r="BS103" s="272"/>
      <c r="BT103" s="272"/>
      <c r="BU103" s="272"/>
      <c r="BV103" s="272"/>
      <c r="BW103" s="272"/>
      <c r="BX103" s="272"/>
      <c r="BY103" s="272"/>
      <c r="BZ103" s="272"/>
      <c r="CA103" s="272"/>
      <c r="CB103" s="272"/>
      <c r="CC103" s="272"/>
      <c r="CD103" s="272"/>
      <c r="CE103" s="272"/>
      <c r="CF103" s="272"/>
      <c r="CG103" s="272"/>
      <c r="CH103" s="272"/>
      <c r="CI103" s="272"/>
      <c r="CJ103" s="272"/>
      <c r="CK103" s="272"/>
      <c r="CL103" s="272"/>
      <c r="CM103" s="272"/>
      <c r="CN103" s="272"/>
      <c r="CO103" s="272"/>
      <c r="CP103" s="272"/>
      <c r="CQ103" s="272"/>
      <c r="CR103" s="272"/>
      <c r="CS103" s="272"/>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2"/>
      <c r="DQ103" s="272"/>
      <c r="DR103" s="272"/>
      <c r="DS103" s="272"/>
      <c r="DT103" s="272"/>
      <c r="DU103" s="272"/>
      <c r="DV103" s="272"/>
      <c r="DW103" s="272"/>
      <c r="DX103" s="272"/>
      <c r="DY103" s="272"/>
      <c r="DZ103" s="272"/>
      <c r="EA103" s="272"/>
      <c r="EB103" s="272"/>
      <c r="EC103" s="272"/>
      <c r="ED103" s="272"/>
      <c r="EE103" s="272"/>
      <c r="EF103" s="272"/>
      <c r="EG103" s="272"/>
      <c r="EH103" s="272"/>
      <c r="EI103" s="272"/>
      <c r="EJ103" s="272"/>
      <c r="EK103" s="272"/>
      <c r="EL103" s="272"/>
      <c r="EM103" s="272"/>
      <c r="EN103" s="272"/>
      <c r="EO103" s="272"/>
      <c r="EP103" s="272"/>
      <c r="EQ103" s="272"/>
      <c r="ER103" s="272"/>
      <c r="ES103" s="272"/>
      <c r="ET103" s="272"/>
      <c r="EU103" s="272"/>
      <c r="EV103" s="272"/>
      <c r="EW103" s="272"/>
      <c r="EX103" s="272"/>
      <c r="EY103" s="272"/>
      <c r="EZ103" s="272"/>
      <c r="FA103" s="272"/>
      <c r="FB103" s="272"/>
      <c r="FC103" s="272"/>
      <c r="FD103" s="272"/>
      <c r="FE103" s="272"/>
      <c r="FF103" s="272"/>
      <c r="FG103" s="272"/>
      <c r="FH103" s="272"/>
      <c r="FI103" s="272"/>
      <c r="FJ103" s="272"/>
      <c r="FK103" s="272"/>
      <c r="FL103" s="272"/>
      <c r="FM103" s="272"/>
      <c r="FN103" s="272"/>
      <c r="FO103" s="272"/>
      <c r="FP103" s="272"/>
      <c r="FQ103" s="272"/>
      <c r="FR103" s="272"/>
      <c r="FS103" s="272"/>
      <c r="FT103" s="272"/>
      <c r="FU103" s="272"/>
      <c r="FV103" s="272"/>
      <c r="FW103" s="272"/>
      <c r="FX103" s="272"/>
      <c r="FY103" s="272"/>
      <c r="FZ103" s="272"/>
      <c r="GA103" s="272"/>
      <c r="GB103" s="272"/>
      <c r="GC103" s="272"/>
      <c r="GD103" s="272"/>
      <c r="GE103" s="272"/>
      <c r="GF103" s="272"/>
      <c r="GG103" s="272"/>
      <c r="GH103" s="272"/>
      <c r="GI103" s="272"/>
      <c r="GJ103" s="272"/>
      <c r="GK103" s="272"/>
      <c r="GL103" s="272"/>
      <c r="GM103" s="272"/>
      <c r="GN103" s="272"/>
      <c r="GO103" s="272"/>
      <c r="GP103" s="272"/>
      <c r="GQ103" s="272"/>
      <c r="GR103" s="272"/>
      <c r="GS103" s="272"/>
      <c r="GT103" s="272"/>
      <c r="GU103" s="272"/>
      <c r="GV103" s="272"/>
      <c r="GW103" s="272"/>
      <c r="GX103" s="272"/>
      <c r="GY103" s="272"/>
      <c r="GZ103" s="272"/>
      <c r="HA103" s="272"/>
      <c r="HB103" s="272"/>
      <c r="HC103" s="272"/>
      <c r="HD103" s="272"/>
      <c r="HE103" s="272"/>
      <c r="HF103" s="272"/>
      <c r="HG103" s="272"/>
      <c r="HH103" s="272"/>
      <c r="HI103" s="272"/>
      <c r="HJ103" s="272"/>
      <c r="HK103" s="272"/>
      <c r="HL103" s="272"/>
      <c r="HM103" s="272"/>
      <c r="HN103" s="272"/>
      <c r="HO103" s="272"/>
      <c r="HP103" s="272"/>
      <c r="HQ103" s="272"/>
      <c r="HR103" s="272"/>
      <c r="HS103" s="272"/>
      <c r="HT103" s="272"/>
      <c r="HU103" s="272"/>
      <c r="HV103" s="272"/>
      <c r="HW103" s="272"/>
      <c r="HX103" s="272"/>
      <c r="HY103" s="272"/>
      <c r="HZ103" s="272"/>
      <c r="IA103" s="272"/>
      <c r="IB103" s="272"/>
      <c r="IC103" s="272"/>
      <c r="ID103" s="272"/>
      <c r="IE103" s="272"/>
      <c r="IF103" s="272"/>
      <c r="IG103" s="272"/>
      <c r="IH103" s="272"/>
      <c r="II103" s="272"/>
      <c r="IJ103" s="272"/>
      <c r="IK103" s="272"/>
      <c r="IL103" s="272"/>
      <c r="IM103" s="272"/>
      <c r="IN103" s="272"/>
      <c r="IO103" s="272"/>
      <c r="IP103" s="272"/>
      <c r="IQ103" s="272"/>
      <c r="IR103" s="272"/>
      <c r="IS103" s="272"/>
      <c r="IT103" s="272"/>
      <c r="IU103" s="272"/>
      <c r="IV103" s="272"/>
      <c r="IW103" s="272"/>
      <c r="IX103" s="272"/>
      <c r="IY103" s="272"/>
      <c r="IZ103" s="272"/>
      <c r="JA103" s="272"/>
      <c r="JB103" s="272"/>
      <c r="JC103" s="272"/>
      <c r="JD103" s="272"/>
      <c r="JE103" s="272"/>
      <c r="JF103" s="272"/>
      <c r="JG103" s="272"/>
      <c r="JH103" s="272"/>
      <c r="JI103" s="272"/>
      <c r="JJ103" s="272"/>
      <c r="JK103" s="272"/>
      <c r="JL103" s="272"/>
      <c r="JM103" s="272"/>
      <c r="JN103" s="272"/>
      <c r="JO103" s="272"/>
      <c r="JP103" s="272"/>
      <c r="JQ103" s="272"/>
      <c r="JR103" s="272"/>
      <c r="JS103" s="272"/>
      <c r="JT103" s="272"/>
      <c r="JU103" s="272"/>
      <c r="JV103" s="272"/>
      <c r="JW103" s="272"/>
      <c r="JX103" s="272"/>
      <c r="JY103" s="272"/>
      <c r="JZ103" s="272"/>
      <c r="KA103" s="272"/>
      <c r="KB103" s="272"/>
      <c r="KC103" s="272"/>
      <c r="KD103" s="272"/>
      <c r="KE103" s="272"/>
      <c r="KF103" s="272"/>
      <c r="KG103" s="272"/>
      <c r="KH103" s="272"/>
      <c r="KI103" s="272"/>
      <c r="KJ103" s="272"/>
      <c r="KK103" s="272"/>
      <c r="KL103" s="272"/>
      <c r="KM103" s="272"/>
      <c r="KN103" s="272"/>
      <c r="KO103" s="272"/>
      <c r="KP103" s="272"/>
      <c r="KQ103" s="272"/>
      <c r="KR103" s="272"/>
      <c r="KS103" s="272"/>
      <c r="KT103" s="272"/>
      <c r="KU103" s="272"/>
      <c r="KV103" s="272"/>
      <c r="KW103" s="272"/>
      <c r="KX103" s="272"/>
      <c r="KY103" s="272"/>
      <c r="KZ103" s="272"/>
      <c r="LA103" s="272"/>
      <c r="LB103" s="272"/>
      <c r="LC103" s="272"/>
      <c r="LD103" s="272"/>
      <c r="LE103" s="272"/>
      <c r="LF103" s="272"/>
      <c r="LG103" s="272"/>
      <c r="LH103" s="272"/>
      <c r="LI103" s="272"/>
      <c r="LJ103" s="272"/>
      <c r="LK103" s="272"/>
      <c r="LL103" s="272"/>
      <c r="LM103" s="272"/>
      <c r="LN103" s="272"/>
      <c r="LO103" s="272"/>
      <c r="LP103" s="272"/>
      <c r="LQ103" s="272"/>
      <c r="LR103" s="272"/>
      <c r="LS103" s="272"/>
      <c r="LT103" s="272"/>
      <c r="LU103" s="272"/>
      <c r="LV103" s="272"/>
      <c r="LW103" s="272"/>
      <c r="LX103" s="272"/>
      <c r="LY103" s="272"/>
      <c r="LZ103" s="272"/>
      <c r="MA103" s="272"/>
      <c r="MB103" s="272"/>
      <c r="MC103" s="272"/>
      <c r="MD103" s="272"/>
      <c r="ME103" s="272"/>
      <c r="MF103" s="272"/>
      <c r="MG103" s="272"/>
      <c r="MH103" s="272"/>
      <c r="MI103" s="272"/>
      <c r="MJ103" s="272"/>
      <c r="MK103" s="272"/>
      <c r="ML103" s="272"/>
      <c r="MM103" s="272"/>
      <c r="MN103" s="272"/>
      <c r="MO103" s="272"/>
      <c r="MP103" s="272"/>
      <c r="MQ103" s="272"/>
      <c r="MR103" s="272"/>
      <c r="MS103" s="272"/>
      <c r="MT103" s="272"/>
      <c r="MU103" s="272"/>
      <c r="MV103" s="272"/>
      <c r="MW103" s="272"/>
      <c r="MX103" s="272"/>
      <c r="MY103" s="272"/>
      <c r="MZ103" s="272"/>
      <c r="NA103" s="272"/>
      <c r="NB103" s="272"/>
      <c r="NC103" s="272"/>
      <c r="ND103" s="272"/>
      <c r="NE103" s="272"/>
      <c r="NF103" s="272"/>
      <c r="NG103" s="272"/>
      <c r="NH103" s="272"/>
      <c r="NI103" s="272"/>
      <c r="NJ103" s="272"/>
      <c r="NK103" s="272"/>
      <c r="NL103" s="272"/>
      <c r="NM103" s="272"/>
      <c r="NN103" s="272"/>
      <c r="NO103" s="272"/>
      <c r="NP103" s="272"/>
      <c r="NQ103" s="272"/>
      <c r="NR103" s="272"/>
      <c r="NS103" s="272"/>
      <c r="NT103" s="272"/>
      <c r="NU103" s="272"/>
      <c r="NV103" s="272"/>
      <c r="NW103" s="272"/>
      <c r="NX103" s="272"/>
      <c r="NY103" s="272"/>
      <c r="NZ103" s="272"/>
      <c r="OA103" s="272"/>
      <c r="OB103" s="272"/>
      <c r="OC103" s="272"/>
      <c r="OD103" s="272"/>
      <c r="OE103" s="272"/>
      <c r="OF103" s="272"/>
      <c r="OG103" s="272"/>
      <c r="OH103" s="272"/>
      <c r="OI103" s="272"/>
      <c r="OJ103" s="272"/>
      <c r="OK103" s="272"/>
      <c r="OL103" s="272"/>
      <c r="OM103" s="272"/>
      <c r="ON103" s="272"/>
      <c r="OO103" s="272"/>
      <c r="OP103" s="272"/>
      <c r="OQ103" s="272"/>
      <c r="OR103" s="272"/>
      <c r="OS103" s="272"/>
      <c r="OT103" s="272"/>
      <c r="OU103" s="272"/>
      <c r="OV103" s="272"/>
      <c r="OW103" s="272"/>
      <c r="OX103" s="272"/>
      <c r="OY103" s="272"/>
      <c r="OZ103" s="272"/>
      <c r="PA103" s="272"/>
      <c r="PB103" s="272"/>
      <c r="PC103" s="272"/>
      <c r="PD103" s="272"/>
      <c r="PE103" s="272"/>
      <c r="PF103" s="272"/>
      <c r="PG103" s="272"/>
      <c r="PH103" s="272"/>
      <c r="PI103" s="272"/>
      <c r="PJ103" s="272"/>
      <c r="PK103" s="272"/>
      <c r="PL103" s="272"/>
      <c r="PM103" s="272"/>
      <c r="PN103" s="272"/>
      <c r="PO103" s="272"/>
      <c r="PP103" s="272"/>
      <c r="PQ103" s="272"/>
      <c r="PR103" s="272"/>
      <c r="PS103" s="272"/>
      <c r="PT103" s="272"/>
      <c r="PU103" s="272"/>
      <c r="PV103" s="272"/>
      <c r="PW103" s="272"/>
      <c r="PX103" s="272"/>
      <c r="PY103" s="272"/>
      <c r="PZ103" s="272"/>
      <c r="QA103" s="272"/>
      <c r="QB103" s="272"/>
      <c r="QC103" s="272"/>
      <c r="QD103" s="272"/>
      <c r="QE103" s="272"/>
      <c r="QF103" s="272"/>
      <c r="QG103" s="272"/>
      <c r="QH103" s="272"/>
      <c r="QI103" s="272"/>
      <c r="QJ103" s="272"/>
      <c r="QK103" s="272"/>
      <c r="QL103" s="272"/>
      <c r="QM103" s="272"/>
      <c r="QN103" s="272"/>
      <c r="QO103" s="272"/>
      <c r="QP103" s="272"/>
      <c r="QQ103" s="272"/>
      <c r="QR103" s="272"/>
      <c r="QS103" s="272"/>
      <c r="QT103" s="272"/>
      <c r="QU103" s="272"/>
      <c r="QV103" s="272"/>
      <c r="QW103" s="272"/>
      <c r="QX103" s="272"/>
      <c r="QY103" s="272"/>
      <c r="QZ103" s="272"/>
      <c r="RA103" s="272"/>
      <c r="RB103" s="272"/>
      <c r="RC103" s="272"/>
      <c r="RD103" s="272"/>
      <c r="RE103" s="272"/>
      <c r="RF103" s="272"/>
      <c r="RG103" s="272"/>
      <c r="RH103" s="272"/>
      <c r="RI103" s="272"/>
      <c r="RJ103" s="272"/>
      <c r="RK103" s="272"/>
      <c r="RL103" s="272"/>
      <c r="RM103" s="272"/>
      <c r="RN103" s="272"/>
      <c r="RO103" s="272"/>
      <c r="RP103" s="272"/>
      <c r="RQ103" s="272"/>
      <c r="RR103" s="272"/>
      <c r="RS103" s="272"/>
      <c r="RT103" s="272"/>
      <c r="RU103" s="272"/>
      <c r="RV103" s="272"/>
      <c r="RW103" s="272"/>
      <c r="RX103" s="272"/>
      <c r="RY103" s="272"/>
      <c r="RZ103" s="272"/>
      <c r="SA103" s="272"/>
      <c r="SB103" s="272"/>
      <c r="SC103" s="272"/>
      <c r="SD103" s="272"/>
      <c r="SE103" s="272"/>
      <c r="SF103" s="272"/>
      <c r="SG103" s="272"/>
      <c r="SH103" s="272"/>
      <c r="SI103" s="272"/>
      <c r="SJ103" s="272"/>
      <c r="SK103" s="272"/>
      <c r="SL103" s="272"/>
      <c r="SM103" s="272"/>
      <c r="SN103" s="272"/>
      <c r="SO103" s="272"/>
      <c r="SP103" s="272"/>
      <c r="SQ103" s="272"/>
      <c r="SR103" s="272"/>
      <c r="SS103" s="272"/>
      <c r="ST103" s="272"/>
      <c r="SU103" s="272"/>
      <c r="SV103" s="272"/>
      <c r="SW103" s="272"/>
      <c r="SX103" s="272"/>
      <c r="SY103" s="272"/>
      <c r="SZ103" s="272"/>
      <c r="TA103" s="272"/>
      <c r="TB103" s="272"/>
      <c r="TC103" s="272"/>
      <c r="TD103" s="272"/>
      <c r="TE103" s="272"/>
      <c r="TF103" s="272"/>
      <c r="TG103" s="272"/>
      <c r="TH103" s="272"/>
      <c r="TI103" s="272"/>
      <c r="TJ103" s="272"/>
      <c r="TK103" s="272"/>
      <c r="TL103" s="272"/>
      <c r="TM103" s="272"/>
      <c r="TN103" s="272"/>
      <c r="TO103" s="272"/>
      <c r="TP103" s="272"/>
      <c r="TQ103" s="272"/>
      <c r="TR103" s="272"/>
      <c r="TS103" s="272"/>
      <c r="TT103" s="272"/>
      <c r="TU103" s="272"/>
      <c r="TV103" s="272"/>
      <c r="TW103" s="272"/>
      <c r="TX103" s="272"/>
      <c r="TY103" s="272"/>
      <c r="TZ103" s="272"/>
      <c r="UA103" s="272"/>
      <c r="UB103" s="272"/>
      <c r="UC103" s="272"/>
      <c r="UD103" s="272"/>
      <c r="UE103" s="272"/>
      <c r="UF103" s="272"/>
      <c r="UG103" s="272"/>
      <c r="UH103" s="272"/>
      <c r="UI103" s="272"/>
      <c r="UJ103" s="272"/>
      <c r="UK103" s="272"/>
      <c r="UL103" s="272"/>
      <c r="UM103" s="272"/>
      <c r="UN103" s="272"/>
      <c r="UO103" s="272"/>
      <c r="UP103" s="272"/>
      <c r="UQ103" s="272"/>
      <c r="UR103" s="272"/>
      <c r="US103" s="272"/>
      <c r="UT103" s="272"/>
      <c r="UU103" s="272"/>
      <c r="UV103" s="272"/>
      <c r="UW103" s="272"/>
      <c r="UX103" s="272"/>
      <c r="UY103" s="272"/>
      <c r="UZ103" s="272"/>
      <c r="VA103" s="272"/>
      <c r="VB103" s="272"/>
      <c r="VC103" s="272"/>
      <c r="VD103" s="272"/>
      <c r="VE103" s="272"/>
      <c r="VF103" s="272"/>
      <c r="VG103" s="272"/>
      <c r="VH103" s="272"/>
      <c r="VI103" s="272"/>
      <c r="VJ103" s="272"/>
      <c r="VK103" s="272"/>
      <c r="VL103" s="272"/>
      <c r="VM103" s="272"/>
      <c r="VN103" s="272"/>
      <c r="VO103" s="272"/>
      <c r="VP103" s="272"/>
      <c r="VQ103" s="272"/>
      <c r="VR103" s="272"/>
      <c r="VS103" s="272"/>
      <c r="VT103" s="272"/>
      <c r="VU103" s="272"/>
      <c r="VV103" s="272"/>
      <c r="VW103" s="272"/>
      <c r="VX103" s="272"/>
      <c r="VY103" s="272"/>
      <c r="VZ103" s="272"/>
      <c r="WA103" s="272"/>
      <c r="WB103" s="272"/>
      <c r="WC103" s="272"/>
      <c r="WD103" s="272"/>
      <c r="WE103" s="272"/>
      <c r="WF103" s="272"/>
      <c r="WG103" s="272"/>
      <c r="WH103" s="272"/>
      <c r="WI103" s="272"/>
      <c r="WJ103" s="272"/>
      <c r="WK103" s="272"/>
      <c r="WL103" s="272"/>
      <c r="WM103" s="272"/>
      <c r="WN103" s="272"/>
      <c r="WO103" s="272"/>
      <c r="WP103" s="272"/>
      <c r="WQ103" s="272"/>
      <c r="WR103" s="272"/>
      <c r="WS103" s="272"/>
      <c r="WT103" s="272"/>
      <c r="WU103" s="272"/>
      <c r="WV103" s="272"/>
      <c r="WW103" s="272"/>
      <c r="WX103" s="272"/>
      <c r="WY103" s="272"/>
      <c r="WZ103" s="272"/>
      <c r="XA103" s="272"/>
      <c r="XB103" s="272"/>
      <c r="XC103" s="272"/>
      <c r="XD103" s="272"/>
      <c r="XE103" s="272"/>
      <c r="XF103" s="272"/>
      <c r="XG103" s="272"/>
      <c r="XH103" s="272"/>
      <c r="XI103" s="272"/>
      <c r="XJ103" s="272"/>
      <c r="XK103" s="272"/>
      <c r="XL103" s="272"/>
      <c r="XM103" s="272"/>
      <c r="XN103" s="272"/>
      <c r="XO103" s="272"/>
      <c r="XP103" s="272"/>
      <c r="XQ103" s="272"/>
      <c r="XR103" s="272"/>
      <c r="XS103" s="272"/>
      <c r="XT103" s="272"/>
      <c r="XU103" s="272"/>
      <c r="XV103" s="272"/>
      <c r="XW103" s="272"/>
      <c r="XX103" s="272"/>
      <c r="XY103" s="272"/>
      <c r="XZ103" s="272"/>
      <c r="YA103" s="272"/>
      <c r="YB103" s="272"/>
      <c r="YC103" s="272"/>
      <c r="YD103" s="272"/>
      <c r="YE103" s="272"/>
      <c r="YF103" s="272"/>
      <c r="YG103" s="272"/>
      <c r="YH103" s="272"/>
      <c r="YI103" s="272"/>
      <c r="YJ103" s="272"/>
      <c r="YK103" s="272"/>
      <c r="YL103" s="272"/>
      <c r="YM103" s="272"/>
      <c r="YN103" s="272"/>
      <c r="YO103" s="272"/>
      <c r="YP103" s="272"/>
      <c r="YQ103" s="272"/>
      <c r="YR103" s="272"/>
      <c r="YS103" s="272"/>
      <c r="YT103" s="272"/>
      <c r="YU103" s="272"/>
      <c r="YV103" s="272"/>
      <c r="YW103" s="272"/>
      <c r="YX103" s="272"/>
      <c r="YY103" s="272"/>
      <c r="YZ103" s="272"/>
      <c r="ZA103" s="272"/>
      <c r="ZB103" s="272"/>
      <c r="ZC103" s="272"/>
      <c r="ZD103" s="272"/>
      <c r="ZE103" s="272"/>
      <c r="ZF103" s="272"/>
      <c r="ZG103" s="272"/>
      <c r="ZH103" s="272"/>
      <c r="ZI103" s="272"/>
      <c r="ZJ103" s="272"/>
      <c r="ZK103" s="272"/>
      <c r="ZL103" s="272"/>
      <c r="ZM103" s="272"/>
      <c r="ZN103" s="272"/>
      <c r="ZO103" s="272"/>
      <c r="ZP103" s="272"/>
      <c r="ZQ103" s="272"/>
      <c r="ZR103" s="272"/>
      <c r="ZS103" s="272"/>
      <c r="ZT103" s="272"/>
    </row>
    <row r="104" spans="1:696" s="86" customFormat="1" ht="12.75" customHeight="1">
      <c r="A104" s="39"/>
      <c r="B104" s="40"/>
      <c r="C104" s="597"/>
      <c r="D104" s="600"/>
      <c r="E104" s="619"/>
      <c r="F104" s="619"/>
      <c r="G104" s="626"/>
      <c r="H104" s="626"/>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2"/>
      <c r="BA104" s="272"/>
      <c r="BB104" s="272"/>
      <c r="BC104" s="272"/>
      <c r="BD104" s="272"/>
      <c r="BE104" s="272"/>
      <c r="BF104" s="272"/>
      <c r="BG104" s="272"/>
      <c r="BH104" s="272"/>
      <c r="BI104" s="272"/>
      <c r="BJ104" s="272"/>
      <c r="BK104" s="272"/>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c r="DG104" s="272"/>
      <c r="DH104" s="272"/>
      <c r="DI104" s="272"/>
      <c r="DJ104" s="272"/>
      <c r="DK104" s="272"/>
      <c r="DL104" s="272"/>
      <c r="DM104" s="272"/>
      <c r="DN104" s="272"/>
      <c r="DO104" s="272"/>
      <c r="DP104" s="272"/>
      <c r="DQ104" s="272"/>
      <c r="DR104" s="272"/>
      <c r="DS104" s="272"/>
      <c r="DT104" s="272"/>
      <c r="DU104" s="272"/>
      <c r="DV104" s="272"/>
      <c r="DW104" s="272"/>
      <c r="DX104" s="272"/>
      <c r="DY104" s="272"/>
      <c r="DZ104" s="272"/>
      <c r="EA104" s="272"/>
      <c r="EB104" s="272"/>
      <c r="EC104" s="272"/>
      <c r="ED104" s="272"/>
      <c r="EE104" s="272"/>
      <c r="EF104" s="272"/>
      <c r="EG104" s="272"/>
      <c r="EH104" s="272"/>
      <c r="EI104" s="272"/>
      <c r="EJ104" s="272"/>
      <c r="EK104" s="272"/>
      <c r="EL104" s="272"/>
      <c r="EM104" s="272"/>
      <c r="EN104" s="272"/>
      <c r="EO104" s="272"/>
      <c r="EP104" s="272"/>
      <c r="EQ104" s="272"/>
      <c r="ER104" s="272"/>
      <c r="ES104" s="272"/>
      <c r="ET104" s="272"/>
      <c r="EU104" s="272"/>
      <c r="EV104" s="272"/>
      <c r="EW104" s="272"/>
      <c r="EX104" s="272"/>
      <c r="EY104" s="272"/>
      <c r="EZ104" s="272"/>
      <c r="FA104" s="272"/>
      <c r="FB104" s="272"/>
      <c r="FC104" s="272"/>
      <c r="FD104" s="272"/>
      <c r="FE104" s="272"/>
      <c r="FF104" s="272"/>
      <c r="FG104" s="272"/>
      <c r="FH104" s="272"/>
      <c r="FI104" s="272"/>
      <c r="FJ104" s="272"/>
      <c r="FK104" s="272"/>
      <c r="FL104" s="272"/>
      <c r="FM104" s="272"/>
      <c r="FN104" s="272"/>
      <c r="FO104" s="272"/>
      <c r="FP104" s="272"/>
      <c r="FQ104" s="272"/>
      <c r="FR104" s="272"/>
      <c r="FS104" s="272"/>
      <c r="FT104" s="272"/>
      <c r="FU104" s="272"/>
      <c r="FV104" s="272"/>
      <c r="FW104" s="272"/>
      <c r="FX104" s="272"/>
      <c r="FY104" s="272"/>
      <c r="FZ104" s="272"/>
      <c r="GA104" s="272"/>
      <c r="GB104" s="272"/>
      <c r="GC104" s="272"/>
      <c r="GD104" s="272"/>
      <c r="GE104" s="272"/>
      <c r="GF104" s="272"/>
      <c r="GG104" s="272"/>
      <c r="GH104" s="272"/>
      <c r="GI104" s="272"/>
      <c r="GJ104" s="272"/>
      <c r="GK104" s="272"/>
      <c r="GL104" s="272"/>
      <c r="GM104" s="272"/>
      <c r="GN104" s="272"/>
      <c r="GO104" s="272"/>
      <c r="GP104" s="272"/>
      <c r="GQ104" s="272"/>
      <c r="GR104" s="272"/>
      <c r="GS104" s="272"/>
      <c r="GT104" s="272"/>
      <c r="GU104" s="272"/>
      <c r="GV104" s="272"/>
      <c r="GW104" s="272"/>
      <c r="GX104" s="272"/>
      <c r="GY104" s="272"/>
      <c r="GZ104" s="272"/>
      <c r="HA104" s="272"/>
      <c r="HB104" s="272"/>
      <c r="HC104" s="272"/>
      <c r="HD104" s="272"/>
      <c r="HE104" s="272"/>
      <c r="HF104" s="272"/>
      <c r="HG104" s="272"/>
      <c r="HH104" s="272"/>
      <c r="HI104" s="272"/>
      <c r="HJ104" s="272"/>
      <c r="HK104" s="272"/>
      <c r="HL104" s="272"/>
      <c r="HM104" s="272"/>
      <c r="HN104" s="272"/>
      <c r="HO104" s="272"/>
      <c r="HP104" s="272"/>
      <c r="HQ104" s="272"/>
      <c r="HR104" s="272"/>
      <c r="HS104" s="272"/>
      <c r="HT104" s="272"/>
      <c r="HU104" s="272"/>
      <c r="HV104" s="272"/>
      <c r="HW104" s="272"/>
      <c r="HX104" s="272"/>
      <c r="HY104" s="272"/>
      <c r="HZ104" s="272"/>
      <c r="IA104" s="272"/>
      <c r="IB104" s="272"/>
      <c r="IC104" s="272"/>
      <c r="ID104" s="272"/>
      <c r="IE104" s="272"/>
      <c r="IF104" s="272"/>
      <c r="IG104" s="272"/>
      <c r="IH104" s="272"/>
      <c r="II104" s="272"/>
      <c r="IJ104" s="272"/>
      <c r="IK104" s="272"/>
      <c r="IL104" s="272"/>
      <c r="IM104" s="272"/>
      <c r="IN104" s="272"/>
      <c r="IO104" s="272"/>
      <c r="IP104" s="272"/>
      <c r="IQ104" s="272"/>
      <c r="IR104" s="272"/>
      <c r="IS104" s="272"/>
      <c r="IT104" s="272"/>
      <c r="IU104" s="272"/>
      <c r="IV104" s="272"/>
      <c r="IW104" s="272"/>
      <c r="IX104" s="272"/>
      <c r="IY104" s="272"/>
      <c r="IZ104" s="272"/>
      <c r="JA104" s="272"/>
      <c r="JB104" s="272"/>
      <c r="JC104" s="272"/>
      <c r="JD104" s="272"/>
      <c r="JE104" s="272"/>
      <c r="JF104" s="272"/>
      <c r="JG104" s="272"/>
      <c r="JH104" s="272"/>
      <c r="JI104" s="272"/>
      <c r="JJ104" s="272"/>
      <c r="JK104" s="272"/>
      <c r="JL104" s="272"/>
      <c r="JM104" s="272"/>
      <c r="JN104" s="272"/>
      <c r="JO104" s="272"/>
      <c r="JP104" s="272"/>
      <c r="JQ104" s="272"/>
      <c r="JR104" s="272"/>
      <c r="JS104" s="272"/>
      <c r="JT104" s="272"/>
      <c r="JU104" s="272"/>
      <c r="JV104" s="272"/>
      <c r="JW104" s="272"/>
      <c r="JX104" s="272"/>
      <c r="JY104" s="272"/>
      <c r="JZ104" s="272"/>
      <c r="KA104" s="272"/>
      <c r="KB104" s="272"/>
      <c r="KC104" s="272"/>
      <c r="KD104" s="272"/>
      <c r="KE104" s="272"/>
      <c r="KF104" s="272"/>
      <c r="KG104" s="272"/>
      <c r="KH104" s="272"/>
      <c r="KI104" s="272"/>
      <c r="KJ104" s="272"/>
      <c r="KK104" s="272"/>
      <c r="KL104" s="272"/>
      <c r="KM104" s="272"/>
      <c r="KN104" s="272"/>
      <c r="KO104" s="272"/>
      <c r="KP104" s="272"/>
      <c r="KQ104" s="272"/>
      <c r="KR104" s="272"/>
      <c r="KS104" s="272"/>
      <c r="KT104" s="272"/>
      <c r="KU104" s="272"/>
      <c r="KV104" s="272"/>
      <c r="KW104" s="272"/>
      <c r="KX104" s="272"/>
      <c r="KY104" s="272"/>
      <c r="KZ104" s="272"/>
      <c r="LA104" s="272"/>
      <c r="LB104" s="272"/>
      <c r="LC104" s="272"/>
      <c r="LD104" s="272"/>
      <c r="LE104" s="272"/>
      <c r="LF104" s="272"/>
      <c r="LG104" s="272"/>
      <c r="LH104" s="272"/>
      <c r="LI104" s="272"/>
      <c r="LJ104" s="272"/>
      <c r="LK104" s="272"/>
      <c r="LL104" s="272"/>
      <c r="LM104" s="272"/>
      <c r="LN104" s="272"/>
      <c r="LO104" s="272"/>
      <c r="LP104" s="272"/>
      <c r="LQ104" s="272"/>
      <c r="LR104" s="272"/>
      <c r="LS104" s="272"/>
      <c r="LT104" s="272"/>
      <c r="LU104" s="272"/>
      <c r="LV104" s="272"/>
      <c r="LW104" s="272"/>
      <c r="LX104" s="272"/>
      <c r="LY104" s="272"/>
      <c r="LZ104" s="272"/>
      <c r="MA104" s="272"/>
      <c r="MB104" s="272"/>
      <c r="MC104" s="272"/>
      <c r="MD104" s="272"/>
      <c r="ME104" s="272"/>
      <c r="MF104" s="272"/>
      <c r="MG104" s="272"/>
      <c r="MH104" s="272"/>
      <c r="MI104" s="272"/>
      <c r="MJ104" s="272"/>
      <c r="MK104" s="272"/>
      <c r="ML104" s="272"/>
      <c r="MM104" s="272"/>
      <c r="MN104" s="272"/>
      <c r="MO104" s="272"/>
      <c r="MP104" s="272"/>
      <c r="MQ104" s="272"/>
      <c r="MR104" s="272"/>
      <c r="MS104" s="272"/>
      <c r="MT104" s="272"/>
      <c r="MU104" s="272"/>
      <c r="MV104" s="272"/>
      <c r="MW104" s="272"/>
      <c r="MX104" s="272"/>
      <c r="MY104" s="272"/>
      <c r="MZ104" s="272"/>
      <c r="NA104" s="272"/>
      <c r="NB104" s="272"/>
      <c r="NC104" s="272"/>
      <c r="ND104" s="272"/>
      <c r="NE104" s="272"/>
      <c r="NF104" s="272"/>
      <c r="NG104" s="272"/>
      <c r="NH104" s="272"/>
      <c r="NI104" s="272"/>
      <c r="NJ104" s="272"/>
      <c r="NK104" s="272"/>
      <c r="NL104" s="272"/>
      <c r="NM104" s="272"/>
      <c r="NN104" s="272"/>
      <c r="NO104" s="272"/>
      <c r="NP104" s="272"/>
      <c r="NQ104" s="272"/>
      <c r="NR104" s="272"/>
      <c r="NS104" s="272"/>
      <c r="NT104" s="272"/>
      <c r="NU104" s="272"/>
      <c r="NV104" s="272"/>
      <c r="NW104" s="272"/>
      <c r="NX104" s="272"/>
      <c r="NY104" s="272"/>
      <c r="NZ104" s="272"/>
      <c r="OA104" s="272"/>
      <c r="OB104" s="272"/>
      <c r="OC104" s="272"/>
      <c r="OD104" s="272"/>
      <c r="OE104" s="272"/>
      <c r="OF104" s="272"/>
      <c r="OG104" s="272"/>
      <c r="OH104" s="272"/>
      <c r="OI104" s="272"/>
      <c r="OJ104" s="272"/>
      <c r="OK104" s="272"/>
      <c r="OL104" s="272"/>
      <c r="OM104" s="272"/>
      <c r="ON104" s="272"/>
      <c r="OO104" s="272"/>
      <c r="OP104" s="272"/>
      <c r="OQ104" s="272"/>
      <c r="OR104" s="272"/>
      <c r="OS104" s="272"/>
      <c r="OT104" s="272"/>
      <c r="OU104" s="272"/>
      <c r="OV104" s="272"/>
      <c r="OW104" s="272"/>
      <c r="OX104" s="272"/>
      <c r="OY104" s="272"/>
      <c r="OZ104" s="272"/>
      <c r="PA104" s="272"/>
      <c r="PB104" s="272"/>
      <c r="PC104" s="272"/>
      <c r="PD104" s="272"/>
      <c r="PE104" s="272"/>
      <c r="PF104" s="272"/>
      <c r="PG104" s="272"/>
      <c r="PH104" s="272"/>
      <c r="PI104" s="272"/>
      <c r="PJ104" s="272"/>
      <c r="PK104" s="272"/>
      <c r="PL104" s="272"/>
      <c r="PM104" s="272"/>
      <c r="PN104" s="272"/>
      <c r="PO104" s="272"/>
      <c r="PP104" s="272"/>
      <c r="PQ104" s="272"/>
      <c r="PR104" s="272"/>
      <c r="PS104" s="272"/>
      <c r="PT104" s="272"/>
      <c r="PU104" s="272"/>
      <c r="PV104" s="272"/>
      <c r="PW104" s="272"/>
      <c r="PX104" s="272"/>
      <c r="PY104" s="272"/>
      <c r="PZ104" s="272"/>
      <c r="QA104" s="272"/>
      <c r="QB104" s="272"/>
      <c r="QC104" s="272"/>
      <c r="QD104" s="272"/>
      <c r="QE104" s="272"/>
      <c r="QF104" s="272"/>
      <c r="QG104" s="272"/>
      <c r="QH104" s="272"/>
      <c r="QI104" s="272"/>
      <c r="QJ104" s="272"/>
      <c r="QK104" s="272"/>
      <c r="QL104" s="272"/>
      <c r="QM104" s="272"/>
      <c r="QN104" s="272"/>
      <c r="QO104" s="272"/>
      <c r="QP104" s="272"/>
      <c r="QQ104" s="272"/>
      <c r="QR104" s="272"/>
      <c r="QS104" s="272"/>
      <c r="QT104" s="272"/>
      <c r="QU104" s="272"/>
      <c r="QV104" s="272"/>
      <c r="QW104" s="272"/>
      <c r="QX104" s="272"/>
      <c r="QY104" s="272"/>
      <c r="QZ104" s="272"/>
      <c r="RA104" s="272"/>
      <c r="RB104" s="272"/>
      <c r="RC104" s="272"/>
      <c r="RD104" s="272"/>
      <c r="RE104" s="272"/>
      <c r="RF104" s="272"/>
      <c r="RG104" s="272"/>
      <c r="RH104" s="272"/>
      <c r="RI104" s="272"/>
      <c r="RJ104" s="272"/>
      <c r="RK104" s="272"/>
      <c r="RL104" s="272"/>
      <c r="RM104" s="272"/>
      <c r="RN104" s="272"/>
      <c r="RO104" s="272"/>
      <c r="RP104" s="272"/>
      <c r="RQ104" s="272"/>
      <c r="RR104" s="272"/>
      <c r="RS104" s="272"/>
      <c r="RT104" s="272"/>
      <c r="RU104" s="272"/>
      <c r="RV104" s="272"/>
      <c r="RW104" s="272"/>
      <c r="RX104" s="272"/>
      <c r="RY104" s="272"/>
      <c r="RZ104" s="272"/>
      <c r="SA104" s="272"/>
      <c r="SB104" s="272"/>
      <c r="SC104" s="272"/>
      <c r="SD104" s="272"/>
      <c r="SE104" s="272"/>
      <c r="SF104" s="272"/>
      <c r="SG104" s="272"/>
      <c r="SH104" s="272"/>
      <c r="SI104" s="272"/>
      <c r="SJ104" s="272"/>
      <c r="SK104" s="272"/>
      <c r="SL104" s="272"/>
      <c r="SM104" s="272"/>
      <c r="SN104" s="272"/>
      <c r="SO104" s="272"/>
      <c r="SP104" s="272"/>
      <c r="SQ104" s="272"/>
      <c r="SR104" s="272"/>
      <c r="SS104" s="272"/>
      <c r="ST104" s="272"/>
      <c r="SU104" s="272"/>
      <c r="SV104" s="272"/>
      <c r="SW104" s="272"/>
      <c r="SX104" s="272"/>
      <c r="SY104" s="272"/>
      <c r="SZ104" s="272"/>
      <c r="TA104" s="272"/>
      <c r="TB104" s="272"/>
      <c r="TC104" s="272"/>
      <c r="TD104" s="272"/>
      <c r="TE104" s="272"/>
      <c r="TF104" s="272"/>
      <c r="TG104" s="272"/>
      <c r="TH104" s="272"/>
      <c r="TI104" s="272"/>
      <c r="TJ104" s="272"/>
      <c r="TK104" s="272"/>
      <c r="TL104" s="272"/>
      <c r="TM104" s="272"/>
      <c r="TN104" s="272"/>
      <c r="TO104" s="272"/>
      <c r="TP104" s="272"/>
      <c r="TQ104" s="272"/>
      <c r="TR104" s="272"/>
      <c r="TS104" s="272"/>
      <c r="TT104" s="272"/>
      <c r="TU104" s="272"/>
      <c r="TV104" s="272"/>
      <c r="TW104" s="272"/>
      <c r="TX104" s="272"/>
      <c r="TY104" s="272"/>
      <c r="TZ104" s="272"/>
      <c r="UA104" s="272"/>
      <c r="UB104" s="272"/>
      <c r="UC104" s="272"/>
      <c r="UD104" s="272"/>
      <c r="UE104" s="272"/>
      <c r="UF104" s="272"/>
      <c r="UG104" s="272"/>
      <c r="UH104" s="272"/>
      <c r="UI104" s="272"/>
      <c r="UJ104" s="272"/>
      <c r="UK104" s="272"/>
      <c r="UL104" s="272"/>
      <c r="UM104" s="272"/>
      <c r="UN104" s="272"/>
      <c r="UO104" s="272"/>
      <c r="UP104" s="272"/>
      <c r="UQ104" s="272"/>
      <c r="UR104" s="272"/>
      <c r="US104" s="272"/>
      <c r="UT104" s="272"/>
      <c r="UU104" s="272"/>
      <c r="UV104" s="272"/>
      <c r="UW104" s="272"/>
      <c r="UX104" s="272"/>
      <c r="UY104" s="272"/>
      <c r="UZ104" s="272"/>
      <c r="VA104" s="272"/>
      <c r="VB104" s="272"/>
      <c r="VC104" s="272"/>
      <c r="VD104" s="272"/>
      <c r="VE104" s="272"/>
      <c r="VF104" s="272"/>
      <c r="VG104" s="272"/>
      <c r="VH104" s="272"/>
      <c r="VI104" s="272"/>
      <c r="VJ104" s="272"/>
      <c r="VK104" s="272"/>
      <c r="VL104" s="272"/>
      <c r="VM104" s="272"/>
      <c r="VN104" s="272"/>
      <c r="VO104" s="272"/>
      <c r="VP104" s="272"/>
      <c r="VQ104" s="272"/>
      <c r="VR104" s="272"/>
      <c r="VS104" s="272"/>
      <c r="VT104" s="272"/>
      <c r="VU104" s="272"/>
      <c r="VV104" s="272"/>
      <c r="VW104" s="272"/>
      <c r="VX104" s="272"/>
      <c r="VY104" s="272"/>
      <c r="VZ104" s="272"/>
      <c r="WA104" s="272"/>
      <c r="WB104" s="272"/>
      <c r="WC104" s="272"/>
      <c r="WD104" s="272"/>
      <c r="WE104" s="272"/>
      <c r="WF104" s="272"/>
      <c r="WG104" s="272"/>
      <c r="WH104" s="272"/>
      <c r="WI104" s="272"/>
      <c r="WJ104" s="272"/>
      <c r="WK104" s="272"/>
      <c r="WL104" s="272"/>
      <c r="WM104" s="272"/>
      <c r="WN104" s="272"/>
      <c r="WO104" s="272"/>
      <c r="WP104" s="272"/>
      <c r="WQ104" s="272"/>
      <c r="WR104" s="272"/>
      <c r="WS104" s="272"/>
      <c r="WT104" s="272"/>
      <c r="WU104" s="272"/>
      <c r="WV104" s="272"/>
      <c r="WW104" s="272"/>
      <c r="WX104" s="272"/>
      <c r="WY104" s="272"/>
      <c r="WZ104" s="272"/>
      <c r="XA104" s="272"/>
      <c r="XB104" s="272"/>
      <c r="XC104" s="272"/>
      <c r="XD104" s="272"/>
      <c r="XE104" s="272"/>
      <c r="XF104" s="272"/>
      <c r="XG104" s="272"/>
      <c r="XH104" s="272"/>
      <c r="XI104" s="272"/>
      <c r="XJ104" s="272"/>
      <c r="XK104" s="272"/>
      <c r="XL104" s="272"/>
      <c r="XM104" s="272"/>
      <c r="XN104" s="272"/>
      <c r="XO104" s="272"/>
      <c r="XP104" s="272"/>
      <c r="XQ104" s="272"/>
      <c r="XR104" s="272"/>
      <c r="XS104" s="272"/>
      <c r="XT104" s="272"/>
      <c r="XU104" s="272"/>
      <c r="XV104" s="272"/>
      <c r="XW104" s="272"/>
      <c r="XX104" s="272"/>
      <c r="XY104" s="272"/>
      <c r="XZ104" s="272"/>
      <c r="YA104" s="272"/>
      <c r="YB104" s="272"/>
      <c r="YC104" s="272"/>
      <c r="YD104" s="272"/>
      <c r="YE104" s="272"/>
      <c r="YF104" s="272"/>
      <c r="YG104" s="272"/>
      <c r="YH104" s="272"/>
      <c r="YI104" s="272"/>
      <c r="YJ104" s="272"/>
      <c r="YK104" s="272"/>
      <c r="YL104" s="272"/>
      <c r="YM104" s="272"/>
      <c r="YN104" s="272"/>
      <c r="YO104" s="272"/>
      <c r="YP104" s="272"/>
      <c r="YQ104" s="272"/>
      <c r="YR104" s="272"/>
      <c r="YS104" s="272"/>
      <c r="YT104" s="272"/>
      <c r="YU104" s="272"/>
      <c r="YV104" s="272"/>
      <c r="YW104" s="272"/>
      <c r="YX104" s="272"/>
      <c r="YY104" s="272"/>
      <c r="YZ104" s="272"/>
      <c r="ZA104" s="272"/>
      <c r="ZB104" s="272"/>
      <c r="ZC104" s="272"/>
      <c r="ZD104" s="272"/>
      <c r="ZE104" s="272"/>
      <c r="ZF104" s="272"/>
      <c r="ZG104" s="272"/>
      <c r="ZH104" s="272"/>
      <c r="ZI104" s="272"/>
      <c r="ZJ104" s="272"/>
      <c r="ZK104" s="272"/>
      <c r="ZL104" s="272"/>
      <c r="ZM104" s="272"/>
      <c r="ZN104" s="272"/>
      <c r="ZO104" s="272"/>
      <c r="ZP104" s="272"/>
      <c r="ZQ104" s="272"/>
      <c r="ZR104" s="272"/>
      <c r="ZS104" s="272"/>
      <c r="ZT104" s="272"/>
    </row>
    <row r="105" spans="1:696" s="86" customFormat="1" ht="12.75" customHeight="1">
      <c r="A105" s="39"/>
      <c r="B105" s="40"/>
      <c r="C105" s="597"/>
      <c r="D105" s="600"/>
      <c r="E105" s="619"/>
      <c r="F105" s="619"/>
      <c r="G105" s="626"/>
      <c r="H105" s="626"/>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c r="BJ105" s="272"/>
      <c r="BK105" s="272"/>
      <c r="BL105" s="272"/>
      <c r="BM105" s="272"/>
      <c r="BN105" s="272"/>
      <c r="BO105" s="272"/>
      <c r="BP105" s="272"/>
      <c r="BQ105" s="272"/>
      <c r="BR105" s="272"/>
      <c r="BS105" s="272"/>
      <c r="BT105" s="272"/>
      <c r="BU105" s="272"/>
      <c r="BV105" s="272"/>
      <c r="BW105" s="272"/>
      <c r="BX105" s="272"/>
      <c r="BY105" s="272"/>
      <c r="BZ105" s="272"/>
      <c r="CA105" s="272"/>
      <c r="CB105" s="272"/>
      <c r="CC105" s="272"/>
      <c r="CD105" s="272"/>
      <c r="CE105" s="272"/>
      <c r="CF105" s="272"/>
      <c r="CG105" s="272"/>
      <c r="CH105" s="272"/>
      <c r="CI105" s="272"/>
      <c r="CJ105" s="272"/>
      <c r="CK105" s="272"/>
      <c r="CL105" s="272"/>
      <c r="CM105" s="272"/>
      <c r="CN105" s="272"/>
      <c r="CO105" s="272"/>
      <c r="CP105" s="272"/>
      <c r="CQ105" s="272"/>
      <c r="CR105" s="272"/>
      <c r="CS105" s="272"/>
      <c r="CT105" s="272"/>
      <c r="CU105" s="272"/>
      <c r="CV105" s="272"/>
      <c r="CW105" s="272"/>
      <c r="CX105" s="272"/>
      <c r="CY105" s="272"/>
      <c r="CZ105" s="272"/>
      <c r="DA105" s="272"/>
      <c r="DB105" s="272"/>
      <c r="DC105" s="272"/>
      <c r="DD105" s="272"/>
      <c r="DE105" s="272"/>
      <c r="DF105" s="272"/>
      <c r="DG105" s="272"/>
      <c r="DH105" s="272"/>
      <c r="DI105" s="272"/>
      <c r="DJ105" s="272"/>
      <c r="DK105" s="272"/>
      <c r="DL105" s="272"/>
      <c r="DM105" s="272"/>
      <c r="DN105" s="272"/>
      <c r="DO105" s="272"/>
      <c r="DP105" s="272"/>
      <c r="DQ105" s="272"/>
      <c r="DR105" s="272"/>
      <c r="DS105" s="272"/>
      <c r="DT105" s="272"/>
      <c r="DU105" s="272"/>
      <c r="DV105" s="272"/>
      <c r="DW105" s="272"/>
      <c r="DX105" s="272"/>
      <c r="DY105" s="272"/>
      <c r="DZ105" s="272"/>
      <c r="EA105" s="272"/>
      <c r="EB105" s="272"/>
      <c r="EC105" s="272"/>
      <c r="ED105" s="272"/>
      <c r="EE105" s="272"/>
      <c r="EF105" s="272"/>
      <c r="EG105" s="272"/>
      <c r="EH105" s="272"/>
      <c r="EI105" s="272"/>
      <c r="EJ105" s="272"/>
      <c r="EK105" s="272"/>
      <c r="EL105" s="272"/>
      <c r="EM105" s="272"/>
      <c r="EN105" s="272"/>
      <c r="EO105" s="272"/>
      <c r="EP105" s="272"/>
      <c r="EQ105" s="272"/>
      <c r="ER105" s="272"/>
      <c r="ES105" s="272"/>
      <c r="ET105" s="272"/>
      <c r="EU105" s="272"/>
      <c r="EV105" s="272"/>
      <c r="EW105" s="272"/>
      <c r="EX105" s="272"/>
      <c r="EY105" s="272"/>
      <c r="EZ105" s="272"/>
      <c r="FA105" s="272"/>
      <c r="FB105" s="272"/>
      <c r="FC105" s="272"/>
      <c r="FD105" s="272"/>
      <c r="FE105" s="272"/>
      <c r="FF105" s="272"/>
      <c r="FG105" s="272"/>
      <c r="FH105" s="272"/>
      <c r="FI105" s="272"/>
      <c r="FJ105" s="272"/>
      <c r="FK105" s="272"/>
      <c r="FL105" s="272"/>
      <c r="FM105" s="272"/>
      <c r="FN105" s="272"/>
      <c r="FO105" s="272"/>
      <c r="FP105" s="272"/>
      <c r="FQ105" s="272"/>
      <c r="FR105" s="272"/>
      <c r="FS105" s="272"/>
      <c r="FT105" s="272"/>
      <c r="FU105" s="272"/>
      <c r="FV105" s="272"/>
      <c r="FW105" s="272"/>
      <c r="FX105" s="272"/>
      <c r="FY105" s="272"/>
      <c r="FZ105" s="272"/>
      <c r="GA105" s="272"/>
      <c r="GB105" s="272"/>
      <c r="GC105" s="272"/>
      <c r="GD105" s="272"/>
      <c r="GE105" s="272"/>
      <c r="GF105" s="272"/>
      <c r="GG105" s="272"/>
      <c r="GH105" s="272"/>
      <c r="GI105" s="272"/>
      <c r="GJ105" s="272"/>
      <c r="GK105" s="272"/>
      <c r="GL105" s="272"/>
      <c r="GM105" s="272"/>
      <c r="GN105" s="272"/>
      <c r="GO105" s="272"/>
      <c r="GP105" s="272"/>
      <c r="GQ105" s="272"/>
      <c r="GR105" s="272"/>
      <c r="GS105" s="272"/>
      <c r="GT105" s="272"/>
      <c r="GU105" s="272"/>
      <c r="GV105" s="272"/>
      <c r="GW105" s="272"/>
      <c r="GX105" s="272"/>
      <c r="GY105" s="272"/>
      <c r="GZ105" s="272"/>
      <c r="HA105" s="272"/>
      <c r="HB105" s="272"/>
      <c r="HC105" s="272"/>
      <c r="HD105" s="272"/>
      <c r="HE105" s="272"/>
      <c r="HF105" s="272"/>
      <c r="HG105" s="272"/>
      <c r="HH105" s="272"/>
      <c r="HI105" s="272"/>
      <c r="HJ105" s="272"/>
      <c r="HK105" s="272"/>
      <c r="HL105" s="272"/>
      <c r="HM105" s="272"/>
      <c r="HN105" s="272"/>
      <c r="HO105" s="272"/>
      <c r="HP105" s="272"/>
      <c r="HQ105" s="272"/>
      <c r="HR105" s="272"/>
      <c r="HS105" s="272"/>
      <c r="HT105" s="272"/>
      <c r="HU105" s="272"/>
      <c r="HV105" s="272"/>
      <c r="HW105" s="272"/>
      <c r="HX105" s="272"/>
      <c r="HY105" s="272"/>
      <c r="HZ105" s="272"/>
      <c r="IA105" s="272"/>
      <c r="IB105" s="272"/>
      <c r="IC105" s="272"/>
      <c r="ID105" s="272"/>
      <c r="IE105" s="272"/>
      <c r="IF105" s="272"/>
      <c r="IG105" s="272"/>
      <c r="IH105" s="272"/>
      <c r="II105" s="272"/>
      <c r="IJ105" s="272"/>
      <c r="IK105" s="272"/>
      <c r="IL105" s="272"/>
      <c r="IM105" s="272"/>
      <c r="IN105" s="272"/>
      <c r="IO105" s="272"/>
      <c r="IP105" s="272"/>
      <c r="IQ105" s="272"/>
      <c r="IR105" s="272"/>
      <c r="IS105" s="272"/>
      <c r="IT105" s="272"/>
      <c r="IU105" s="272"/>
      <c r="IV105" s="272"/>
      <c r="IW105" s="272"/>
      <c r="IX105" s="272"/>
      <c r="IY105" s="272"/>
      <c r="IZ105" s="272"/>
      <c r="JA105" s="272"/>
      <c r="JB105" s="272"/>
      <c r="JC105" s="272"/>
      <c r="JD105" s="272"/>
      <c r="JE105" s="272"/>
      <c r="JF105" s="272"/>
      <c r="JG105" s="272"/>
      <c r="JH105" s="272"/>
      <c r="JI105" s="272"/>
      <c r="JJ105" s="272"/>
      <c r="JK105" s="272"/>
      <c r="JL105" s="272"/>
      <c r="JM105" s="272"/>
      <c r="JN105" s="272"/>
      <c r="JO105" s="272"/>
      <c r="JP105" s="272"/>
      <c r="JQ105" s="272"/>
      <c r="JR105" s="272"/>
      <c r="JS105" s="272"/>
      <c r="JT105" s="272"/>
      <c r="JU105" s="272"/>
      <c r="JV105" s="272"/>
      <c r="JW105" s="272"/>
      <c r="JX105" s="272"/>
      <c r="JY105" s="272"/>
      <c r="JZ105" s="272"/>
      <c r="KA105" s="272"/>
      <c r="KB105" s="272"/>
      <c r="KC105" s="272"/>
      <c r="KD105" s="272"/>
      <c r="KE105" s="272"/>
      <c r="KF105" s="272"/>
      <c r="KG105" s="272"/>
      <c r="KH105" s="272"/>
      <c r="KI105" s="272"/>
      <c r="KJ105" s="272"/>
      <c r="KK105" s="272"/>
      <c r="KL105" s="272"/>
      <c r="KM105" s="272"/>
      <c r="KN105" s="272"/>
      <c r="KO105" s="272"/>
      <c r="KP105" s="272"/>
      <c r="KQ105" s="272"/>
      <c r="KR105" s="272"/>
      <c r="KS105" s="272"/>
      <c r="KT105" s="272"/>
      <c r="KU105" s="272"/>
      <c r="KV105" s="272"/>
      <c r="KW105" s="272"/>
      <c r="KX105" s="272"/>
      <c r="KY105" s="272"/>
      <c r="KZ105" s="272"/>
      <c r="LA105" s="272"/>
      <c r="LB105" s="272"/>
      <c r="LC105" s="272"/>
      <c r="LD105" s="272"/>
      <c r="LE105" s="272"/>
      <c r="LF105" s="272"/>
      <c r="LG105" s="272"/>
      <c r="LH105" s="272"/>
      <c r="LI105" s="272"/>
      <c r="LJ105" s="272"/>
      <c r="LK105" s="272"/>
      <c r="LL105" s="272"/>
      <c r="LM105" s="272"/>
      <c r="LN105" s="272"/>
      <c r="LO105" s="272"/>
      <c r="LP105" s="272"/>
      <c r="LQ105" s="272"/>
      <c r="LR105" s="272"/>
      <c r="LS105" s="272"/>
      <c r="LT105" s="272"/>
      <c r="LU105" s="272"/>
      <c r="LV105" s="272"/>
      <c r="LW105" s="272"/>
      <c r="LX105" s="272"/>
      <c r="LY105" s="272"/>
      <c r="LZ105" s="272"/>
      <c r="MA105" s="272"/>
      <c r="MB105" s="272"/>
      <c r="MC105" s="272"/>
      <c r="MD105" s="272"/>
      <c r="ME105" s="272"/>
      <c r="MF105" s="272"/>
      <c r="MG105" s="272"/>
      <c r="MH105" s="272"/>
      <c r="MI105" s="272"/>
      <c r="MJ105" s="272"/>
      <c r="MK105" s="272"/>
      <c r="ML105" s="272"/>
      <c r="MM105" s="272"/>
      <c r="MN105" s="272"/>
      <c r="MO105" s="272"/>
      <c r="MP105" s="272"/>
      <c r="MQ105" s="272"/>
      <c r="MR105" s="272"/>
      <c r="MS105" s="272"/>
      <c r="MT105" s="272"/>
      <c r="MU105" s="272"/>
      <c r="MV105" s="272"/>
      <c r="MW105" s="272"/>
      <c r="MX105" s="272"/>
      <c r="MY105" s="272"/>
      <c r="MZ105" s="272"/>
      <c r="NA105" s="272"/>
      <c r="NB105" s="272"/>
      <c r="NC105" s="272"/>
      <c r="ND105" s="272"/>
      <c r="NE105" s="272"/>
      <c r="NF105" s="272"/>
      <c r="NG105" s="272"/>
      <c r="NH105" s="272"/>
      <c r="NI105" s="272"/>
      <c r="NJ105" s="272"/>
      <c r="NK105" s="272"/>
      <c r="NL105" s="272"/>
      <c r="NM105" s="272"/>
      <c r="NN105" s="272"/>
      <c r="NO105" s="272"/>
      <c r="NP105" s="272"/>
      <c r="NQ105" s="272"/>
      <c r="NR105" s="272"/>
      <c r="NS105" s="272"/>
      <c r="NT105" s="272"/>
      <c r="NU105" s="272"/>
      <c r="NV105" s="272"/>
      <c r="NW105" s="272"/>
      <c r="NX105" s="272"/>
      <c r="NY105" s="272"/>
      <c r="NZ105" s="272"/>
      <c r="OA105" s="272"/>
      <c r="OB105" s="272"/>
      <c r="OC105" s="272"/>
      <c r="OD105" s="272"/>
      <c r="OE105" s="272"/>
      <c r="OF105" s="272"/>
      <c r="OG105" s="272"/>
      <c r="OH105" s="272"/>
      <c r="OI105" s="272"/>
      <c r="OJ105" s="272"/>
      <c r="OK105" s="272"/>
      <c r="OL105" s="272"/>
      <c r="OM105" s="272"/>
      <c r="ON105" s="272"/>
      <c r="OO105" s="272"/>
      <c r="OP105" s="272"/>
      <c r="OQ105" s="272"/>
      <c r="OR105" s="272"/>
      <c r="OS105" s="272"/>
      <c r="OT105" s="272"/>
      <c r="OU105" s="272"/>
      <c r="OV105" s="272"/>
      <c r="OW105" s="272"/>
      <c r="OX105" s="272"/>
      <c r="OY105" s="272"/>
      <c r="OZ105" s="272"/>
      <c r="PA105" s="272"/>
      <c r="PB105" s="272"/>
      <c r="PC105" s="272"/>
      <c r="PD105" s="272"/>
      <c r="PE105" s="272"/>
      <c r="PF105" s="272"/>
      <c r="PG105" s="272"/>
      <c r="PH105" s="272"/>
      <c r="PI105" s="272"/>
      <c r="PJ105" s="272"/>
      <c r="PK105" s="272"/>
      <c r="PL105" s="272"/>
      <c r="PM105" s="272"/>
      <c r="PN105" s="272"/>
      <c r="PO105" s="272"/>
      <c r="PP105" s="272"/>
      <c r="PQ105" s="272"/>
      <c r="PR105" s="272"/>
      <c r="PS105" s="272"/>
      <c r="PT105" s="272"/>
      <c r="PU105" s="272"/>
      <c r="PV105" s="272"/>
      <c r="PW105" s="272"/>
      <c r="PX105" s="272"/>
      <c r="PY105" s="272"/>
      <c r="PZ105" s="272"/>
      <c r="QA105" s="272"/>
      <c r="QB105" s="272"/>
      <c r="QC105" s="272"/>
      <c r="QD105" s="272"/>
      <c r="QE105" s="272"/>
      <c r="QF105" s="272"/>
      <c r="QG105" s="272"/>
      <c r="QH105" s="272"/>
      <c r="QI105" s="272"/>
      <c r="QJ105" s="272"/>
      <c r="QK105" s="272"/>
      <c r="QL105" s="272"/>
      <c r="QM105" s="272"/>
      <c r="QN105" s="272"/>
      <c r="QO105" s="272"/>
      <c r="QP105" s="272"/>
      <c r="QQ105" s="272"/>
      <c r="QR105" s="272"/>
      <c r="QS105" s="272"/>
      <c r="QT105" s="272"/>
      <c r="QU105" s="272"/>
      <c r="QV105" s="272"/>
      <c r="QW105" s="272"/>
      <c r="QX105" s="272"/>
      <c r="QY105" s="272"/>
      <c r="QZ105" s="272"/>
      <c r="RA105" s="272"/>
      <c r="RB105" s="272"/>
      <c r="RC105" s="272"/>
      <c r="RD105" s="272"/>
      <c r="RE105" s="272"/>
      <c r="RF105" s="272"/>
      <c r="RG105" s="272"/>
      <c r="RH105" s="272"/>
      <c r="RI105" s="272"/>
      <c r="RJ105" s="272"/>
      <c r="RK105" s="272"/>
      <c r="RL105" s="272"/>
      <c r="RM105" s="272"/>
      <c r="RN105" s="272"/>
      <c r="RO105" s="272"/>
      <c r="RP105" s="272"/>
      <c r="RQ105" s="272"/>
      <c r="RR105" s="272"/>
      <c r="RS105" s="272"/>
      <c r="RT105" s="272"/>
      <c r="RU105" s="272"/>
      <c r="RV105" s="272"/>
      <c r="RW105" s="272"/>
      <c r="RX105" s="272"/>
      <c r="RY105" s="272"/>
      <c r="RZ105" s="272"/>
      <c r="SA105" s="272"/>
      <c r="SB105" s="272"/>
      <c r="SC105" s="272"/>
      <c r="SD105" s="272"/>
      <c r="SE105" s="272"/>
      <c r="SF105" s="272"/>
      <c r="SG105" s="272"/>
      <c r="SH105" s="272"/>
      <c r="SI105" s="272"/>
      <c r="SJ105" s="272"/>
      <c r="SK105" s="272"/>
      <c r="SL105" s="272"/>
      <c r="SM105" s="272"/>
      <c r="SN105" s="272"/>
      <c r="SO105" s="272"/>
      <c r="SP105" s="272"/>
      <c r="SQ105" s="272"/>
      <c r="SR105" s="272"/>
      <c r="SS105" s="272"/>
      <c r="ST105" s="272"/>
      <c r="SU105" s="272"/>
      <c r="SV105" s="272"/>
      <c r="SW105" s="272"/>
      <c r="SX105" s="272"/>
      <c r="SY105" s="272"/>
      <c r="SZ105" s="272"/>
      <c r="TA105" s="272"/>
      <c r="TB105" s="272"/>
      <c r="TC105" s="272"/>
      <c r="TD105" s="272"/>
      <c r="TE105" s="272"/>
      <c r="TF105" s="272"/>
      <c r="TG105" s="272"/>
      <c r="TH105" s="272"/>
      <c r="TI105" s="272"/>
      <c r="TJ105" s="272"/>
      <c r="TK105" s="272"/>
      <c r="TL105" s="272"/>
      <c r="TM105" s="272"/>
      <c r="TN105" s="272"/>
      <c r="TO105" s="272"/>
      <c r="TP105" s="272"/>
      <c r="TQ105" s="272"/>
      <c r="TR105" s="272"/>
      <c r="TS105" s="272"/>
      <c r="TT105" s="272"/>
      <c r="TU105" s="272"/>
      <c r="TV105" s="272"/>
      <c r="TW105" s="272"/>
      <c r="TX105" s="272"/>
      <c r="TY105" s="272"/>
      <c r="TZ105" s="272"/>
      <c r="UA105" s="272"/>
      <c r="UB105" s="272"/>
      <c r="UC105" s="272"/>
      <c r="UD105" s="272"/>
      <c r="UE105" s="272"/>
      <c r="UF105" s="272"/>
      <c r="UG105" s="272"/>
      <c r="UH105" s="272"/>
      <c r="UI105" s="272"/>
      <c r="UJ105" s="272"/>
      <c r="UK105" s="272"/>
      <c r="UL105" s="272"/>
      <c r="UM105" s="272"/>
      <c r="UN105" s="272"/>
      <c r="UO105" s="272"/>
      <c r="UP105" s="272"/>
      <c r="UQ105" s="272"/>
      <c r="UR105" s="272"/>
      <c r="US105" s="272"/>
      <c r="UT105" s="272"/>
      <c r="UU105" s="272"/>
      <c r="UV105" s="272"/>
      <c r="UW105" s="272"/>
      <c r="UX105" s="272"/>
      <c r="UY105" s="272"/>
      <c r="UZ105" s="272"/>
      <c r="VA105" s="272"/>
      <c r="VB105" s="272"/>
      <c r="VC105" s="272"/>
      <c r="VD105" s="272"/>
      <c r="VE105" s="272"/>
      <c r="VF105" s="272"/>
      <c r="VG105" s="272"/>
      <c r="VH105" s="272"/>
      <c r="VI105" s="272"/>
      <c r="VJ105" s="272"/>
      <c r="VK105" s="272"/>
      <c r="VL105" s="272"/>
      <c r="VM105" s="272"/>
      <c r="VN105" s="272"/>
      <c r="VO105" s="272"/>
      <c r="VP105" s="272"/>
      <c r="VQ105" s="272"/>
      <c r="VR105" s="272"/>
      <c r="VS105" s="272"/>
      <c r="VT105" s="272"/>
      <c r="VU105" s="272"/>
      <c r="VV105" s="272"/>
      <c r="VW105" s="272"/>
      <c r="VX105" s="272"/>
      <c r="VY105" s="272"/>
      <c r="VZ105" s="272"/>
      <c r="WA105" s="272"/>
      <c r="WB105" s="272"/>
      <c r="WC105" s="272"/>
      <c r="WD105" s="272"/>
      <c r="WE105" s="272"/>
      <c r="WF105" s="272"/>
      <c r="WG105" s="272"/>
      <c r="WH105" s="272"/>
      <c r="WI105" s="272"/>
      <c r="WJ105" s="272"/>
      <c r="WK105" s="272"/>
      <c r="WL105" s="272"/>
      <c r="WM105" s="272"/>
      <c r="WN105" s="272"/>
      <c r="WO105" s="272"/>
      <c r="WP105" s="272"/>
      <c r="WQ105" s="272"/>
      <c r="WR105" s="272"/>
      <c r="WS105" s="272"/>
      <c r="WT105" s="272"/>
      <c r="WU105" s="272"/>
      <c r="WV105" s="272"/>
      <c r="WW105" s="272"/>
      <c r="WX105" s="272"/>
      <c r="WY105" s="272"/>
      <c r="WZ105" s="272"/>
      <c r="XA105" s="272"/>
      <c r="XB105" s="272"/>
      <c r="XC105" s="272"/>
      <c r="XD105" s="272"/>
      <c r="XE105" s="272"/>
      <c r="XF105" s="272"/>
      <c r="XG105" s="272"/>
      <c r="XH105" s="272"/>
      <c r="XI105" s="272"/>
      <c r="XJ105" s="272"/>
      <c r="XK105" s="272"/>
      <c r="XL105" s="272"/>
      <c r="XM105" s="272"/>
      <c r="XN105" s="272"/>
      <c r="XO105" s="272"/>
      <c r="XP105" s="272"/>
      <c r="XQ105" s="272"/>
      <c r="XR105" s="272"/>
      <c r="XS105" s="272"/>
      <c r="XT105" s="272"/>
      <c r="XU105" s="272"/>
      <c r="XV105" s="272"/>
      <c r="XW105" s="272"/>
      <c r="XX105" s="272"/>
      <c r="XY105" s="272"/>
      <c r="XZ105" s="272"/>
      <c r="YA105" s="272"/>
      <c r="YB105" s="272"/>
      <c r="YC105" s="272"/>
      <c r="YD105" s="272"/>
      <c r="YE105" s="272"/>
      <c r="YF105" s="272"/>
      <c r="YG105" s="272"/>
      <c r="YH105" s="272"/>
      <c r="YI105" s="272"/>
      <c r="YJ105" s="272"/>
      <c r="YK105" s="272"/>
      <c r="YL105" s="272"/>
      <c r="YM105" s="272"/>
      <c r="YN105" s="272"/>
      <c r="YO105" s="272"/>
      <c r="YP105" s="272"/>
      <c r="YQ105" s="272"/>
      <c r="YR105" s="272"/>
      <c r="YS105" s="272"/>
      <c r="YT105" s="272"/>
      <c r="YU105" s="272"/>
      <c r="YV105" s="272"/>
      <c r="YW105" s="272"/>
      <c r="YX105" s="272"/>
      <c r="YY105" s="272"/>
      <c r="YZ105" s="272"/>
      <c r="ZA105" s="272"/>
      <c r="ZB105" s="272"/>
      <c r="ZC105" s="272"/>
      <c r="ZD105" s="272"/>
      <c r="ZE105" s="272"/>
      <c r="ZF105" s="272"/>
      <c r="ZG105" s="272"/>
      <c r="ZH105" s="272"/>
      <c r="ZI105" s="272"/>
      <c r="ZJ105" s="272"/>
      <c r="ZK105" s="272"/>
      <c r="ZL105" s="272"/>
      <c r="ZM105" s="272"/>
      <c r="ZN105" s="272"/>
      <c r="ZO105" s="272"/>
      <c r="ZP105" s="272"/>
      <c r="ZQ105" s="272"/>
      <c r="ZR105" s="272"/>
      <c r="ZS105" s="272"/>
      <c r="ZT105" s="272"/>
    </row>
    <row r="106" spans="1:696" s="86" customFormat="1" ht="12.75" customHeight="1">
      <c r="A106" s="39"/>
      <c r="B106" s="40"/>
      <c r="C106" s="597"/>
      <c r="D106" s="600"/>
      <c r="E106" s="619"/>
      <c r="F106" s="619"/>
      <c r="G106" s="626"/>
      <c r="H106" s="626"/>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72"/>
      <c r="BR106" s="272"/>
      <c r="BS106" s="272"/>
      <c r="BT106" s="272"/>
      <c r="BU106" s="272"/>
      <c r="BV106" s="272"/>
      <c r="BW106" s="272"/>
      <c r="BX106" s="272"/>
      <c r="BY106" s="272"/>
      <c r="BZ106" s="272"/>
      <c r="CA106" s="272"/>
      <c r="CB106" s="272"/>
      <c r="CC106" s="272"/>
      <c r="CD106" s="272"/>
      <c r="CE106" s="272"/>
      <c r="CF106" s="272"/>
      <c r="CG106" s="272"/>
      <c r="CH106" s="272"/>
      <c r="CI106" s="272"/>
      <c r="CJ106" s="272"/>
      <c r="CK106" s="272"/>
      <c r="CL106" s="272"/>
      <c r="CM106" s="272"/>
      <c r="CN106" s="272"/>
      <c r="CO106" s="272"/>
      <c r="CP106" s="272"/>
      <c r="CQ106" s="272"/>
      <c r="CR106" s="272"/>
      <c r="CS106" s="272"/>
      <c r="CT106" s="272"/>
      <c r="CU106" s="272"/>
      <c r="CV106" s="272"/>
      <c r="CW106" s="272"/>
      <c r="CX106" s="272"/>
      <c r="CY106" s="272"/>
      <c r="CZ106" s="272"/>
      <c r="DA106" s="272"/>
      <c r="DB106" s="272"/>
      <c r="DC106" s="272"/>
      <c r="DD106" s="272"/>
      <c r="DE106" s="272"/>
      <c r="DF106" s="272"/>
      <c r="DG106" s="272"/>
      <c r="DH106" s="272"/>
      <c r="DI106" s="272"/>
      <c r="DJ106" s="272"/>
      <c r="DK106" s="272"/>
      <c r="DL106" s="272"/>
      <c r="DM106" s="272"/>
      <c r="DN106" s="272"/>
      <c r="DO106" s="272"/>
      <c r="DP106" s="272"/>
      <c r="DQ106" s="272"/>
      <c r="DR106" s="272"/>
      <c r="DS106" s="272"/>
      <c r="DT106" s="272"/>
      <c r="DU106" s="272"/>
      <c r="DV106" s="272"/>
      <c r="DW106" s="272"/>
      <c r="DX106" s="272"/>
      <c r="DY106" s="272"/>
      <c r="DZ106" s="272"/>
      <c r="EA106" s="272"/>
      <c r="EB106" s="272"/>
      <c r="EC106" s="272"/>
      <c r="ED106" s="272"/>
      <c r="EE106" s="272"/>
      <c r="EF106" s="272"/>
      <c r="EG106" s="272"/>
      <c r="EH106" s="272"/>
      <c r="EI106" s="272"/>
      <c r="EJ106" s="272"/>
      <c r="EK106" s="272"/>
      <c r="EL106" s="272"/>
      <c r="EM106" s="272"/>
      <c r="EN106" s="272"/>
      <c r="EO106" s="272"/>
      <c r="EP106" s="272"/>
      <c r="EQ106" s="272"/>
      <c r="ER106" s="272"/>
      <c r="ES106" s="272"/>
      <c r="ET106" s="272"/>
      <c r="EU106" s="272"/>
      <c r="EV106" s="272"/>
      <c r="EW106" s="272"/>
      <c r="EX106" s="272"/>
      <c r="EY106" s="272"/>
      <c r="EZ106" s="272"/>
      <c r="FA106" s="272"/>
      <c r="FB106" s="272"/>
      <c r="FC106" s="272"/>
      <c r="FD106" s="272"/>
      <c r="FE106" s="272"/>
      <c r="FF106" s="272"/>
      <c r="FG106" s="272"/>
      <c r="FH106" s="272"/>
      <c r="FI106" s="272"/>
      <c r="FJ106" s="272"/>
      <c r="FK106" s="272"/>
      <c r="FL106" s="272"/>
      <c r="FM106" s="272"/>
      <c r="FN106" s="272"/>
      <c r="FO106" s="272"/>
      <c r="FP106" s="272"/>
      <c r="FQ106" s="272"/>
      <c r="FR106" s="272"/>
      <c r="FS106" s="272"/>
      <c r="FT106" s="272"/>
      <c r="FU106" s="272"/>
      <c r="FV106" s="272"/>
      <c r="FW106" s="272"/>
      <c r="FX106" s="272"/>
      <c r="FY106" s="272"/>
      <c r="FZ106" s="272"/>
      <c r="GA106" s="272"/>
      <c r="GB106" s="272"/>
      <c r="GC106" s="272"/>
      <c r="GD106" s="272"/>
      <c r="GE106" s="272"/>
      <c r="GF106" s="272"/>
      <c r="GG106" s="272"/>
      <c r="GH106" s="272"/>
      <c r="GI106" s="272"/>
      <c r="GJ106" s="272"/>
      <c r="GK106" s="272"/>
      <c r="GL106" s="272"/>
      <c r="GM106" s="272"/>
      <c r="GN106" s="272"/>
      <c r="GO106" s="272"/>
      <c r="GP106" s="272"/>
      <c r="GQ106" s="272"/>
      <c r="GR106" s="272"/>
      <c r="GS106" s="272"/>
      <c r="GT106" s="272"/>
      <c r="GU106" s="272"/>
      <c r="GV106" s="272"/>
      <c r="GW106" s="272"/>
      <c r="GX106" s="272"/>
      <c r="GY106" s="272"/>
      <c r="GZ106" s="272"/>
      <c r="HA106" s="272"/>
      <c r="HB106" s="272"/>
      <c r="HC106" s="272"/>
      <c r="HD106" s="272"/>
      <c r="HE106" s="272"/>
      <c r="HF106" s="272"/>
      <c r="HG106" s="272"/>
      <c r="HH106" s="272"/>
      <c r="HI106" s="272"/>
      <c r="HJ106" s="272"/>
      <c r="HK106" s="272"/>
      <c r="HL106" s="272"/>
      <c r="HM106" s="272"/>
      <c r="HN106" s="272"/>
      <c r="HO106" s="272"/>
      <c r="HP106" s="272"/>
      <c r="HQ106" s="272"/>
      <c r="HR106" s="272"/>
      <c r="HS106" s="272"/>
      <c r="HT106" s="272"/>
      <c r="HU106" s="272"/>
      <c r="HV106" s="272"/>
      <c r="HW106" s="272"/>
      <c r="HX106" s="272"/>
      <c r="HY106" s="272"/>
      <c r="HZ106" s="272"/>
      <c r="IA106" s="272"/>
      <c r="IB106" s="272"/>
      <c r="IC106" s="272"/>
      <c r="ID106" s="272"/>
      <c r="IE106" s="272"/>
      <c r="IF106" s="272"/>
      <c r="IG106" s="272"/>
      <c r="IH106" s="272"/>
      <c r="II106" s="272"/>
      <c r="IJ106" s="272"/>
      <c r="IK106" s="272"/>
      <c r="IL106" s="272"/>
      <c r="IM106" s="272"/>
      <c r="IN106" s="272"/>
      <c r="IO106" s="272"/>
      <c r="IP106" s="272"/>
      <c r="IQ106" s="272"/>
      <c r="IR106" s="272"/>
      <c r="IS106" s="272"/>
      <c r="IT106" s="272"/>
      <c r="IU106" s="272"/>
      <c r="IV106" s="272"/>
      <c r="IW106" s="272"/>
      <c r="IX106" s="272"/>
      <c r="IY106" s="272"/>
      <c r="IZ106" s="272"/>
      <c r="JA106" s="272"/>
      <c r="JB106" s="272"/>
      <c r="JC106" s="272"/>
      <c r="JD106" s="272"/>
      <c r="JE106" s="272"/>
      <c r="JF106" s="272"/>
      <c r="JG106" s="272"/>
      <c r="JH106" s="272"/>
      <c r="JI106" s="272"/>
      <c r="JJ106" s="272"/>
      <c r="JK106" s="272"/>
      <c r="JL106" s="272"/>
      <c r="JM106" s="272"/>
      <c r="JN106" s="272"/>
      <c r="JO106" s="272"/>
      <c r="JP106" s="272"/>
      <c r="JQ106" s="272"/>
      <c r="JR106" s="272"/>
      <c r="JS106" s="272"/>
      <c r="JT106" s="272"/>
      <c r="JU106" s="272"/>
      <c r="JV106" s="272"/>
      <c r="JW106" s="272"/>
      <c r="JX106" s="272"/>
      <c r="JY106" s="272"/>
      <c r="JZ106" s="272"/>
      <c r="KA106" s="272"/>
      <c r="KB106" s="272"/>
      <c r="KC106" s="272"/>
      <c r="KD106" s="272"/>
      <c r="KE106" s="272"/>
      <c r="KF106" s="272"/>
      <c r="KG106" s="272"/>
      <c r="KH106" s="272"/>
      <c r="KI106" s="272"/>
      <c r="KJ106" s="272"/>
      <c r="KK106" s="272"/>
      <c r="KL106" s="272"/>
      <c r="KM106" s="272"/>
      <c r="KN106" s="272"/>
      <c r="KO106" s="272"/>
      <c r="KP106" s="272"/>
      <c r="KQ106" s="272"/>
      <c r="KR106" s="272"/>
      <c r="KS106" s="272"/>
      <c r="KT106" s="272"/>
      <c r="KU106" s="272"/>
      <c r="KV106" s="272"/>
      <c r="KW106" s="272"/>
      <c r="KX106" s="272"/>
      <c r="KY106" s="272"/>
      <c r="KZ106" s="272"/>
      <c r="LA106" s="272"/>
      <c r="LB106" s="272"/>
      <c r="LC106" s="272"/>
      <c r="LD106" s="272"/>
      <c r="LE106" s="272"/>
      <c r="LF106" s="272"/>
      <c r="LG106" s="272"/>
      <c r="LH106" s="272"/>
      <c r="LI106" s="272"/>
      <c r="LJ106" s="272"/>
      <c r="LK106" s="272"/>
      <c r="LL106" s="272"/>
      <c r="LM106" s="272"/>
      <c r="LN106" s="272"/>
      <c r="LO106" s="272"/>
      <c r="LP106" s="272"/>
      <c r="LQ106" s="272"/>
      <c r="LR106" s="272"/>
      <c r="LS106" s="272"/>
      <c r="LT106" s="272"/>
      <c r="LU106" s="272"/>
      <c r="LV106" s="272"/>
      <c r="LW106" s="272"/>
      <c r="LX106" s="272"/>
      <c r="LY106" s="272"/>
      <c r="LZ106" s="272"/>
      <c r="MA106" s="272"/>
      <c r="MB106" s="272"/>
      <c r="MC106" s="272"/>
      <c r="MD106" s="272"/>
      <c r="ME106" s="272"/>
      <c r="MF106" s="272"/>
      <c r="MG106" s="272"/>
      <c r="MH106" s="272"/>
      <c r="MI106" s="272"/>
      <c r="MJ106" s="272"/>
      <c r="MK106" s="272"/>
      <c r="ML106" s="272"/>
      <c r="MM106" s="272"/>
      <c r="MN106" s="272"/>
      <c r="MO106" s="272"/>
      <c r="MP106" s="272"/>
      <c r="MQ106" s="272"/>
      <c r="MR106" s="272"/>
      <c r="MS106" s="272"/>
      <c r="MT106" s="272"/>
      <c r="MU106" s="272"/>
      <c r="MV106" s="272"/>
      <c r="MW106" s="272"/>
      <c r="MX106" s="272"/>
      <c r="MY106" s="272"/>
      <c r="MZ106" s="272"/>
      <c r="NA106" s="272"/>
      <c r="NB106" s="272"/>
      <c r="NC106" s="272"/>
      <c r="ND106" s="272"/>
      <c r="NE106" s="272"/>
      <c r="NF106" s="272"/>
      <c r="NG106" s="272"/>
      <c r="NH106" s="272"/>
      <c r="NI106" s="272"/>
      <c r="NJ106" s="272"/>
      <c r="NK106" s="272"/>
      <c r="NL106" s="272"/>
      <c r="NM106" s="272"/>
      <c r="NN106" s="272"/>
      <c r="NO106" s="272"/>
      <c r="NP106" s="272"/>
      <c r="NQ106" s="272"/>
      <c r="NR106" s="272"/>
      <c r="NS106" s="272"/>
      <c r="NT106" s="272"/>
      <c r="NU106" s="272"/>
      <c r="NV106" s="272"/>
      <c r="NW106" s="272"/>
      <c r="NX106" s="272"/>
      <c r="NY106" s="272"/>
      <c r="NZ106" s="272"/>
      <c r="OA106" s="272"/>
      <c r="OB106" s="272"/>
      <c r="OC106" s="272"/>
      <c r="OD106" s="272"/>
      <c r="OE106" s="272"/>
      <c r="OF106" s="272"/>
      <c r="OG106" s="272"/>
      <c r="OH106" s="272"/>
      <c r="OI106" s="272"/>
      <c r="OJ106" s="272"/>
      <c r="OK106" s="272"/>
      <c r="OL106" s="272"/>
      <c r="OM106" s="272"/>
      <c r="ON106" s="272"/>
      <c r="OO106" s="272"/>
      <c r="OP106" s="272"/>
      <c r="OQ106" s="272"/>
      <c r="OR106" s="272"/>
      <c r="OS106" s="272"/>
      <c r="OT106" s="272"/>
      <c r="OU106" s="272"/>
      <c r="OV106" s="272"/>
      <c r="OW106" s="272"/>
      <c r="OX106" s="272"/>
      <c r="OY106" s="272"/>
      <c r="OZ106" s="272"/>
      <c r="PA106" s="272"/>
      <c r="PB106" s="272"/>
      <c r="PC106" s="272"/>
      <c r="PD106" s="272"/>
      <c r="PE106" s="272"/>
      <c r="PF106" s="272"/>
      <c r="PG106" s="272"/>
      <c r="PH106" s="272"/>
      <c r="PI106" s="272"/>
      <c r="PJ106" s="272"/>
      <c r="PK106" s="272"/>
      <c r="PL106" s="272"/>
      <c r="PM106" s="272"/>
      <c r="PN106" s="272"/>
      <c r="PO106" s="272"/>
      <c r="PP106" s="272"/>
      <c r="PQ106" s="272"/>
      <c r="PR106" s="272"/>
      <c r="PS106" s="272"/>
      <c r="PT106" s="272"/>
      <c r="PU106" s="272"/>
      <c r="PV106" s="272"/>
      <c r="PW106" s="272"/>
      <c r="PX106" s="272"/>
      <c r="PY106" s="272"/>
      <c r="PZ106" s="272"/>
      <c r="QA106" s="272"/>
      <c r="QB106" s="272"/>
      <c r="QC106" s="272"/>
      <c r="QD106" s="272"/>
      <c r="QE106" s="272"/>
      <c r="QF106" s="272"/>
      <c r="QG106" s="272"/>
      <c r="QH106" s="272"/>
      <c r="QI106" s="272"/>
      <c r="QJ106" s="272"/>
      <c r="QK106" s="272"/>
      <c r="QL106" s="272"/>
      <c r="QM106" s="272"/>
      <c r="QN106" s="272"/>
      <c r="QO106" s="272"/>
      <c r="QP106" s="272"/>
      <c r="QQ106" s="272"/>
      <c r="QR106" s="272"/>
      <c r="QS106" s="272"/>
      <c r="QT106" s="272"/>
      <c r="QU106" s="272"/>
      <c r="QV106" s="272"/>
      <c r="QW106" s="272"/>
      <c r="QX106" s="272"/>
      <c r="QY106" s="272"/>
      <c r="QZ106" s="272"/>
      <c r="RA106" s="272"/>
      <c r="RB106" s="272"/>
      <c r="RC106" s="272"/>
      <c r="RD106" s="272"/>
      <c r="RE106" s="272"/>
      <c r="RF106" s="272"/>
      <c r="RG106" s="272"/>
      <c r="RH106" s="272"/>
      <c r="RI106" s="272"/>
      <c r="RJ106" s="272"/>
      <c r="RK106" s="272"/>
      <c r="RL106" s="272"/>
      <c r="RM106" s="272"/>
      <c r="RN106" s="272"/>
      <c r="RO106" s="272"/>
      <c r="RP106" s="272"/>
      <c r="RQ106" s="272"/>
      <c r="RR106" s="272"/>
      <c r="RS106" s="272"/>
      <c r="RT106" s="272"/>
      <c r="RU106" s="272"/>
      <c r="RV106" s="272"/>
      <c r="RW106" s="272"/>
      <c r="RX106" s="272"/>
      <c r="RY106" s="272"/>
      <c r="RZ106" s="272"/>
      <c r="SA106" s="272"/>
      <c r="SB106" s="272"/>
      <c r="SC106" s="272"/>
      <c r="SD106" s="272"/>
      <c r="SE106" s="272"/>
      <c r="SF106" s="272"/>
      <c r="SG106" s="272"/>
      <c r="SH106" s="272"/>
      <c r="SI106" s="272"/>
      <c r="SJ106" s="272"/>
      <c r="SK106" s="272"/>
      <c r="SL106" s="272"/>
      <c r="SM106" s="272"/>
      <c r="SN106" s="272"/>
      <c r="SO106" s="272"/>
      <c r="SP106" s="272"/>
      <c r="SQ106" s="272"/>
      <c r="SR106" s="272"/>
      <c r="SS106" s="272"/>
      <c r="ST106" s="272"/>
      <c r="SU106" s="272"/>
      <c r="SV106" s="272"/>
      <c r="SW106" s="272"/>
      <c r="SX106" s="272"/>
      <c r="SY106" s="272"/>
      <c r="SZ106" s="272"/>
      <c r="TA106" s="272"/>
      <c r="TB106" s="272"/>
      <c r="TC106" s="272"/>
      <c r="TD106" s="272"/>
      <c r="TE106" s="272"/>
      <c r="TF106" s="272"/>
      <c r="TG106" s="272"/>
      <c r="TH106" s="272"/>
      <c r="TI106" s="272"/>
      <c r="TJ106" s="272"/>
      <c r="TK106" s="272"/>
      <c r="TL106" s="272"/>
      <c r="TM106" s="272"/>
      <c r="TN106" s="272"/>
      <c r="TO106" s="272"/>
      <c r="TP106" s="272"/>
      <c r="TQ106" s="272"/>
      <c r="TR106" s="272"/>
      <c r="TS106" s="272"/>
      <c r="TT106" s="272"/>
      <c r="TU106" s="272"/>
      <c r="TV106" s="272"/>
      <c r="TW106" s="272"/>
      <c r="TX106" s="272"/>
      <c r="TY106" s="272"/>
      <c r="TZ106" s="272"/>
      <c r="UA106" s="272"/>
      <c r="UB106" s="272"/>
      <c r="UC106" s="272"/>
      <c r="UD106" s="272"/>
      <c r="UE106" s="272"/>
      <c r="UF106" s="272"/>
      <c r="UG106" s="272"/>
      <c r="UH106" s="272"/>
      <c r="UI106" s="272"/>
      <c r="UJ106" s="272"/>
      <c r="UK106" s="272"/>
      <c r="UL106" s="272"/>
      <c r="UM106" s="272"/>
      <c r="UN106" s="272"/>
      <c r="UO106" s="272"/>
      <c r="UP106" s="272"/>
      <c r="UQ106" s="272"/>
      <c r="UR106" s="272"/>
      <c r="US106" s="272"/>
      <c r="UT106" s="272"/>
      <c r="UU106" s="272"/>
      <c r="UV106" s="272"/>
      <c r="UW106" s="272"/>
      <c r="UX106" s="272"/>
      <c r="UY106" s="272"/>
      <c r="UZ106" s="272"/>
      <c r="VA106" s="272"/>
      <c r="VB106" s="272"/>
      <c r="VC106" s="272"/>
      <c r="VD106" s="272"/>
      <c r="VE106" s="272"/>
      <c r="VF106" s="272"/>
      <c r="VG106" s="272"/>
      <c r="VH106" s="272"/>
      <c r="VI106" s="272"/>
      <c r="VJ106" s="272"/>
      <c r="VK106" s="272"/>
      <c r="VL106" s="272"/>
      <c r="VM106" s="272"/>
      <c r="VN106" s="272"/>
      <c r="VO106" s="272"/>
      <c r="VP106" s="272"/>
      <c r="VQ106" s="272"/>
      <c r="VR106" s="272"/>
      <c r="VS106" s="272"/>
      <c r="VT106" s="272"/>
      <c r="VU106" s="272"/>
      <c r="VV106" s="272"/>
      <c r="VW106" s="272"/>
      <c r="VX106" s="272"/>
      <c r="VY106" s="272"/>
      <c r="VZ106" s="272"/>
      <c r="WA106" s="272"/>
      <c r="WB106" s="272"/>
      <c r="WC106" s="272"/>
      <c r="WD106" s="272"/>
      <c r="WE106" s="272"/>
      <c r="WF106" s="272"/>
      <c r="WG106" s="272"/>
      <c r="WH106" s="272"/>
      <c r="WI106" s="272"/>
      <c r="WJ106" s="272"/>
      <c r="WK106" s="272"/>
      <c r="WL106" s="272"/>
      <c r="WM106" s="272"/>
      <c r="WN106" s="272"/>
      <c r="WO106" s="272"/>
      <c r="WP106" s="272"/>
      <c r="WQ106" s="272"/>
      <c r="WR106" s="272"/>
      <c r="WS106" s="272"/>
      <c r="WT106" s="272"/>
      <c r="WU106" s="272"/>
      <c r="WV106" s="272"/>
      <c r="WW106" s="272"/>
      <c r="WX106" s="272"/>
      <c r="WY106" s="272"/>
      <c r="WZ106" s="272"/>
      <c r="XA106" s="272"/>
      <c r="XB106" s="272"/>
      <c r="XC106" s="272"/>
      <c r="XD106" s="272"/>
      <c r="XE106" s="272"/>
      <c r="XF106" s="272"/>
      <c r="XG106" s="272"/>
      <c r="XH106" s="272"/>
      <c r="XI106" s="272"/>
      <c r="XJ106" s="272"/>
      <c r="XK106" s="272"/>
      <c r="XL106" s="272"/>
      <c r="XM106" s="272"/>
      <c r="XN106" s="272"/>
      <c r="XO106" s="272"/>
      <c r="XP106" s="272"/>
      <c r="XQ106" s="272"/>
      <c r="XR106" s="272"/>
      <c r="XS106" s="272"/>
      <c r="XT106" s="272"/>
      <c r="XU106" s="272"/>
      <c r="XV106" s="272"/>
      <c r="XW106" s="272"/>
      <c r="XX106" s="272"/>
      <c r="XY106" s="272"/>
      <c r="XZ106" s="272"/>
      <c r="YA106" s="272"/>
      <c r="YB106" s="272"/>
      <c r="YC106" s="272"/>
      <c r="YD106" s="272"/>
      <c r="YE106" s="272"/>
      <c r="YF106" s="272"/>
      <c r="YG106" s="272"/>
      <c r="YH106" s="272"/>
      <c r="YI106" s="272"/>
      <c r="YJ106" s="272"/>
      <c r="YK106" s="272"/>
      <c r="YL106" s="272"/>
      <c r="YM106" s="272"/>
      <c r="YN106" s="272"/>
      <c r="YO106" s="272"/>
      <c r="YP106" s="272"/>
      <c r="YQ106" s="272"/>
      <c r="YR106" s="272"/>
      <c r="YS106" s="272"/>
      <c r="YT106" s="272"/>
      <c r="YU106" s="272"/>
      <c r="YV106" s="272"/>
      <c r="YW106" s="272"/>
      <c r="YX106" s="272"/>
      <c r="YY106" s="272"/>
      <c r="YZ106" s="272"/>
      <c r="ZA106" s="272"/>
      <c r="ZB106" s="272"/>
      <c r="ZC106" s="272"/>
      <c r="ZD106" s="272"/>
      <c r="ZE106" s="272"/>
      <c r="ZF106" s="272"/>
      <c r="ZG106" s="272"/>
      <c r="ZH106" s="272"/>
      <c r="ZI106" s="272"/>
      <c r="ZJ106" s="272"/>
      <c r="ZK106" s="272"/>
      <c r="ZL106" s="272"/>
      <c r="ZM106" s="272"/>
      <c r="ZN106" s="272"/>
      <c r="ZO106" s="272"/>
      <c r="ZP106" s="272"/>
      <c r="ZQ106" s="272"/>
      <c r="ZR106" s="272"/>
      <c r="ZS106" s="272"/>
      <c r="ZT106" s="272"/>
    </row>
    <row r="107" spans="1:696" s="86" customFormat="1" ht="12.75" customHeight="1">
      <c r="A107" s="39"/>
      <c r="B107" s="40"/>
      <c r="C107" s="598"/>
      <c r="D107" s="601"/>
      <c r="E107" s="619"/>
      <c r="F107" s="620"/>
      <c r="G107" s="627"/>
      <c r="H107" s="627"/>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c r="EA107" s="272"/>
      <c r="EB107" s="272"/>
      <c r="EC107" s="272"/>
      <c r="ED107" s="272"/>
      <c r="EE107" s="272"/>
      <c r="EF107" s="272"/>
      <c r="EG107" s="272"/>
      <c r="EH107" s="272"/>
      <c r="EI107" s="272"/>
      <c r="EJ107" s="272"/>
      <c r="EK107" s="272"/>
      <c r="EL107" s="272"/>
      <c r="EM107" s="272"/>
      <c r="EN107" s="272"/>
      <c r="EO107" s="272"/>
      <c r="EP107" s="272"/>
      <c r="EQ107" s="272"/>
      <c r="ER107" s="272"/>
      <c r="ES107" s="272"/>
      <c r="ET107" s="272"/>
      <c r="EU107" s="272"/>
      <c r="EV107" s="272"/>
      <c r="EW107" s="272"/>
      <c r="EX107" s="272"/>
      <c r="EY107" s="272"/>
      <c r="EZ107" s="272"/>
      <c r="FA107" s="272"/>
      <c r="FB107" s="272"/>
      <c r="FC107" s="272"/>
      <c r="FD107" s="272"/>
      <c r="FE107" s="272"/>
      <c r="FF107" s="272"/>
      <c r="FG107" s="272"/>
      <c r="FH107" s="272"/>
      <c r="FI107" s="272"/>
      <c r="FJ107" s="272"/>
      <c r="FK107" s="272"/>
      <c r="FL107" s="272"/>
      <c r="FM107" s="272"/>
      <c r="FN107" s="272"/>
      <c r="FO107" s="272"/>
      <c r="FP107" s="272"/>
      <c r="FQ107" s="272"/>
      <c r="FR107" s="272"/>
      <c r="FS107" s="272"/>
      <c r="FT107" s="272"/>
      <c r="FU107" s="272"/>
      <c r="FV107" s="272"/>
      <c r="FW107" s="272"/>
      <c r="FX107" s="272"/>
      <c r="FY107" s="272"/>
      <c r="FZ107" s="272"/>
      <c r="GA107" s="272"/>
      <c r="GB107" s="272"/>
      <c r="GC107" s="272"/>
      <c r="GD107" s="272"/>
      <c r="GE107" s="272"/>
      <c r="GF107" s="272"/>
      <c r="GG107" s="272"/>
      <c r="GH107" s="272"/>
      <c r="GI107" s="272"/>
      <c r="GJ107" s="272"/>
      <c r="GK107" s="272"/>
      <c r="GL107" s="272"/>
      <c r="GM107" s="272"/>
      <c r="GN107" s="272"/>
      <c r="GO107" s="272"/>
      <c r="GP107" s="272"/>
      <c r="GQ107" s="272"/>
      <c r="GR107" s="272"/>
      <c r="GS107" s="272"/>
      <c r="GT107" s="272"/>
      <c r="GU107" s="272"/>
      <c r="GV107" s="272"/>
      <c r="GW107" s="272"/>
      <c r="GX107" s="272"/>
      <c r="GY107" s="272"/>
      <c r="GZ107" s="272"/>
      <c r="HA107" s="272"/>
      <c r="HB107" s="272"/>
      <c r="HC107" s="272"/>
      <c r="HD107" s="272"/>
      <c r="HE107" s="272"/>
      <c r="HF107" s="272"/>
      <c r="HG107" s="272"/>
      <c r="HH107" s="272"/>
      <c r="HI107" s="272"/>
      <c r="HJ107" s="272"/>
      <c r="HK107" s="272"/>
      <c r="HL107" s="272"/>
      <c r="HM107" s="272"/>
      <c r="HN107" s="272"/>
      <c r="HO107" s="272"/>
      <c r="HP107" s="272"/>
      <c r="HQ107" s="272"/>
      <c r="HR107" s="272"/>
      <c r="HS107" s="272"/>
      <c r="HT107" s="272"/>
      <c r="HU107" s="272"/>
      <c r="HV107" s="272"/>
      <c r="HW107" s="272"/>
      <c r="HX107" s="272"/>
      <c r="HY107" s="272"/>
      <c r="HZ107" s="272"/>
      <c r="IA107" s="272"/>
      <c r="IB107" s="272"/>
      <c r="IC107" s="272"/>
      <c r="ID107" s="272"/>
      <c r="IE107" s="272"/>
      <c r="IF107" s="272"/>
      <c r="IG107" s="272"/>
      <c r="IH107" s="272"/>
      <c r="II107" s="272"/>
      <c r="IJ107" s="272"/>
      <c r="IK107" s="272"/>
      <c r="IL107" s="272"/>
      <c r="IM107" s="272"/>
      <c r="IN107" s="272"/>
      <c r="IO107" s="272"/>
      <c r="IP107" s="272"/>
      <c r="IQ107" s="272"/>
      <c r="IR107" s="272"/>
      <c r="IS107" s="272"/>
      <c r="IT107" s="272"/>
      <c r="IU107" s="272"/>
      <c r="IV107" s="272"/>
      <c r="IW107" s="272"/>
      <c r="IX107" s="272"/>
      <c r="IY107" s="272"/>
      <c r="IZ107" s="272"/>
      <c r="JA107" s="272"/>
      <c r="JB107" s="272"/>
      <c r="JC107" s="272"/>
      <c r="JD107" s="272"/>
      <c r="JE107" s="272"/>
      <c r="JF107" s="272"/>
      <c r="JG107" s="272"/>
      <c r="JH107" s="272"/>
      <c r="JI107" s="272"/>
      <c r="JJ107" s="272"/>
      <c r="JK107" s="272"/>
      <c r="JL107" s="272"/>
      <c r="JM107" s="272"/>
      <c r="JN107" s="272"/>
      <c r="JO107" s="272"/>
      <c r="JP107" s="272"/>
      <c r="JQ107" s="272"/>
      <c r="JR107" s="272"/>
      <c r="JS107" s="272"/>
      <c r="JT107" s="272"/>
      <c r="JU107" s="272"/>
      <c r="JV107" s="272"/>
      <c r="JW107" s="272"/>
      <c r="JX107" s="272"/>
      <c r="JY107" s="272"/>
      <c r="JZ107" s="272"/>
      <c r="KA107" s="272"/>
      <c r="KB107" s="272"/>
      <c r="KC107" s="272"/>
      <c r="KD107" s="272"/>
      <c r="KE107" s="272"/>
      <c r="KF107" s="272"/>
      <c r="KG107" s="272"/>
      <c r="KH107" s="272"/>
      <c r="KI107" s="272"/>
      <c r="KJ107" s="272"/>
      <c r="KK107" s="272"/>
      <c r="KL107" s="272"/>
      <c r="KM107" s="272"/>
      <c r="KN107" s="272"/>
      <c r="KO107" s="272"/>
      <c r="KP107" s="272"/>
      <c r="KQ107" s="272"/>
      <c r="KR107" s="272"/>
      <c r="KS107" s="272"/>
      <c r="KT107" s="272"/>
      <c r="KU107" s="272"/>
      <c r="KV107" s="272"/>
      <c r="KW107" s="272"/>
      <c r="KX107" s="272"/>
      <c r="KY107" s="272"/>
      <c r="KZ107" s="272"/>
      <c r="LA107" s="272"/>
      <c r="LB107" s="272"/>
      <c r="LC107" s="272"/>
      <c r="LD107" s="272"/>
      <c r="LE107" s="272"/>
      <c r="LF107" s="272"/>
      <c r="LG107" s="272"/>
      <c r="LH107" s="272"/>
      <c r="LI107" s="272"/>
      <c r="LJ107" s="272"/>
      <c r="LK107" s="272"/>
      <c r="LL107" s="272"/>
      <c r="LM107" s="272"/>
      <c r="LN107" s="272"/>
      <c r="LO107" s="272"/>
      <c r="LP107" s="272"/>
      <c r="LQ107" s="272"/>
      <c r="LR107" s="272"/>
      <c r="LS107" s="272"/>
      <c r="LT107" s="272"/>
      <c r="LU107" s="272"/>
      <c r="LV107" s="272"/>
      <c r="LW107" s="272"/>
      <c r="LX107" s="272"/>
      <c r="LY107" s="272"/>
      <c r="LZ107" s="272"/>
      <c r="MA107" s="272"/>
      <c r="MB107" s="272"/>
      <c r="MC107" s="272"/>
      <c r="MD107" s="272"/>
      <c r="ME107" s="272"/>
      <c r="MF107" s="272"/>
      <c r="MG107" s="272"/>
      <c r="MH107" s="272"/>
      <c r="MI107" s="272"/>
      <c r="MJ107" s="272"/>
      <c r="MK107" s="272"/>
      <c r="ML107" s="272"/>
      <c r="MM107" s="272"/>
      <c r="MN107" s="272"/>
      <c r="MO107" s="272"/>
      <c r="MP107" s="272"/>
      <c r="MQ107" s="272"/>
      <c r="MR107" s="272"/>
      <c r="MS107" s="272"/>
      <c r="MT107" s="272"/>
      <c r="MU107" s="272"/>
      <c r="MV107" s="272"/>
      <c r="MW107" s="272"/>
      <c r="MX107" s="272"/>
      <c r="MY107" s="272"/>
      <c r="MZ107" s="272"/>
      <c r="NA107" s="272"/>
      <c r="NB107" s="272"/>
      <c r="NC107" s="272"/>
      <c r="ND107" s="272"/>
      <c r="NE107" s="272"/>
      <c r="NF107" s="272"/>
      <c r="NG107" s="272"/>
      <c r="NH107" s="272"/>
      <c r="NI107" s="272"/>
      <c r="NJ107" s="272"/>
      <c r="NK107" s="272"/>
      <c r="NL107" s="272"/>
      <c r="NM107" s="272"/>
      <c r="NN107" s="272"/>
      <c r="NO107" s="272"/>
      <c r="NP107" s="272"/>
      <c r="NQ107" s="272"/>
      <c r="NR107" s="272"/>
      <c r="NS107" s="272"/>
      <c r="NT107" s="272"/>
      <c r="NU107" s="272"/>
      <c r="NV107" s="272"/>
      <c r="NW107" s="272"/>
      <c r="NX107" s="272"/>
      <c r="NY107" s="272"/>
      <c r="NZ107" s="272"/>
      <c r="OA107" s="272"/>
      <c r="OB107" s="272"/>
      <c r="OC107" s="272"/>
      <c r="OD107" s="272"/>
      <c r="OE107" s="272"/>
      <c r="OF107" s="272"/>
      <c r="OG107" s="272"/>
      <c r="OH107" s="272"/>
      <c r="OI107" s="272"/>
      <c r="OJ107" s="272"/>
      <c r="OK107" s="272"/>
      <c r="OL107" s="272"/>
      <c r="OM107" s="272"/>
      <c r="ON107" s="272"/>
      <c r="OO107" s="272"/>
      <c r="OP107" s="272"/>
      <c r="OQ107" s="272"/>
      <c r="OR107" s="272"/>
      <c r="OS107" s="272"/>
      <c r="OT107" s="272"/>
      <c r="OU107" s="272"/>
      <c r="OV107" s="272"/>
      <c r="OW107" s="272"/>
      <c r="OX107" s="272"/>
      <c r="OY107" s="272"/>
      <c r="OZ107" s="272"/>
      <c r="PA107" s="272"/>
      <c r="PB107" s="272"/>
      <c r="PC107" s="272"/>
      <c r="PD107" s="272"/>
      <c r="PE107" s="272"/>
      <c r="PF107" s="272"/>
      <c r="PG107" s="272"/>
      <c r="PH107" s="272"/>
      <c r="PI107" s="272"/>
      <c r="PJ107" s="272"/>
      <c r="PK107" s="272"/>
      <c r="PL107" s="272"/>
      <c r="PM107" s="272"/>
      <c r="PN107" s="272"/>
      <c r="PO107" s="272"/>
      <c r="PP107" s="272"/>
      <c r="PQ107" s="272"/>
      <c r="PR107" s="272"/>
      <c r="PS107" s="272"/>
      <c r="PT107" s="272"/>
      <c r="PU107" s="272"/>
      <c r="PV107" s="272"/>
      <c r="PW107" s="272"/>
      <c r="PX107" s="272"/>
      <c r="PY107" s="272"/>
      <c r="PZ107" s="272"/>
      <c r="QA107" s="272"/>
      <c r="QB107" s="272"/>
      <c r="QC107" s="272"/>
      <c r="QD107" s="272"/>
      <c r="QE107" s="272"/>
      <c r="QF107" s="272"/>
      <c r="QG107" s="272"/>
      <c r="QH107" s="272"/>
      <c r="QI107" s="272"/>
      <c r="QJ107" s="272"/>
      <c r="QK107" s="272"/>
      <c r="QL107" s="272"/>
      <c r="QM107" s="272"/>
      <c r="QN107" s="272"/>
      <c r="QO107" s="272"/>
      <c r="QP107" s="272"/>
      <c r="QQ107" s="272"/>
      <c r="QR107" s="272"/>
      <c r="QS107" s="272"/>
      <c r="QT107" s="272"/>
      <c r="QU107" s="272"/>
      <c r="QV107" s="272"/>
      <c r="QW107" s="272"/>
      <c r="QX107" s="272"/>
      <c r="QY107" s="272"/>
      <c r="QZ107" s="272"/>
      <c r="RA107" s="272"/>
      <c r="RB107" s="272"/>
      <c r="RC107" s="272"/>
      <c r="RD107" s="272"/>
      <c r="RE107" s="272"/>
      <c r="RF107" s="272"/>
      <c r="RG107" s="272"/>
      <c r="RH107" s="272"/>
      <c r="RI107" s="272"/>
      <c r="RJ107" s="272"/>
      <c r="RK107" s="272"/>
      <c r="RL107" s="272"/>
      <c r="RM107" s="272"/>
      <c r="RN107" s="272"/>
      <c r="RO107" s="272"/>
      <c r="RP107" s="272"/>
      <c r="RQ107" s="272"/>
      <c r="RR107" s="272"/>
      <c r="RS107" s="272"/>
      <c r="RT107" s="272"/>
      <c r="RU107" s="272"/>
      <c r="RV107" s="272"/>
      <c r="RW107" s="272"/>
      <c r="RX107" s="272"/>
      <c r="RY107" s="272"/>
      <c r="RZ107" s="272"/>
      <c r="SA107" s="272"/>
      <c r="SB107" s="272"/>
      <c r="SC107" s="272"/>
      <c r="SD107" s="272"/>
      <c r="SE107" s="272"/>
      <c r="SF107" s="272"/>
      <c r="SG107" s="272"/>
      <c r="SH107" s="272"/>
      <c r="SI107" s="272"/>
      <c r="SJ107" s="272"/>
      <c r="SK107" s="272"/>
      <c r="SL107" s="272"/>
      <c r="SM107" s="272"/>
      <c r="SN107" s="272"/>
      <c r="SO107" s="272"/>
      <c r="SP107" s="272"/>
      <c r="SQ107" s="272"/>
      <c r="SR107" s="272"/>
      <c r="SS107" s="272"/>
      <c r="ST107" s="272"/>
      <c r="SU107" s="272"/>
      <c r="SV107" s="272"/>
      <c r="SW107" s="272"/>
      <c r="SX107" s="272"/>
      <c r="SY107" s="272"/>
      <c r="SZ107" s="272"/>
      <c r="TA107" s="272"/>
      <c r="TB107" s="272"/>
      <c r="TC107" s="272"/>
      <c r="TD107" s="272"/>
      <c r="TE107" s="272"/>
      <c r="TF107" s="272"/>
      <c r="TG107" s="272"/>
      <c r="TH107" s="272"/>
      <c r="TI107" s="272"/>
      <c r="TJ107" s="272"/>
      <c r="TK107" s="272"/>
      <c r="TL107" s="272"/>
      <c r="TM107" s="272"/>
      <c r="TN107" s="272"/>
      <c r="TO107" s="272"/>
      <c r="TP107" s="272"/>
      <c r="TQ107" s="272"/>
      <c r="TR107" s="272"/>
      <c r="TS107" s="272"/>
      <c r="TT107" s="272"/>
      <c r="TU107" s="272"/>
      <c r="TV107" s="272"/>
      <c r="TW107" s="272"/>
      <c r="TX107" s="272"/>
      <c r="TY107" s="272"/>
      <c r="TZ107" s="272"/>
      <c r="UA107" s="272"/>
      <c r="UB107" s="272"/>
      <c r="UC107" s="272"/>
      <c r="UD107" s="272"/>
      <c r="UE107" s="272"/>
      <c r="UF107" s="272"/>
      <c r="UG107" s="272"/>
      <c r="UH107" s="272"/>
      <c r="UI107" s="272"/>
      <c r="UJ107" s="272"/>
      <c r="UK107" s="272"/>
      <c r="UL107" s="272"/>
      <c r="UM107" s="272"/>
      <c r="UN107" s="272"/>
      <c r="UO107" s="272"/>
      <c r="UP107" s="272"/>
      <c r="UQ107" s="272"/>
      <c r="UR107" s="272"/>
      <c r="US107" s="272"/>
      <c r="UT107" s="272"/>
      <c r="UU107" s="272"/>
      <c r="UV107" s="272"/>
      <c r="UW107" s="272"/>
      <c r="UX107" s="272"/>
      <c r="UY107" s="272"/>
      <c r="UZ107" s="272"/>
      <c r="VA107" s="272"/>
      <c r="VB107" s="272"/>
      <c r="VC107" s="272"/>
      <c r="VD107" s="272"/>
      <c r="VE107" s="272"/>
      <c r="VF107" s="272"/>
      <c r="VG107" s="272"/>
      <c r="VH107" s="272"/>
      <c r="VI107" s="272"/>
      <c r="VJ107" s="272"/>
      <c r="VK107" s="272"/>
      <c r="VL107" s="272"/>
      <c r="VM107" s="272"/>
      <c r="VN107" s="272"/>
      <c r="VO107" s="272"/>
      <c r="VP107" s="272"/>
      <c r="VQ107" s="272"/>
      <c r="VR107" s="272"/>
      <c r="VS107" s="272"/>
      <c r="VT107" s="272"/>
      <c r="VU107" s="272"/>
      <c r="VV107" s="272"/>
      <c r="VW107" s="272"/>
      <c r="VX107" s="272"/>
      <c r="VY107" s="272"/>
      <c r="VZ107" s="272"/>
      <c r="WA107" s="272"/>
      <c r="WB107" s="272"/>
      <c r="WC107" s="272"/>
      <c r="WD107" s="272"/>
      <c r="WE107" s="272"/>
      <c r="WF107" s="272"/>
      <c r="WG107" s="272"/>
      <c r="WH107" s="272"/>
      <c r="WI107" s="272"/>
      <c r="WJ107" s="272"/>
      <c r="WK107" s="272"/>
      <c r="WL107" s="272"/>
      <c r="WM107" s="272"/>
      <c r="WN107" s="272"/>
      <c r="WO107" s="272"/>
      <c r="WP107" s="272"/>
      <c r="WQ107" s="272"/>
      <c r="WR107" s="272"/>
      <c r="WS107" s="272"/>
      <c r="WT107" s="272"/>
      <c r="WU107" s="272"/>
      <c r="WV107" s="272"/>
      <c r="WW107" s="272"/>
      <c r="WX107" s="272"/>
      <c r="WY107" s="272"/>
      <c r="WZ107" s="272"/>
      <c r="XA107" s="272"/>
      <c r="XB107" s="272"/>
      <c r="XC107" s="272"/>
      <c r="XD107" s="272"/>
      <c r="XE107" s="272"/>
      <c r="XF107" s="272"/>
      <c r="XG107" s="272"/>
      <c r="XH107" s="272"/>
      <c r="XI107" s="272"/>
      <c r="XJ107" s="272"/>
      <c r="XK107" s="272"/>
      <c r="XL107" s="272"/>
      <c r="XM107" s="272"/>
      <c r="XN107" s="272"/>
      <c r="XO107" s="272"/>
      <c r="XP107" s="272"/>
      <c r="XQ107" s="272"/>
      <c r="XR107" s="272"/>
      <c r="XS107" s="272"/>
      <c r="XT107" s="272"/>
      <c r="XU107" s="272"/>
      <c r="XV107" s="272"/>
      <c r="XW107" s="272"/>
      <c r="XX107" s="272"/>
      <c r="XY107" s="272"/>
      <c r="XZ107" s="272"/>
      <c r="YA107" s="272"/>
      <c r="YB107" s="272"/>
      <c r="YC107" s="272"/>
      <c r="YD107" s="272"/>
      <c r="YE107" s="272"/>
      <c r="YF107" s="272"/>
      <c r="YG107" s="272"/>
      <c r="YH107" s="272"/>
      <c r="YI107" s="272"/>
      <c r="YJ107" s="272"/>
      <c r="YK107" s="272"/>
      <c r="YL107" s="272"/>
      <c r="YM107" s="272"/>
      <c r="YN107" s="272"/>
      <c r="YO107" s="272"/>
      <c r="YP107" s="272"/>
      <c r="YQ107" s="272"/>
      <c r="YR107" s="272"/>
      <c r="YS107" s="272"/>
      <c r="YT107" s="272"/>
      <c r="YU107" s="272"/>
      <c r="YV107" s="272"/>
      <c r="YW107" s="272"/>
      <c r="YX107" s="272"/>
      <c r="YY107" s="272"/>
      <c r="YZ107" s="272"/>
      <c r="ZA107" s="272"/>
      <c r="ZB107" s="272"/>
      <c r="ZC107" s="272"/>
      <c r="ZD107" s="272"/>
      <c r="ZE107" s="272"/>
      <c r="ZF107" s="272"/>
      <c r="ZG107" s="272"/>
      <c r="ZH107" s="272"/>
      <c r="ZI107" s="272"/>
      <c r="ZJ107" s="272"/>
      <c r="ZK107" s="272"/>
      <c r="ZL107" s="272"/>
      <c r="ZM107" s="272"/>
      <c r="ZN107" s="272"/>
      <c r="ZO107" s="272"/>
      <c r="ZP107" s="272"/>
      <c r="ZQ107" s="272"/>
      <c r="ZR107" s="272"/>
      <c r="ZS107" s="272"/>
      <c r="ZT107" s="272"/>
    </row>
    <row r="108" spans="1:696" s="19" customFormat="1" ht="15">
      <c r="A108" s="39"/>
      <c r="B108" s="74"/>
      <c r="C108" s="55" t="s">
        <v>53</v>
      </c>
      <c r="D108" s="55"/>
      <c r="E108" s="64"/>
      <c r="F108" s="57"/>
      <c r="G108" s="263"/>
      <c r="H108" s="263"/>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c r="BZ108" s="272"/>
      <c r="CA108" s="272"/>
      <c r="CB108" s="272"/>
      <c r="CC108" s="272"/>
      <c r="CD108" s="272"/>
      <c r="CE108" s="272"/>
      <c r="CF108" s="272"/>
      <c r="CG108" s="272"/>
      <c r="CH108" s="272"/>
      <c r="CI108" s="272"/>
      <c r="CJ108" s="272"/>
      <c r="CK108" s="272"/>
      <c r="CL108" s="272"/>
      <c r="CM108" s="272"/>
      <c r="CN108" s="272"/>
      <c r="CO108" s="272"/>
      <c r="CP108" s="272"/>
      <c r="CQ108" s="272"/>
      <c r="CR108" s="272"/>
      <c r="CS108" s="272"/>
      <c r="CT108" s="272"/>
      <c r="CU108" s="272"/>
      <c r="CV108" s="272"/>
      <c r="CW108" s="272"/>
      <c r="CX108" s="272"/>
      <c r="CY108" s="272"/>
      <c r="CZ108" s="272"/>
      <c r="DA108" s="272"/>
      <c r="DB108" s="272"/>
      <c r="DC108" s="272"/>
      <c r="DD108" s="272"/>
      <c r="DE108" s="272"/>
      <c r="DF108" s="272"/>
      <c r="DG108" s="272"/>
      <c r="DH108" s="272"/>
      <c r="DI108" s="272"/>
      <c r="DJ108" s="272"/>
      <c r="DK108" s="272"/>
      <c r="DL108" s="272"/>
      <c r="DM108" s="272"/>
      <c r="DN108" s="272"/>
      <c r="DO108" s="272"/>
      <c r="DP108" s="272"/>
      <c r="DQ108" s="272"/>
      <c r="DR108" s="272"/>
      <c r="DS108" s="272"/>
      <c r="DT108" s="272"/>
      <c r="DU108" s="272"/>
      <c r="DV108" s="272"/>
      <c r="DW108" s="272"/>
      <c r="DX108" s="272"/>
      <c r="DY108" s="272"/>
      <c r="DZ108" s="272"/>
      <c r="EA108" s="272"/>
      <c r="EB108" s="272"/>
      <c r="EC108" s="272"/>
      <c r="ED108" s="272"/>
      <c r="EE108" s="272"/>
      <c r="EF108" s="272"/>
      <c r="EG108" s="272"/>
      <c r="EH108" s="272"/>
      <c r="EI108" s="272"/>
      <c r="EJ108" s="272"/>
      <c r="EK108" s="272"/>
      <c r="EL108" s="272"/>
      <c r="EM108" s="272"/>
      <c r="EN108" s="272"/>
      <c r="EO108" s="272"/>
      <c r="EP108" s="272"/>
      <c r="EQ108" s="272"/>
      <c r="ER108" s="272"/>
      <c r="ES108" s="272"/>
      <c r="ET108" s="272"/>
      <c r="EU108" s="272"/>
      <c r="EV108" s="272"/>
      <c r="EW108" s="272"/>
      <c r="EX108" s="272"/>
      <c r="EY108" s="272"/>
      <c r="EZ108" s="272"/>
      <c r="FA108" s="272"/>
      <c r="FB108" s="272"/>
      <c r="FC108" s="272"/>
      <c r="FD108" s="272"/>
      <c r="FE108" s="272"/>
      <c r="FF108" s="272"/>
      <c r="FG108" s="272"/>
      <c r="FH108" s="272"/>
      <c r="FI108" s="272"/>
      <c r="FJ108" s="272"/>
      <c r="FK108" s="272"/>
      <c r="FL108" s="272"/>
      <c r="FM108" s="272"/>
      <c r="FN108" s="272"/>
      <c r="FO108" s="272"/>
      <c r="FP108" s="272"/>
      <c r="FQ108" s="272"/>
      <c r="FR108" s="272"/>
      <c r="FS108" s="272"/>
      <c r="FT108" s="272"/>
      <c r="FU108" s="272"/>
      <c r="FV108" s="272"/>
      <c r="FW108" s="272"/>
      <c r="FX108" s="272"/>
      <c r="FY108" s="272"/>
      <c r="FZ108" s="272"/>
      <c r="GA108" s="272"/>
      <c r="GB108" s="272"/>
      <c r="GC108" s="272"/>
      <c r="GD108" s="272"/>
      <c r="GE108" s="272"/>
      <c r="GF108" s="272"/>
      <c r="GG108" s="272"/>
      <c r="GH108" s="272"/>
      <c r="GI108" s="272"/>
      <c r="GJ108" s="272"/>
      <c r="GK108" s="272"/>
      <c r="GL108" s="272"/>
      <c r="GM108" s="272"/>
      <c r="GN108" s="272"/>
      <c r="GO108" s="272"/>
      <c r="GP108" s="272"/>
      <c r="GQ108" s="272"/>
      <c r="GR108" s="272"/>
      <c r="GS108" s="272"/>
      <c r="GT108" s="272"/>
      <c r="GU108" s="272"/>
      <c r="GV108" s="272"/>
      <c r="GW108" s="272"/>
      <c r="GX108" s="272"/>
      <c r="GY108" s="272"/>
      <c r="GZ108" s="272"/>
      <c r="HA108" s="272"/>
      <c r="HB108" s="272"/>
      <c r="HC108" s="272"/>
      <c r="HD108" s="272"/>
      <c r="HE108" s="272"/>
      <c r="HF108" s="272"/>
      <c r="HG108" s="272"/>
      <c r="HH108" s="272"/>
      <c r="HI108" s="272"/>
      <c r="HJ108" s="272"/>
      <c r="HK108" s="272"/>
      <c r="HL108" s="272"/>
      <c r="HM108" s="272"/>
      <c r="HN108" s="272"/>
      <c r="HO108" s="272"/>
      <c r="HP108" s="272"/>
      <c r="HQ108" s="272"/>
      <c r="HR108" s="272"/>
      <c r="HS108" s="272"/>
      <c r="HT108" s="272"/>
      <c r="HU108" s="272"/>
      <c r="HV108" s="272"/>
      <c r="HW108" s="272"/>
      <c r="HX108" s="272"/>
      <c r="HY108" s="272"/>
      <c r="HZ108" s="272"/>
      <c r="IA108" s="272"/>
      <c r="IB108" s="272"/>
      <c r="IC108" s="272"/>
      <c r="ID108" s="272"/>
      <c r="IE108" s="272"/>
      <c r="IF108" s="272"/>
      <c r="IG108" s="272"/>
      <c r="IH108" s="272"/>
      <c r="II108" s="272"/>
      <c r="IJ108" s="272"/>
      <c r="IK108" s="272"/>
      <c r="IL108" s="272"/>
      <c r="IM108" s="272"/>
      <c r="IN108" s="272"/>
      <c r="IO108" s="272"/>
      <c r="IP108" s="272"/>
      <c r="IQ108" s="272"/>
      <c r="IR108" s="272"/>
      <c r="IS108" s="272"/>
      <c r="IT108" s="272"/>
      <c r="IU108" s="272"/>
      <c r="IV108" s="272"/>
      <c r="IW108" s="272"/>
      <c r="IX108" s="272"/>
      <c r="IY108" s="272"/>
      <c r="IZ108" s="272"/>
      <c r="JA108" s="272"/>
      <c r="JB108" s="272"/>
      <c r="JC108" s="272"/>
      <c r="JD108" s="272"/>
      <c r="JE108" s="272"/>
      <c r="JF108" s="272"/>
      <c r="JG108" s="272"/>
      <c r="JH108" s="272"/>
      <c r="JI108" s="272"/>
      <c r="JJ108" s="272"/>
      <c r="JK108" s="272"/>
      <c r="JL108" s="272"/>
      <c r="JM108" s="272"/>
      <c r="JN108" s="272"/>
      <c r="JO108" s="272"/>
      <c r="JP108" s="272"/>
      <c r="JQ108" s="272"/>
      <c r="JR108" s="272"/>
      <c r="JS108" s="272"/>
      <c r="JT108" s="272"/>
      <c r="JU108" s="272"/>
      <c r="JV108" s="272"/>
      <c r="JW108" s="272"/>
      <c r="JX108" s="272"/>
      <c r="JY108" s="272"/>
      <c r="JZ108" s="272"/>
      <c r="KA108" s="272"/>
      <c r="KB108" s="272"/>
      <c r="KC108" s="272"/>
      <c r="KD108" s="272"/>
      <c r="KE108" s="272"/>
      <c r="KF108" s="272"/>
      <c r="KG108" s="272"/>
      <c r="KH108" s="272"/>
      <c r="KI108" s="272"/>
      <c r="KJ108" s="272"/>
      <c r="KK108" s="272"/>
      <c r="KL108" s="272"/>
      <c r="KM108" s="272"/>
      <c r="KN108" s="272"/>
      <c r="KO108" s="272"/>
      <c r="KP108" s="272"/>
      <c r="KQ108" s="272"/>
      <c r="KR108" s="272"/>
      <c r="KS108" s="272"/>
      <c r="KT108" s="272"/>
      <c r="KU108" s="272"/>
      <c r="KV108" s="272"/>
      <c r="KW108" s="272"/>
      <c r="KX108" s="272"/>
      <c r="KY108" s="272"/>
      <c r="KZ108" s="272"/>
      <c r="LA108" s="272"/>
      <c r="LB108" s="272"/>
      <c r="LC108" s="272"/>
      <c r="LD108" s="272"/>
      <c r="LE108" s="272"/>
      <c r="LF108" s="272"/>
      <c r="LG108" s="272"/>
      <c r="LH108" s="272"/>
      <c r="LI108" s="272"/>
      <c r="LJ108" s="272"/>
      <c r="LK108" s="272"/>
      <c r="LL108" s="272"/>
      <c r="LM108" s="272"/>
      <c r="LN108" s="272"/>
      <c r="LO108" s="272"/>
      <c r="LP108" s="272"/>
      <c r="LQ108" s="272"/>
      <c r="LR108" s="272"/>
      <c r="LS108" s="272"/>
      <c r="LT108" s="272"/>
      <c r="LU108" s="272"/>
      <c r="LV108" s="272"/>
      <c r="LW108" s="272"/>
      <c r="LX108" s="272"/>
      <c r="LY108" s="272"/>
      <c r="LZ108" s="272"/>
      <c r="MA108" s="272"/>
      <c r="MB108" s="272"/>
      <c r="MC108" s="272"/>
      <c r="MD108" s="272"/>
      <c r="ME108" s="272"/>
      <c r="MF108" s="272"/>
      <c r="MG108" s="272"/>
      <c r="MH108" s="272"/>
      <c r="MI108" s="272"/>
      <c r="MJ108" s="272"/>
      <c r="MK108" s="272"/>
      <c r="ML108" s="272"/>
      <c r="MM108" s="272"/>
      <c r="MN108" s="272"/>
      <c r="MO108" s="272"/>
      <c r="MP108" s="272"/>
      <c r="MQ108" s="272"/>
      <c r="MR108" s="272"/>
      <c r="MS108" s="272"/>
      <c r="MT108" s="272"/>
      <c r="MU108" s="272"/>
      <c r="MV108" s="272"/>
      <c r="MW108" s="272"/>
      <c r="MX108" s="272"/>
      <c r="MY108" s="272"/>
      <c r="MZ108" s="272"/>
      <c r="NA108" s="272"/>
      <c r="NB108" s="272"/>
      <c r="NC108" s="272"/>
      <c r="ND108" s="272"/>
      <c r="NE108" s="272"/>
      <c r="NF108" s="272"/>
      <c r="NG108" s="272"/>
      <c r="NH108" s="272"/>
      <c r="NI108" s="272"/>
      <c r="NJ108" s="272"/>
      <c r="NK108" s="272"/>
      <c r="NL108" s="272"/>
      <c r="NM108" s="272"/>
      <c r="NN108" s="272"/>
      <c r="NO108" s="272"/>
      <c r="NP108" s="272"/>
      <c r="NQ108" s="272"/>
      <c r="NR108" s="272"/>
      <c r="NS108" s="272"/>
      <c r="NT108" s="272"/>
      <c r="NU108" s="272"/>
      <c r="NV108" s="272"/>
      <c r="NW108" s="272"/>
      <c r="NX108" s="272"/>
      <c r="NY108" s="272"/>
      <c r="NZ108" s="272"/>
      <c r="OA108" s="272"/>
      <c r="OB108" s="272"/>
      <c r="OC108" s="272"/>
      <c r="OD108" s="272"/>
      <c r="OE108" s="272"/>
      <c r="OF108" s="272"/>
      <c r="OG108" s="272"/>
      <c r="OH108" s="272"/>
      <c r="OI108" s="272"/>
      <c r="OJ108" s="272"/>
      <c r="OK108" s="272"/>
      <c r="OL108" s="272"/>
      <c r="OM108" s="272"/>
      <c r="ON108" s="272"/>
      <c r="OO108" s="272"/>
      <c r="OP108" s="272"/>
      <c r="OQ108" s="272"/>
      <c r="OR108" s="272"/>
      <c r="OS108" s="272"/>
      <c r="OT108" s="272"/>
      <c r="OU108" s="272"/>
      <c r="OV108" s="272"/>
      <c r="OW108" s="272"/>
      <c r="OX108" s="272"/>
      <c r="OY108" s="272"/>
      <c r="OZ108" s="272"/>
      <c r="PA108" s="272"/>
      <c r="PB108" s="272"/>
      <c r="PC108" s="272"/>
      <c r="PD108" s="272"/>
      <c r="PE108" s="272"/>
      <c r="PF108" s="272"/>
      <c r="PG108" s="272"/>
      <c r="PH108" s="272"/>
      <c r="PI108" s="272"/>
      <c r="PJ108" s="272"/>
      <c r="PK108" s="272"/>
      <c r="PL108" s="272"/>
      <c r="PM108" s="272"/>
      <c r="PN108" s="272"/>
      <c r="PO108" s="272"/>
      <c r="PP108" s="272"/>
      <c r="PQ108" s="272"/>
      <c r="PR108" s="272"/>
      <c r="PS108" s="272"/>
      <c r="PT108" s="272"/>
      <c r="PU108" s="272"/>
      <c r="PV108" s="272"/>
      <c r="PW108" s="272"/>
      <c r="PX108" s="272"/>
      <c r="PY108" s="272"/>
      <c r="PZ108" s="272"/>
      <c r="QA108" s="272"/>
      <c r="QB108" s="272"/>
      <c r="QC108" s="272"/>
      <c r="QD108" s="272"/>
      <c r="QE108" s="272"/>
      <c r="QF108" s="272"/>
      <c r="QG108" s="272"/>
      <c r="QH108" s="272"/>
      <c r="QI108" s="272"/>
      <c r="QJ108" s="272"/>
      <c r="QK108" s="272"/>
      <c r="QL108" s="272"/>
      <c r="QM108" s="272"/>
      <c r="QN108" s="272"/>
      <c r="QO108" s="272"/>
      <c r="QP108" s="272"/>
      <c r="QQ108" s="272"/>
      <c r="QR108" s="272"/>
      <c r="QS108" s="272"/>
      <c r="QT108" s="272"/>
      <c r="QU108" s="272"/>
      <c r="QV108" s="272"/>
      <c r="QW108" s="272"/>
      <c r="QX108" s="272"/>
      <c r="QY108" s="272"/>
      <c r="QZ108" s="272"/>
      <c r="RA108" s="272"/>
      <c r="RB108" s="272"/>
      <c r="RC108" s="272"/>
      <c r="RD108" s="272"/>
      <c r="RE108" s="272"/>
      <c r="RF108" s="272"/>
      <c r="RG108" s="272"/>
      <c r="RH108" s="272"/>
      <c r="RI108" s="272"/>
      <c r="RJ108" s="272"/>
      <c r="RK108" s="272"/>
      <c r="RL108" s="272"/>
      <c r="RM108" s="272"/>
      <c r="RN108" s="272"/>
      <c r="RO108" s="272"/>
      <c r="RP108" s="272"/>
      <c r="RQ108" s="272"/>
      <c r="RR108" s="272"/>
      <c r="RS108" s="272"/>
      <c r="RT108" s="272"/>
      <c r="RU108" s="272"/>
      <c r="RV108" s="272"/>
      <c r="RW108" s="272"/>
      <c r="RX108" s="272"/>
      <c r="RY108" s="272"/>
      <c r="RZ108" s="272"/>
      <c r="SA108" s="272"/>
      <c r="SB108" s="272"/>
      <c r="SC108" s="272"/>
      <c r="SD108" s="272"/>
      <c r="SE108" s="272"/>
      <c r="SF108" s="272"/>
      <c r="SG108" s="272"/>
      <c r="SH108" s="272"/>
      <c r="SI108" s="272"/>
      <c r="SJ108" s="272"/>
      <c r="SK108" s="272"/>
      <c r="SL108" s="272"/>
      <c r="SM108" s="272"/>
      <c r="SN108" s="272"/>
      <c r="SO108" s="272"/>
      <c r="SP108" s="272"/>
      <c r="SQ108" s="272"/>
      <c r="SR108" s="272"/>
      <c r="SS108" s="272"/>
      <c r="ST108" s="272"/>
      <c r="SU108" s="272"/>
      <c r="SV108" s="272"/>
      <c r="SW108" s="272"/>
      <c r="SX108" s="272"/>
      <c r="SY108" s="272"/>
      <c r="SZ108" s="272"/>
      <c r="TA108" s="272"/>
      <c r="TB108" s="272"/>
      <c r="TC108" s="272"/>
      <c r="TD108" s="272"/>
      <c r="TE108" s="272"/>
      <c r="TF108" s="272"/>
      <c r="TG108" s="272"/>
      <c r="TH108" s="272"/>
      <c r="TI108" s="272"/>
      <c r="TJ108" s="272"/>
      <c r="TK108" s="272"/>
      <c r="TL108" s="272"/>
      <c r="TM108" s="272"/>
      <c r="TN108" s="272"/>
      <c r="TO108" s="272"/>
      <c r="TP108" s="272"/>
      <c r="TQ108" s="272"/>
      <c r="TR108" s="272"/>
      <c r="TS108" s="272"/>
      <c r="TT108" s="272"/>
      <c r="TU108" s="272"/>
      <c r="TV108" s="272"/>
      <c r="TW108" s="272"/>
      <c r="TX108" s="272"/>
      <c r="TY108" s="272"/>
      <c r="TZ108" s="272"/>
      <c r="UA108" s="272"/>
      <c r="UB108" s="272"/>
      <c r="UC108" s="272"/>
      <c r="UD108" s="272"/>
      <c r="UE108" s="272"/>
      <c r="UF108" s="272"/>
      <c r="UG108" s="272"/>
      <c r="UH108" s="272"/>
      <c r="UI108" s="272"/>
      <c r="UJ108" s="272"/>
      <c r="UK108" s="272"/>
      <c r="UL108" s="272"/>
      <c r="UM108" s="272"/>
      <c r="UN108" s="272"/>
      <c r="UO108" s="272"/>
      <c r="UP108" s="272"/>
      <c r="UQ108" s="272"/>
      <c r="UR108" s="272"/>
      <c r="US108" s="272"/>
      <c r="UT108" s="272"/>
      <c r="UU108" s="272"/>
      <c r="UV108" s="272"/>
      <c r="UW108" s="272"/>
      <c r="UX108" s="272"/>
      <c r="UY108" s="272"/>
      <c r="UZ108" s="272"/>
      <c r="VA108" s="272"/>
      <c r="VB108" s="272"/>
      <c r="VC108" s="272"/>
      <c r="VD108" s="272"/>
      <c r="VE108" s="272"/>
      <c r="VF108" s="272"/>
      <c r="VG108" s="272"/>
      <c r="VH108" s="272"/>
      <c r="VI108" s="272"/>
      <c r="VJ108" s="272"/>
      <c r="VK108" s="272"/>
      <c r="VL108" s="272"/>
      <c r="VM108" s="272"/>
      <c r="VN108" s="272"/>
      <c r="VO108" s="272"/>
      <c r="VP108" s="272"/>
      <c r="VQ108" s="272"/>
      <c r="VR108" s="272"/>
      <c r="VS108" s="272"/>
      <c r="VT108" s="272"/>
      <c r="VU108" s="272"/>
      <c r="VV108" s="272"/>
      <c r="VW108" s="272"/>
      <c r="VX108" s="272"/>
      <c r="VY108" s="272"/>
      <c r="VZ108" s="272"/>
      <c r="WA108" s="272"/>
      <c r="WB108" s="272"/>
      <c r="WC108" s="272"/>
      <c r="WD108" s="272"/>
      <c r="WE108" s="272"/>
      <c r="WF108" s="272"/>
      <c r="WG108" s="272"/>
      <c r="WH108" s="272"/>
      <c r="WI108" s="272"/>
      <c r="WJ108" s="272"/>
      <c r="WK108" s="272"/>
      <c r="WL108" s="272"/>
      <c r="WM108" s="272"/>
      <c r="WN108" s="272"/>
      <c r="WO108" s="272"/>
      <c r="WP108" s="272"/>
      <c r="WQ108" s="272"/>
      <c r="WR108" s="272"/>
      <c r="WS108" s="272"/>
      <c r="WT108" s="272"/>
      <c r="WU108" s="272"/>
      <c r="WV108" s="272"/>
      <c r="WW108" s="272"/>
      <c r="WX108" s="272"/>
      <c r="WY108" s="272"/>
      <c r="WZ108" s="272"/>
      <c r="XA108" s="272"/>
      <c r="XB108" s="272"/>
      <c r="XC108" s="272"/>
      <c r="XD108" s="272"/>
      <c r="XE108" s="272"/>
      <c r="XF108" s="272"/>
      <c r="XG108" s="272"/>
      <c r="XH108" s="272"/>
      <c r="XI108" s="272"/>
      <c r="XJ108" s="272"/>
      <c r="XK108" s="272"/>
      <c r="XL108" s="272"/>
      <c r="XM108" s="272"/>
      <c r="XN108" s="272"/>
      <c r="XO108" s="272"/>
      <c r="XP108" s="272"/>
      <c r="XQ108" s="272"/>
      <c r="XR108" s="272"/>
      <c r="XS108" s="272"/>
      <c r="XT108" s="272"/>
      <c r="XU108" s="272"/>
      <c r="XV108" s="272"/>
      <c r="XW108" s="272"/>
      <c r="XX108" s="272"/>
      <c r="XY108" s="272"/>
      <c r="XZ108" s="272"/>
      <c r="YA108" s="272"/>
      <c r="YB108" s="272"/>
      <c r="YC108" s="272"/>
      <c r="YD108" s="272"/>
      <c r="YE108" s="272"/>
      <c r="YF108" s="272"/>
      <c r="YG108" s="272"/>
      <c r="YH108" s="272"/>
      <c r="YI108" s="272"/>
      <c r="YJ108" s="272"/>
      <c r="YK108" s="272"/>
      <c r="YL108" s="272"/>
      <c r="YM108" s="272"/>
      <c r="YN108" s="272"/>
      <c r="YO108" s="272"/>
      <c r="YP108" s="272"/>
      <c r="YQ108" s="272"/>
      <c r="YR108" s="272"/>
      <c r="YS108" s="272"/>
      <c r="YT108" s="272"/>
      <c r="YU108" s="272"/>
      <c r="YV108" s="272"/>
      <c r="YW108" s="272"/>
      <c r="YX108" s="272"/>
      <c r="YY108" s="272"/>
      <c r="YZ108" s="272"/>
      <c r="ZA108" s="272"/>
      <c r="ZB108" s="272"/>
      <c r="ZC108" s="272"/>
      <c r="ZD108" s="272"/>
      <c r="ZE108" s="272"/>
      <c r="ZF108" s="272"/>
      <c r="ZG108" s="272"/>
      <c r="ZH108" s="272"/>
      <c r="ZI108" s="272"/>
      <c r="ZJ108" s="272"/>
      <c r="ZK108" s="272"/>
      <c r="ZL108" s="272"/>
      <c r="ZM108" s="272"/>
      <c r="ZN108" s="272"/>
      <c r="ZO108" s="272"/>
      <c r="ZP108" s="272"/>
      <c r="ZQ108" s="272"/>
      <c r="ZR108" s="272"/>
      <c r="ZS108" s="272"/>
      <c r="ZT108" s="272"/>
    </row>
    <row r="109" spans="1:696" s="62" customFormat="1" ht="13.5" thickBot="1">
      <c r="A109" s="48"/>
      <c r="B109" s="75"/>
      <c r="C109" s="32" t="s">
        <v>54</v>
      </c>
      <c r="D109" s="513"/>
      <c r="E109" s="534"/>
      <c r="F109" s="514"/>
      <c r="G109" s="515"/>
      <c r="H109" s="515"/>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272"/>
      <c r="BL109" s="272"/>
      <c r="BM109" s="272"/>
      <c r="BN109" s="272"/>
      <c r="BO109" s="272"/>
      <c r="BP109" s="272"/>
      <c r="BQ109" s="272"/>
      <c r="BR109" s="272"/>
      <c r="BS109" s="272"/>
      <c r="BT109" s="272"/>
      <c r="BU109" s="272"/>
      <c r="BV109" s="272"/>
      <c r="BW109" s="272"/>
      <c r="BX109" s="272"/>
      <c r="BY109" s="272"/>
      <c r="BZ109" s="272"/>
      <c r="CA109" s="272"/>
      <c r="CB109" s="272"/>
      <c r="CC109" s="272"/>
      <c r="CD109" s="272"/>
      <c r="CE109" s="272"/>
      <c r="CF109" s="272"/>
      <c r="CG109" s="272"/>
      <c r="CH109" s="272"/>
      <c r="CI109" s="272"/>
      <c r="CJ109" s="272"/>
      <c r="CK109" s="272"/>
      <c r="CL109" s="272"/>
      <c r="CM109" s="272"/>
      <c r="CN109" s="272"/>
      <c r="CO109" s="272"/>
      <c r="CP109" s="272"/>
      <c r="CQ109" s="272"/>
      <c r="CR109" s="272"/>
      <c r="CS109" s="272"/>
      <c r="CT109" s="272"/>
      <c r="CU109" s="272"/>
      <c r="CV109" s="272"/>
      <c r="CW109" s="272"/>
      <c r="CX109" s="272"/>
      <c r="CY109" s="272"/>
      <c r="CZ109" s="272"/>
      <c r="DA109" s="272"/>
      <c r="DB109" s="272"/>
      <c r="DC109" s="272"/>
      <c r="DD109" s="272"/>
      <c r="DE109" s="272"/>
      <c r="DF109" s="272"/>
      <c r="DG109" s="272"/>
      <c r="DH109" s="272"/>
      <c r="DI109" s="272"/>
      <c r="DJ109" s="272"/>
      <c r="DK109" s="272"/>
      <c r="DL109" s="272"/>
      <c r="DM109" s="272"/>
      <c r="DN109" s="272"/>
      <c r="DO109" s="272"/>
      <c r="DP109" s="272"/>
      <c r="DQ109" s="272"/>
      <c r="DR109" s="272"/>
      <c r="DS109" s="272"/>
      <c r="DT109" s="272"/>
      <c r="DU109" s="272"/>
      <c r="DV109" s="272"/>
      <c r="DW109" s="272"/>
      <c r="DX109" s="272"/>
      <c r="DY109" s="272"/>
      <c r="DZ109" s="272"/>
      <c r="EA109" s="272"/>
      <c r="EB109" s="272"/>
      <c r="EC109" s="272"/>
      <c r="ED109" s="272"/>
      <c r="EE109" s="272"/>
      <c r="EF109" s="272"/>
      <c r="EG109" s="272"/>
      <c r="EH109" s="272"/>
      <c r="EI109" s="272"/>
      <c r="EJ109" s="272"/>
      <c r="EK109" s="272"/>
      <c r="EL109" s="272"/>
      <c r="EM109" s="272"/>
      <c r="EN109" s="272"/>
      <c r="EO109" s="272"/>
      <c r="EP109" s="272"/>
      <c r="EQ109" s="272"/>
      <c r="ER109" s="272"/>
      <c r="ES109" s="272"/>
      <c r="ET109" s="272"/>
      <c r="EU109" s="272"/>
      <c r="EV109" s="272"/>
      <c r="EW109" s="272"/>
      <c r="EX109" s="272"/>
      <c r="EY109" s="272"/>
      <c r="EZ109" s="272"/>
      <c r="FA109" s="272"/>
      <c r="FB109" s="272"/>
      <c r="FC109" s="272"/>
      <c r="FD109" s="272"/>
      <c r="FE109" s="272"/>
      <c r="FF109" s="272"/>
      <c r="FG109" s="272"/>
      <c r="FH109" s="272"/>
      <c r="FI109" s="272"/>
      <c r="FJ109" s="272"/>
      <c r="FK109" s="272"/>
      <c r="FL109" s="272"/>
      <c r="FM109" s="272"/>
      <c r="FN109" s="272"/>
      <c r="FO109" s="272"/>
      <c r="FP109" s="272"/>
      <c r="FQ109" s="272"/>
      <c r="FR109" s="272"/>
      <c r="FS109" s="272"/>
      <c r="FT109" s="272"/>
      <c r="FU109" s="272"/>
      <c r="FV109" s="272"/>
      <c r="FW109" s="272"/>
      <c r="FX109" s="272"/>
      <c r="FY109" s="272"/>
      <c r="FZ109" s="272"/>
      <c r="GA109" s="272"/>
      <c r="GB109" s="272"/>
      <c r="GC109" s="272"/>
      <c r="GD109" s="272"/>
      <c r="GE109" s="272"/>
      <c r="GF109" s="272"/>
      <c r="GG109" s="272"/>
      <c r="GH109" s="272"/>
      <c r="GI109" s="272"/>
      <c r="GJ109" s="272"/>
      <c r="GK109" s="272"/>
      <c r="GL109" s="272"/>
      <c r="GM109" s="272"/>
      <c r="GN109" s="272"/>
      <c r="GO109" s="272"/>
      <c r="GP109" s="272"/>
      <c r="GQ109" s="272"/>
      <c r="GR109" s="272"/>
      <c r="GS109" s="272"/>
      <c r="GT109" s="272"/>
      <c r="GU109" s="272"/>
      <c r="GV109" s="272"/>
      <c r="GW109" s="272"/>
      <c r="GX109" s="272"/>
      <c r="GY109" s="272"/>
      <c r="GZ109" s="272"/>
      <c r="HA109" s="272"/>
      <c r="HB109" s="272"/>
      <c r="HC109" s="272"/>
      <c r="HD109" s="272"/>
      <c r="HE109" s="272"/>
      <c r="HF109" s="272"/>
      <c r="HG109" s="272"/>
      <c r="HH109" s="272"/>
      <c r="HI109" s="272"/>
      <c r="HJ109" s="272"/>
      <c r="HK109" s="272"/>
      <c r="HL109" s="272"/>
      <c r="HM109" s="272"/>
      <c r="HN109" s="272"/>
      <c r="HO109" s="272"/>
      <c r="HP109" s="272"/>
      <c r="HQ109" s="272"/>
      <c r="HR109" s="272"/>
      <c r="HS109" s="272"/>
      <c r="HT109" s="272"/>
      <c r="HU109" s="272"/>
      <c r="HV109" s="272"/>
      <c r="HW109" s="272"/>
      <c r="HX109" s="272"/>
      <c r="HY109" s="272"/>
      <c r="HZ109" s="272"/>
      <c r="IA109" s="272"/>
      <c r="IB109" s="272"/>
      <c r="IC109" s="272"/>
      <c r="ID109" s="272"/>
      <c r="IE109" s="272"/>
      <c r="IF109" s="272"/>
      <c r="IG109" s="272"/>
      <c r="IH109" s="272"/>
      <c r="II109" s="272"/>
      <c r="IJ109" s="272"/>
      <c r="IK109" s="272"/>
      <c r="IL109" s="272"/>
      <c r="IM109" s="272"/>
      <c r="IN109" s="272"/>
      <c r="IO109" s="272"/>
      <c r="IP109" s="272"/>
      <c r="IQ109" s="272"/>
      <c r="IR109" s="272"/>
      <c r="IS109" s="272"/>
      <c r="IT109" s="272"/>
      <c r="IU109" s="272"/>
      <c r="IV109" s="272"/>
      <c r="IW109" s="272"/>
      <c r="IX109" s="272"/>
      <c r="IY109" s="272"/>
      <c r="IZ109" s="272"/>
      <c r="JA109" s="272"/>
      <c r="JB109" s="272"/>
      <c r="JC109" s="272"/>
      <c r="JD109" s="272"/>
      <c r="JE109" s="272"/>
      <c r="JF109" s="272"/>
      <c r="JG109" s="272"/>
      <c r="JH109" s="272"/>
      <c r="JI109" s="272"/>
      <c r="JJ109" s="272"/>
      <c r="JK109" s="272"/>
      <c r="JL109" s="272"/>
      <c r="JM109" s="272"/>
      <c r="JN109" s="272"/>
      <c r="JO109" s="272"/>
      <c r="JP109" s="272"/>
      <c r="JQ109" s="272"/>
      <c r="JR109" s="272"/>
      <c r="JS109" s="272"/>
      <c r="JT109" s="272"/>
      <c r="JU109" s="272"/>
      <c r="JV109" s="272"/>
      <c r="JW109" s="272"/>
      <c r="JX109" s="272"/>
      <c r="JY109" s="272"/>
      <c r="JZ109" s="272"/>
      <c r="KA109" s="272"/>
      <c r="KB109" s="272"/>
      <c r="KC109" s="272"/>
      <c r="KD109" s="272"/>
      <c r="KE109" s="272"/>
      <c r="KF109" s="272"/>
      <c r="KG109" s="272"/>
      <c r="KH109" s="272"/>
      <c r="KI109" s="272"/>
      <c r="KJ109" s="272"/>
      <c r="KK109" s="272"/>
      <c r="KL109" s="272"/>
      <c r="KM109" s="272"/>
      <c r="KN109" s="272"/>
      <c r="KO109" s="272"/>
      <c r="KP109" s="272"/>
      <c r="KQ109" s="272"/>
      <c r="KR109" s="272"/>
      <c r="KS109" s="272"/>
      <c r="KT109" s="272"/>
      <c r="KU109" s="272"/>
      <c r="KV109" s="272"/>
      <c r="KW109" s="272"/>
      <c r="KX109" s="272"/>
      <c r="KY109" s="272"/>
      <c r="KZ109" s="272"/>
      <c r="LA109" s="272"/>
      <c r="LB109" s="272"/>
      <c r="LC109" s="272"/>
      <c r="LD109" s="272"/>
      <c r="LE109" s="272"/>
      <c r="LF109" s="272"/>
      <c r="LG109" s="272"/>
      <c r="LH109" s="272"/>
      <c r="LI109" s="272"/>
      <c r="LJ109" s="272"/>
      <c r="LK109" s="272"/>
      <c r="LL109" s="272"/>
      <c r="LM109" s="272"/>
      <c r="LN109" s="272"/>
      <c r="LO109" s="272"/>
      <c r="LP109" s="272"/>
      <c r="LQ109" s="272"/>
      <c r="LR109" s="272"/>
      <c r="LS109" s="272"/>
      <c r="LT109" s="272"/>
      <c r="LU109" s="272"/>
      <c r="LV109" s="272"/>
      <c r="LW109" s="272"/>
      <c r="LX109" s="272"/>
      <c r="LY109" s="272"/>
      <c r="LZ109" s="272"/>
      <c r="MA109" s="272"/>
      <c r="MB109" s="272"/>
      <c r="MC109" s="272"/>
      <c r="MD109" s="272"/>
      <c r="ME109" s="272"/>
      <c r="MF109" s="272"/>
      <c r="MG109" s="272"/>
      <c r="MH109" s="272"/>
      <c r="MI109" s="272"/>
      <c r="MJ109" s="272"/>
      <c r="MK109" s="272"/>
      <c r="ML109" s="272"/>
      <c r="MM109" s="272"/>
      <c r="MN109" s="272"/>
      <c r="MO109" s="272"/>
      <c r="MP109" s="272"/>
      <c r="MQ109" s="272"/>
      <c r="MR109" s="272"/>
      <c r="MS109" s="272"/>
      <c r="MT109" s="272"/>
      <c r="MU109" s="272"/>
      <c r="MV109" s="272"/>
      <c r="MW109" s="272"/>
      <c r="MX109" s="272"/>
      <c r="MY109" s="272"/>
      <c r="MZ109" s="272"/>
      <c r="NA109" s="272"/>
      <c r="NB109" s="272"/>
      <c r="NC109" s="272"/>
      <c r="ND109" s="272"/>
      <c r="NE109" s="272"/>
      <c r="NF109" s="272"/>
      <c r="NG109" s="272"/>
      <c r="NH109" s="272"/>
      <c r="NI109" s="272"/>
      <c r="NJ109" s="272"/>
      <c r="NK109" s="272"/>
      <c r="NL109" s="272"/>
      <c r="NM109" s="272"/>
      <c r="NN109" s="272"/>
      <c r="NO109" s="272"/>
      <c r="NP109" s="272"/>
      <c r="NQ109" s="272"/>
      <c r="NR109" s="272"/>
      <c r="NS109" s="272"/>
      <c r="NT109" s="272"/>
      <c r="NU109" s="272"/>
      <c r="NV109" s="272"/>
      <c r="NW109" s="272"/>
      <c r="NX109" s="272"/>
      <c r="NY109" s="272"/>
      <c r="NZ109" s="272"/>
      <c r="OA109" s="272"/>
      <c r="OB109" s="272"/>
      <c r="OC109" s="272"/>
      <c r="OD109" s="272"/>
      <c r="OE109" s="272"/>
      <c r="OF109" s="272"/>
      <c r="OG109" s="272"/>
      <c r="OH109" s="272"/>
      <c r="OI109" s="272"/>
      <c r="OJ109" s="272"/>
      <c r="OK109" s="272"/>
      <c r="OL109" s="272"/>
      <c r="OM109" s="272"/>
      <c r="ON109" s="272"/>
      <c r="OO109" s="272"/>
      <c r="OP109" s="272"/>
      <c r="OQ109" s="272"/>
      <c r="OR109" s="272"/>
      <c r="OS109" s="272"/>
      <c r="OT109" s="272"/>
      <c r="OU109" s="272"/>
      <c r="OV109" s="272"/>
      <c r="OW109" s="272"/>
      <c r="OX109" s="272"/>
      <c r="OY109" s="272"/>
      <c r="OZ109" s="272"/>
      <c r="PA109" s="272"/>
      <c r="PB109" s="272"/>
      <c r="PC109" s="272"/>
      <c r="PD109" s="272"/>
      <c r="PE109" s="272"/>
      <c r="PF109" s="272"/>
      <c r="PG109" s="272"/>
      <c r="PH109" s="272"/>
      <c r="PI109" s="272"/>
      <c r="PJ109" s="272"/>
      <c r="PK109" s="272"/>
      <c r="PL109" s="272"/>
      <c r="PM109" s="272"/>
      <c r="PN109" s="272"/>
      <c r="PO109" s="272"/>
      <c r="PP109" s="272"/>
      <c r="PQ109" s="272"/>
      <c r="PR109" s="272"/>
      <c r="PS109" s="272"/>
      <c r="PT109" s="272"/>
      <c r="PU109" s="272"/>
      <c r="PV109" s="272"/>
      <c r="PW109" s="272"/>
      <c r="PX109" s="272"/>
      <c r="PY109" s="272"/>
      <c r="PZ109" s="272"/>
      <c r="QA109" s="272"/>
      <c r="QB109" s="272"/>
      <c r="QC109" s="272"/>
      <c r="QD109" s="272"/>
      <c r="QE109" s="272"/>
      <c r="QF109" s="272"/>
      <c r="QG109" s="272"/>
      <c r="QH109" s="272"/>
      <c r="QI109" s="272"/>
      <c r="QJ109" s="272"/>
      <c r="QK109" s="272"/>
      <c r="QL109" s="272"/>
      <c r="QM109" s="272"/>
      <c r="QN109" s="272"/>
      <c r="QO109" s="272"/>
      <c r="QP109" s="272"/>
      <c r="QQ109" s="272"/>
      <c r="QR109" s="272"/>
      <c r="QS109" s="272"/>
      <c r="QT109" s="272"/>
      <c r="QU109" s="272"/>
      <c r="QV109" s="272"/>
      <c r="QW109" s="272"/>
      <c r="QX109" s="272"/>
      <c r="QY109" s="272"/>
      <c r="QZ109" s="272"/>
      <c r="RA109" s="272"/>
      <c r="RB109" s="272"/>
      <c r="RC109" s="272"/>
      <c r="RD109" s="272"/>
      <c r="RE109" s="272"/>
      <c r="RF109" s="272"/>
      <c r="RG109" s="272"/>
      <c r="RH109" s="272"/>
      <c r="RI109" s="272"/>
      <c r="RJ109" s="272"/>
      <c r="RK109" s="272"/>
      <c r="RL109" s="272"/>
      <c r="RM109" s="272"/>
      <c r="RN109" s="272"/>
      <c r="RO109" s="272"/>
      <c r="RP109" s="272"/>
      <c r="RQ109" s="272"/>
      <c r="RR109" s="272"/>
      <c r="RS109" s="272"/>
      <c r="RT109" s="272"/>
      <c r="RU109" s="272"/>
      <c r="RV109" s="272"/>
      <c r="RW109" s="272"/>
      <c r="RX109" s="272"/>
      <c r="RY109" s="272"/>
      <c r="RZ109" s="272"/>
      <c r="SA109" s="272"/>
      <c r="SB109" s="272"/>
      <c r="SC109" s="272"/>
      <c r="SD109" s="272"/>
      <c r="SE109" s="272"/>
      <c r="SF109" s="272"/>
      <c r="SG109" s="272"/>
      <c r="SH109" s="272"/>
      <c r="SI109" s="272"/>
      <c r="SJ109" s="272"/>
      <c r="SK109" s="272"/>
      <c r="SL109" s="272"/>
      <c r="SM109" s="272"/>
      <c r="SN109" s="272"/>
      <c r="SO109" s="272"/>
      <c r="SP109" s="272"/>
      <c r="SQ109" s="272"/>
      <c r="SR109" s="272"/>
      <c r="SS109" s="272"/>
      <c r="ST109" s="272"/>
      <c r="SU109" s="272"/>
      <c r="SV109" s="272"/>
      <c r="SW109" s="272"/>
      <c r="SX109" s="272"/>
      <c r="SY109" s="272"/>
      <c r="SZ109" s="272"/>
      <c r="TA109" s="272"/>
      <c r="TB109" s="272"/>
      <c r="TC109" s="272"/>
      <c r="TD109" s="272"/>
      <c r="TE109" s="272"/>
      <c r="TF109" s="272"/>
      <c r="TG109" s="272"/>
      <c r="TH109" s="272"/>
      <c r="TI109" s="272"/>
      <c r="TJ109" s="272"/>
      <c r="TK109" s="272"/>
      <c r="TL109" s="272"/>
      <c r="TM109" s="272"/>
      <c r="TN109" s="272"/>
      <c r="TO109" s="272"/>
      <c r="TP109" s="272"/>
      <c r="TQ109" s="272"/>
      <c r="TR109" s="272"/>
      <c r="TS109" s="272"/>
      <c r="TT109" s="272"/>
      <c r="TU109" s="272"/>
      <c r="TV109" s="272"/>
      <c r="TW109" s="272"/>
      <c r="TX109" s="272"/>
      <c r="TY109" s="272"/>
      <c r="TZ109" s="272"/>
      <c r="UA109" s="272"/>
      <c r="UB109" s="272"/>
      <c r="UC109" s="272"/>
      <c r="UD109" s="272"/>
      <c r="UE109" s="272"/>
      <c r="UF109" s="272"/>
      <c r="UG109" s="272"/>
      <c r="UH109" s="272"/>
      <c r="UI109" s="272"/>
      <c r="UJ109" s="272"/>
      <c r="UK109" s="272"/>
      <c r="UL109" s="272"/>
      <c r="UM109" s="272"/>
      <c r="UN109" s="272"/>
      <c r="UO109" s="272"/>
      <c r="UP109" s="272"/>
      <c r="UQ109" s="272"/>
      <c r="UR109" s="272"/>
      <c r="US109" s="272"/>
      <c r="UT109" s="272"/>
      <c r="UU109" s="272"/>
      <c r="UV109" s="272"/>
      <c r="UW109" s="272"/>
      <c r="UX109" s="272"/>
      <c r="UY109" s="272"/>
      <c r="UZ109" s="272"/>
      <c r="VA109" s="272"/>
      <c r="VB109" s="272"/>
      <c r="VC109" s="272"/>
      <c r="VD109" s="272"/>
      <c r="VE109" s="272"/>
      <c r="VF109" s="272"/>
      <c r="VG109" s="272"/>
      <c r="VH109" s="272"/>
      <c r="VI109" s="272"/>
      <c r="VJ109" s="272"/>
      <c r="VK109" s="272"/>
      <c r="VL109" s="272"/>
      <c r="VM109" s="272"/>
      <c r="VN109" s="272"/>
      <c r="VO109" s="272"/>
      <c r="VP109" s="272"/>
      <c r="VQ109" s="272"/>
      <c r="VR109" s="272"/>
      <c r="VS109" s="272"/>
      <c r="VT109" s="272"/>
      <c r="VU109" s="272"/>
      <c r="VV109" s="272"/>
      <c r="VW109" s="272"/>
      <c r="VX109" s="272"/>
      <c r="VY109" s="272"/>
      <c r="VZ109" s="272"/>
      <c r="WA109" s="272"/>
      <c r="WB109" s="272"/>
      <c r="WC109" s="272"/>
      <c r="WD109" s="272"/>
      <c r="WE109" s="272"/>
      <c r="WF109" s="272"/>
      <c r="WG109" s="272"/>
      <c r="WH109" s="272"/>
      <c r="WI109" s="272"/>
      <c r="WJ109" s="272"/>
      <c r="WK109" s="272"/>
      <c r="WL109" s="272"/>
      <c r="WM109" s="272"/>
      <c r="WN109" s="272"/>
      <c r="WO109" s="272"/>
      <c r="WP109" s="272"/>
      <c r="WQ109" s="272"/>
      <c r="WR109" s="272"/>
      <c r="WS109" s="272"/>
      <c r="WT109" s="272"/>
      <c r="WU109" s="272"/>
      <c r="WV109" s="272"/>
      <c r="WW109" s="272"/>
      <c r="WX109" s="272"/>
      <c r="WY109" s="272"/>
      <c r="WZ109" s="272"/>
      <c r="XA109" s="272"/>
      <c r="XB109" s="272"/>
      <c r="XC109" s="272"/>
      <c r="XD109" s="272"/>
      <c r="XE109" s="272"/>
      <c r="XF109" s="272"/>
      <c r="XG109" s="272"/>
      <c r="XH109" s="272"/>
      <c r="XI109" s="272"/>
      <c r="XJ109" s="272"/>
      <c r="XK109" s="272"/>
      <c r="XL109" s="272"/>
      <c r="XM109" s="272"/>
      <c r="XN109" s="272"/>
      <c r="XO109" s="272"/>
      <c r="XP109" s="272"/>
      <c r="XQ109" s="272"/>
      <c r="XR109" s="272"/>
      <c r="XS109" s="272"/>
      <c r="XT109" s="272"/>
      <c r="XU109" s="272"/>
      <c r="XV109" s="272"/>
      <c r="XW109" s="272"/>
      <c r="XX109" s="272"/>
      <c r="XY109" s="272"/>
      <c r="XZ109" s="272"/>
      <c r="YA109" s="272"/>
      <c r="YB109" s="272"/>
      <c r="YC109" s="272"/>
      <c r="YD109" s="272"/>
      <c r="YE109" s="272"/>
      <c r="YF109" s="272"/>
      <c r="YG109" s="272"/>
      <c r="YH109" s="272"/>
      <c r="YI109" s="272"/>
      <c r="YJ109" s="272"/>
      <c r="YK109" s="272"/>
      <c r="YL109" s="272"/>
      <c r="YM109" s="272"/>
      <c r="YN109" s="272"/>
      <c r="YO109" s="272"/>
      <c r="YP109" s="272"/>
      <c r="YQ109" s="272"/>
      <c r="YR109" s="272"/>
      <c r="YS109" s="272"/>
      <c r="YT109" s="272"/>
      <c r="YU109" s="272"/>
      <c r="YV109" s="272"/>
      <c r="YW109" s="272"/>
      <c r="YX109" s="272"/>
      <c r="YY109" s="272"/>
      <c r="YZ109" s="272"/>
      <c r="ZA109" s="272"/>
      <c r="ZB109" s="272"/>
      <c r="ZC109" s="272"/>
      <c r="ZD109" s="272"/>
      <c r="ZE109" s="272"/>
      <c r="ZF109" s="272"/>
      <c r="ZG109" s="272"/>
      <c r="ZH109" s="272"/>
      <c r="ZI109" s="272"/>
      <c r="ZJ109" s="272"/>
      <c r="ZK109" s="272"/>
      <c r="ZL109" s="272"/>
      <c r="ZM109" s="272"/>
      <c r="ZN109" s="272"/>
      <c r="ZO109" s="272"/>
      <c r="ZP109" s="272"/>
      <c r="ZQ109" s="272"/>
      <c r="ZR109" s="272"/>
      <c r="ZS109" s="272"/>
      <c r="ZT109" s="272"/>
    </row>
    <row r="110" spans="1:696" s="61" customFormat="1" ht="25.5">
      <c r="A110" s="69" t="s">
        <v>35</v>
      </c>
      <c r="B110" s="70" t="s">
        <v>36</v>
      </c>
      <c r="C110" s="30" t="s">
        <v>52</v>
      </c>
      <c r="D110" s="501"/>
      <c r="E110" s="531"/>
      <c r="F110" s="502"/>
      <c r="G110" s="503"/>
      <c r="H110" s="503"/>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c r="AZ110" s="272"/>
      <c r="BA110" s="272"/>
      <c r="BB110" s="272"/>
      <c r="BC110" s="272"/>
      <c r="BD110" s="272"/>
      <c r="BE110" s="272"/>
      <c r="BF110" s="272"/>
      <c r="BG110" s="272"/>
      <c r="BH110" s="272"/>
      <c r="BI110" s="272"/>
      <c r="BJ110" s="272"/>
      <c r="BK110" s="272"/>
      <c r="BL110" s="272"/>
      <c r="BM110" s="272"/>
      <c r="BN110" s="272"/>
      <c r="BO110" s="272"/>
      <c r="BP110" s="272"/>
      <c r="BQ110" s="272"/>
      <c r="BR110" s="272"/>
      <c r="BS110" s="272"/>
      <c r="BT110" s="272"/>
      <c r="BU110" s="272"/>
      <c r="BV110" s="272"/>
      <c r="BW110" s="272"/>
      <c r="BX110" s="272"/>
      <c r="BY110" s="272"/>
      <c r="BZ110" s="272"/>
      <c r="CA110" s="272"/>
      <c r="CB110" s="272"/>
      <c r="CC110" s="272"/>
      <c r="CD110" s="272"/>
      <c r="CE110" s="272"/>
      <c r="CF110" s="272"/>
      <c r="CG110" s="272"/>
      <c r="CH110" s="272"/>
      <c r="CI110" s="272"/>
      <c r="CJ110" s="272"/>
      <c r="CK110" s="272"/>
      <c r="CL110" s="272"/>
      <c r="CM110" s="272"/>
      <c r="CN110" s="272"/>
      <c r="CO110" s="272"/>
      <c r="CP110" s="272"/>
      <c r="CQ110" s="272"/>
      <c r="CR110" s="272"/>
      <c r="CS110" s="272"/>
      <c r="CT110" s="272"/>
      <c r="CU110" s="272"/>
      <c r="CV110" s="272"/>
      <c r="CW110" s="272"/>
      <c r="CX110" s="272"/>
      <c r="CY110" s="272"/>
      <c r="CZ110" s="272"/>
      <c r="DA110" s="272"/>
      <c r="DB110" s="272"/>
      <c r="DC110" s="272"/>
      <c r="DD110" s="272"/>
      <c r="DE110" s="272"/>
      <c r="DF110" s="272"/>
      <c r="DG110" s="272"/>
      <c r="DH110" s="272"/>
      <c r="DI110" s="272"/>
      <c r="DJ110" s="272"/>
      <c r="DK110" s="272"/>
      <c r="DL110" s="272"/>
      <c r="DM110" s="272"/>
      <c r="DN110" s="272"/>
      <c r="DO110" s="272"/>
      <c r="DP110" s="272"/>
      <c r="DQ110" s="272"/>
      <c r="DR110" s="272"/>
      <c r="DS110" s="272"/>
      <c r="DT110" s="272"/>
      <c r="DU110" s="272"/>
      <c r="DV110" s="272"/>
      <c r="DW110" s="272"/>
      <c r="DX110" s="272"/>
      <c r="DY110" s="272"/>
      <c r="DZ110" s="272"/>
      <c r="EA110" s="272"/>
      <c r="EB110" s="272"/>
      <c r="EC110" s="272"/>
      <c r="ED110" s="272"/>
      <c r="EE110" s="272"/>
      <c r="EF110" s="272"/>
      <c r="EG110" s="272"/>
      <c r="EH110" s="272"/>
      <c r="EI110" s="272"/>
      <c r="EJ110" s="272"/>
      <c r="EK110" s="272"/>
      <c r="EL110" s="272"/>
      <c r="EM110" s="272"/>
      <c r="EN110" s="272"/>
      <c r="EO110" s="272"/>
      <c r="EP110" s="272"/>
      <c r="EQ110" s="272"/>
      <c r="ER110" s="272"/>
      <c r="ES110" s="272"/>
      <c r="ET110" s="272"/>
      <c r="EU110" s="272"/>
      <c r="EV110" s="272"/>
      <c r="EW110" s="272"/>
      <c r="EX110" s="272"/>
      <c r="EY110" s="272"/>
      <c r="EZ110" s="272"/>
      <c r="FA110" s="272"/>
      <c r="FB110" s="272"/>
      <c r="FC110" s="272"/>
      <c r="FD110" s="272"/>
      <c r="FE110" s="272"/>
      <c r="FF110" s="272"/>
      <c r="FG110" s="272"/>
      <c r="FH110" s="272"/>
      <c r="FI110" s="272"/>
      <c r="FJ110" s="272"/>
      <c r="FK110" s="272"/>
      <c r="FL110" s="272"/>
      <c r="FM110" s="272"/>
      <c r="FN110" s="272"/>
      <c r="FO110" s="272"/>
      <c r="FP110" s="272"/>
      <c r="FQ110" s="272"/>
      <c r="FR110" s="272"/>
      <c r="FS110" s="272"/>
      <c r="FT110" s="272"/>
      <c r="FU110" s="272"/>
      <c r="FV110" s="272"/>
      <c r="FW110" s="272"/>
      <c r="FX110" s="272"/>
      <c r="FY110" s="272"/>
      <c r="FZ110" s="272"/>
      <c r="GA110" s="272"/>
      <c r="GB110" s="272"/>
      <c r="GC110" s="272"/>
      <c r="GD110" s="272"/>
      <c r="GE110" s="272"/>
      <c r="GF110" s="272"/>
      <c r="GG110" s="272"/>
      <c r="GH110" s="272"/>
      <c r="GI110" s="272"/>
      <c r="GJ110" s="272"/>
      <c r="GK110" s="272"/>
      <c r="GL110" s="272"/>
      <c r="GM110" s="272"/>
      <c r="GN110" s="272"/>
      <c r="GO110" s="272"/>
      <c r="GP110" s="272"/>
      <c r="GQ110" s="272"/>
      <c r="GR110" s="272"/>
      <c r="GS110" s="272"/>
      <c r="GT110" s="272"/>
      <c r="GU110" s="272"/>
      <c r="GV110" s="272"/>
      <c r="GW110" s="272"/>
      <c r="GX110" s="272"/>
      <c r="GY110" s="272"/>
      <c r="GZ110" s="272"/>
      <c r="HA110" s="272"/>
      <c r="HB110" s="272"/>
      <c r="HC110" s="272"/>
      <c r="HD110" s="272"/>
      <c r="HE110" s="272"/>
      <c r="HF110" s="272"/>
      <c r="HG110" s="272"/>
      <c r="HH110" s="272"/>
      <c r="HI110" s="272"/>
      <c r="HJ110" s="272"/>
      <c r="HK110" s="272"/>
      <c r="HL110" s="272"/>
      <c r="HM110" s="272"/>
      <c r="HN110" s="272"/>
      <c r="HO110" s="272"/>
      <c r="HP110" s="272"/>
      <c r="HQ110" s="272"/>
      <c r="HR110" s="272"/>
      <c r="HS110" s="272"/>
      <c r="HT110" s="272"/>
      <c r="HU110" s="272"/>
      <c r="HV110" s="272"/>
      <c r="HW110" s="272"/>
      <c r="HX110" s="272"/>
      <c r="HY110" s="272"/>
      <c r="HZ110" s="272"/>
      <c r="IA110" s="272"/>
      <c r="IB110" s="272"/>
      <c r="IC110" s="272"/>
      <c r="ID110" s="272"/>
      <c r="IE110" s="272"/>
      <c r="IF110" s="272"/>
      <c r="IG110" s="272"/>
      <c r="IH110" s="272"/>
      <c r="II110" s="272"/>
      <c r="IJ110" s="272"/>
      <c r="IK110" s="272"/>
      <c r="IL110" s="272"/>
      <c r="IM110" s="272"/>
      <c r="IN110" s="272"/>
      <c r="IO110" s="272"/>
      <c r="IP110" s="272"/>
      <c r="IQ110" s="272"/>
      <c r="IR110" s="272"/>
      <c r="IS110" s="272"/>
      <c r="IT110" s="272"/>
      <c r="IU110" s="272"/>
      <c r="IV110" s="272"/>
      <c r="IW110" s="272"/>
      <c r="IX110" s="272"/>
      <c r="IY110" s="272"/>
      <c r="IZ110" s="272"/>
      <c r="JA110" s="272"/>
      <c r="JB110" s="272"/>
      <c r="JC110" s="272"/>
      <c r="JD110" s="272"/>
      <c r="JE110" s="272"/>
      <c r="JF110" s="272"/>
      <c r="JG110" s="272"/>
      <c r="JH110" s="272"/>
      <c r="JI110" s="272"/>
      <c r="JJ110" s="272"/>
      <c r="JK110" s="272"/>
      <c r="JL110" s="272"/>
      <c r="JM110" s="272"/>
      <c r="JN110" s="272"/>
      <c r="JO110" s="272"/>
      <c r="JP110" s="272"/>
      <c r="JQ110" s="272"/>
      <c r="JR110" s="272"/>
      <c r="JS110" s="272"/>
      <c r="JT110" s="272"/>
      <c r="JU110" s="272"/>
      <c r="JV110" s="272"/>
      <c r="JW110" s="272"/>
      <c r="JX110" s="272"/>
      <c r="JY110" s="272"/>
      <c r="JZ110" s="272"/>
      <c r="KA110" s="272"/>
      <c r="KB110" s="272"/>
      <c r="KC110" s="272"/>
      <c r="KD110" s="272"/>
      <c r="KE110" s="272"/>
      <c r="KF110" s="272"/>
      <c r="KG110" s="272"/>
      <c r="KH110" s="272"/>
      <c r="KI110" s="272"/>
      <c r="KJ110" s="272"/>
      <c r="KK110" s="272"/>
      <c r="KL110" s="272"/>
      <c r="KM110" s="272"/>
      <c r="KN110" s="272"/>
      <c r="KO110" s="272"/>
      <c r="KP110" s="272"/>
      <c r="KQ110" s="272"/>
      <c r="KR110" s="272"/>
      <c r="KS110" s="272"/>
      <c r="KT110" s="272"/>
      <c r="KU110" s="272"/>
      <c r="KV110" s="272"/>
      <c r="KW110" s="272"/>
      <c r="KX110" s="272"/>
      <c r="KY110" s="272"/>
      <c r="KZ110" s="272"/>
      <c r="LA110" s="272"/>
      <c r="LB110" s="272"/>
      <c r="LC110" s="272"/>
      <c r="LD110" s="272"/>
      <c r="LE110" s="272"/>
      <c r="LF110" s="272"/>
      <c r="LG110" s="272"/>
      <c r="LH110" s="272"/>
      <c r="LI110" s="272"/>
      <c r="LJ110" s="272"/>
      <c r="LK110" s="272"/>
      <c r="LL110" s="272"/>
      <c r="LM110" s="272"/>
      <c r="LN110" s="272"/>
      <c r="LO110" s="272"/>
      <c r="LP110" s="272"/>
      <c r="LQ110" s="272"/>
      <c r="LR110" s="272"/>
      <c r="LS110" s="272"/>
      <c r="LT110" s="272"/>
      <c r="LU110" s="272"/>
      <c r="LV110" s="272"/>
      <c r="LW110" s="272"/>
      <c r="LX110" s="272"/>
      <c r="LY110" s="272"/>
      <c r="LZ110" s="272"/>
      <c r="MA110" s="272"/>
      <c r="MB110" s="272"/>
      <c r="MC110" s="272"/>
      <c r="MD110" s="272"/>
      <c r="ME110" s="272"/>
      <c r="MF110" s="272"/>
      <c r="MG110" s="272"/>
      <c r="MH110" s="272"/>
      <c r="MI110" s="272"/>
      <c r="MJ110" s="272"/>
      <c r="MK110" s="272"/>
      <c r="ML110" s="272"/>
      <c r="MM110" s="272"/>
      <c r="MN110" s="272"/>
      <c r="MO110" s="272"/>
      <c r="MP110" s="272"/>
      <c r="MQ110" s="272"/>
      <c r="MR110" s="272"/>
      <c r="MS110" s="272"/>
      <c r="MT110" s="272"/>
      <c r="MU110" s="272"/>
      <c r="MV110" s="272"/>
      <c r="MW110" s="272"/>
      <c r="MX110" s="272"/>
      <c r="MY110" s="272"/>
      <c r="MZ110" s="272"/>
      <c r="NA110" s="272"/>
      <c r="NB110" s="272"/>
      <c r="NC110" s="272"/>
      <c r="ND110" s="272"/>
      <c r="NE110" s="272"/>
      <c r="NF110" s="272"/>
      <c r="NG110" s="272"/>
      <c r="NH110" s="272"/>
      <c r="NI110" s="272"/>
      <c r="NJ110" s="272"/>
      <c r="NK110" s="272"/>
      <c r="NL110" s="272"/>
      <c r="NM110" s="272"/>
      <c r="NN110" s="272"/>
      <c r="NO110" s="272"/>
      <c r="NP110" s="272"/>
      <c r="NQ110" s="272"/>
      <c r="NR110" s="272"/>
      <c r="NS110" s="272"/>
      <c r="NT110" s="272"/>
      <c r="NU110" s="272"/>
      <c r="NV110" s="272"/>
      <c r="NW110" s="272"/>
      <c r="NX110" s="272"/>
      <c r="NY110" s="272"/>
      <c r="NZ110" s="272"/>
      <c r="OA110" s="272"/>
      <c r="OB110" s="272"/>
      <c r="OC110" s="272"/>
      <c r="OD110" s="272"/>
      <c r="OE110" s="272"/>
      <c r="OF110" s="272"/>
      <c r="OG110" s="272"/>
      <c r="OH110" s="272"/>
      <c r="OI110" s="272"/>
      <c r="OJ110" s="272"/>
      <c r="OK110" s="272"/>
      <c r="OL110" s="272"/>
      <c r="OM110" s="272"/>
      <c r="ON110" s="272"/>
      <c r="OO110" s="272"/>
      <c r="OP110" s="272"/>
      <c r="OQ110" s="272"/>
      <c r="OR110" s="272"/>
      <c r="OS110" s="272"/>
      <c r="OT110" s="272"/>
      <c r="OU110" s="272"/>
      <c r="OV110" s="272"/>
      <c r="OW110" s="272"/>
      <c r="OX110" s="272"/>
      <c r="OY110" s="272"/>
      <c r="OZ110" s="272"/>
      <c r="PA110" s="272"/>
      <c r="PB110" s="272"/>
      <c r="PC110" s="272"/>
      <c r="PD110" s="272"/>
      <c r="PE110" s="272"/>
      <c r="PF110" s="272"/>
      <c r="PG110" s="272"/>
      <c r="PH110" s="272"/>
      <c r="PI110" s="272"/>
      <c r="PJ110" s="272"/>
      <c r="PK110" s="272"/>
      <c r="PL110" s="272"/>
      <c r="PM110" s="272"/>
      <c r="PN110" s="272"/>
      <c r="PO110" s="272"/>
      <c r="PP110" s="272"/>
      <c r="PQ110" s="272"/>
      <c r="PR110" s="272"/>
      <c r="PS110" s="272"/>
      <c r="PT110" s="272"/>
      <c r="PU110" s="272"/>
      <c r="PV110" s="272"/>
      <c r="PW110" s="272"/>
      <c r="PX110" s="272"/>
      <c r="PY110" s="272"/>
      <c r="PZ110" s="272"/>
      <c r="QA110" s="272"/>
      <c r="QB110" s="272"/>
      <c r="QC110" s="272"/>
      <c r="QD110" s="272"/>
      <c r="QE110" s="272"/>
      <c r="QF110" s="272"/>
      <c r="QG110" s="272"/>
      <c r="QH110" s="272"/>
      <c r="QI110" s="272"/>
      <c r="QJ110" s="272"/>
      <c r="QK110" s="272"/>
      <c r="QL110" s="272"/>
      <c r="QM110" s="272"/>
      <c r="QN110" s="272"/>
      <c r="QO110" s="272"/>
      <c r="QP110" s="272"/>
      <c r="QQ110" s="272"/>
      <c r="QR110" s="272"/>
      <c r="QS110" s="272"/>
      <c r="QT110" s="272"/>
      <c r="QU110" s="272"/>
      <c r="QV110" s="272"/>
      <c r="QW110" s="272"/>
      <c r="QX110" s="272"/>
      <c r="QY110" s="272"/>
      <c r="QZ110" s="272"/>
      <c r="RA110" s="272"/>
      <c r="RB110" s="272"/>
      <c r="RC110" s="272"/>
      <c r="RD110" s="272"/>
      <c r="RE110" s="272"/>
      <c r="RF110" s="272"/>
      <c r="RG110" s="272"/>
      <c r="RH110" s="272"/>
      <c r="RI110" s="272"/>
      <c r="RJ110" s="272"/>
      <c r="RK110" s="272"/>
      <c r="RL110" s="272"/>
      <c r="RM110" s="272"/>
      <c r="RN110" s="272"/>
      <c r="RO110" s="272"/>
      <c r="RP110" s="272"/>
      <c r="RQ110" s="272"/>
      <c r="RR110" s="272"/>
      <c r="RS110" s="272"/>
      <c r="RT110" s="272"/>
      <c r="RU110" s="272"/>
      <c r="RV110" s="272"/>
      <c r="RW110" s="272"/>
      <c r="RX110" s="272"/>
      <c r="RY110" s="272"/>
      <c r="RZ110" s="272"/>
      <c r="SA110" s="272"/>
      <c r="SB110" s="272"/>
      <c r="SC110" s="272"/>
      <c r="SD110" s="272"/>
      <c r="SE110" s="272"/>
      <c r="SF110" s="272"/>
      <c r="SG110" s="272"/>
      <c r="SH110" s="272"/>
      <c r="SI110" s="272"/>
      <c r="SJ110" s="272"/>
      <c r="SK110" s="272"/>
      <c r="SL110" s="272"/>
      <c r="SM110" s="272"/>
      <c r="SN110" s="272"/>
      <c r="SO110" s="272"/>
      <c r="SP110" s="272"/>
      <c r="SQ110" s="272"/>
      <c r="SR110" s="272"/>
      <c r="SS110" s="272"/>
      <c r="ST110" s="272"/>
      <c r="SU110" s="272"/>
      <c r="SV110" s="272"/>
      <c r="SW110" s="272"/>
      <c r="SX110" s="272"/>
      <c r="SY110" s="272"/>
      <c r="SZ110" s="272"/>
      <c r="TA110" s="272"/>
      <c r="TB110" s="272"/>
      <c r="TC110" s="272"/>
      <c r="TD110" s="272"/>
      <c r="TE110" s="272"/>
      <c r="TF110" s="272"/>
      <c r="TG110" s="272"/>
      <c r="TH110" s="272"/>
      <c r="TI110" s="272"/>
      <c r="TJ110" s="272"/>
      <c r="TK110" s="272"/>
      <c r="TL110" s="272"/>
      <c r="TM110" s="272"/>
      <c r="TN110" s="272"/>
      <c r="TO110" s="272"/>
      <c r="TP110" s="272"/>
      <c r="TQ110" s="272"/>
      <c r="TR110" s="272"/>
      <c r="TS110" s="272"/>
      <c r="TT110" s="272"/>
      <c r="TU110" s="272"/>
      <c r="TV110" s="272"/>
      <c r="TW110" s="272"/>
      <c r="TX110" s="272"/>
      <c r="TY110" s="272"/>
      <c r="TZ110" s="272"/>
      <c r="UA110" s="272"/>
      <c r="UB110" s="272"/>
      <c r="UC110" s="272"/>
      <c r="UD110" s="272"/>
      <c r="UE110" s="272"/>
      <c r="UF110" s="272"/>
      <c r="UG110" s="272"/>
      <c r="UH110" s="272"/>
      <c r="UI110" s="272"/>
      <c r="UJ110" s="272"/>
      <c r="UK110" s="272"/>
      <c r="UL110" s="272"/>
      <c r="UM110" s="272"/>
      <c r="UN110" s="272"/>
      <c r="UO110" s="272"/>
      <c r="UP110" s="272"/>
      <c r="UQ110" s="272"/>
      <c r="UR110" s="272"/>
      <c r="US110" s="272"/>
      <c r="UT110" s="272"/>
      <c r="UU110" s="272"/>
      <c r="UV110" s="272"/>
      <c r="UW110" s="272"/>
      <c r="UX110" s="272"/>
      <c r="UY110" s="272"/>
      <c r="UZ110" s="272"/>
      <c r="VA110" s="272"/>
      <c r="VB110" s="272"/>
      <c r="VC110" s="272"/>
      <c r="VD110" s="272"/>
      <c r="VE110" s="272"/>
      <c r="VF110" s="272"/>
      <c r="VG110" s="272"/>
      <c r="VH110" s="272"/>
      <c r="VI110" s="272"/>
      <c r="VJ110" s="272"/>
      <c r="VK110" s="272"/>
      <c r="VL110" s="272"/>
      <c r="VM110" s="272"/>
      <c r="VN110" s="272"/>
      <c r="VO110" s="272"/>
      <c r="VP110" s="272"/>
      <c r="VQ110" s="272"/>
      <c r="VR110" s="272"/>
      <c r="VS110" s="272"/>
      <c r="VT110" s="272"/>
      <c r="VU110" s="272"/>
      <c r="VV110" s="272"/>
      <c r="VW110" s="272"/>
      <c r="VX110" s="272"/>
      <c r="VY110" s="272"/>
      <c r="VZ110" s="272"/>
      <c r="WA110" s="272"/>
      <c r="WB110" s="272"/>
      <c r="WC110" s="272"/>
      <c r="WD110" s="272"/>
      <c r="WE110" s="272"/>
      <c r="WF110" s="272"/>
      <c r="WG110" s="272"/>
      <c r="WH110" s="272"/>
      <c r="WI110" s="272"/>
      <c r="WJ110" s="272"/>
      <c r="WK110" s="272"/>
      <c r="WL110" s="272"/>
      <c r="WM110" s="272"/>
      <c r="WN110" s="272"/>
      <c r="WO110" s="272"/>
      <c r="WP110" s="272"/>
      <c r="WQ110" s="272"/>
      <c r="WR110" s="272"/>
      <c r="WS110" s="272"/>
      <c r="WT110" s="272"/>
      <c r="WU110" s="272"/>
      <c r="WV110" s="272"/>
      <c r="WW110" s="272"/>
      <c r="WX110" s="272"/>
      <c r="WY110" s="272"/>
      <c r="WZ110" s="272"/>
      <c r="XA110" s="272"/>
      <c r="XB110" s="272"/>
      <c r="XC110" s="272"/>
      <c r="XD110" s="272"/>
      <c r="XE110" s="272"/>
      <c r="XF110" s="272"/>
      <c r="XG110" s="272"/>
      <c r="XH110" s="272"/>
      <c r="XI110" s="272"/>
      <c r="XJ110" s="272"/>
      <c r="XK110" s="272"/>
      <c r="XL110" s="272"/>
      <c r="XM110" s="272"/>
      <c r="XN110" s="272"/>
      <c r="XO110" s="272"/>
      <c r="XP110" s="272"/>
      <c r="XQ110" s="272"/>
      <c r="XR110" s="272"/>
      <c r="XS110" s="272"/>
      <c r="XT110" s="272"/>
      <c r="XU110" s="272"/>
      <c r="XV110" s="272"/>
      <c r="XW110" s="272"/>
      <c r="XX110" s="272"/>
      <c r="XY110" s="272"/>
      <c r="XZ110" s="272"/>
      <c r="YA110" s="272"/>
      <c r="YB110" s="272"/>
      <c r="YC110" s="272"/>
      <c r="YD110" s="272"/>
      <c r="YE110" s="272"/>
      <c r="YF110" s="272"/>
      <c r="YG110" s="272"/>
      <c r="YH110" s="272"/>
      <c r="YI110" s="272"/>
      <c r="YJ110" s="272"/>
      <c r="YK110" s="272"/>
      <c r="YL110" s="272"/>
      <c r="YM110" s="272"/>
      <c r="YN110" s="272"/>
      <c r="YO110" s="272"/>
      <c r="YP110" s="272"/>
      <c r="YQ110" s="272"/>
      <c r="YR110" s="272"/>
      <c r="YS110" s="272"/>
      <c r="YT110" s="272"/>
      <c r="YU110" s="272"/>
      <c r="YV110" s="272"/>
      <c r="YW110" s="272"/>
      <c r="YX110" s="272"/>
      <c r="YY110" s="272"/>
      <c r="YZ110" s="272"/>
      <c r="ZA110" s="272"/>
      <c r="ZB110" s="272"/>
      <c r="ZC110" s="272"/>
      <c r="ZD110" s="272"/>
      <c r="ZE110" s="272"/>
      <c r="ZF110" s="272"/>
      <c r="ZG110" s="272"/>
      <c r="ZH110" s="272"/>
      <c r="ZI110" s="272"/>
      <c r="ZJ110" s="272"/>
      <c r="ZK110" s="272"/>
      <c r="ZL110" s="272"/>
      <c r="ZM110" s="272"/>
      <c r="ZN110" s="272"/>
      <c r="ZO110" s="272"/>
      <c r="ZP110" s="272"/>
      <c r="ZQ110" s="272"/>
      <c r="ZR110" s="272"/>
      <c r="ZS110" s="272"/>
      <c r="ZT110" s="272"/>
    </row>
    <row r="111" spans="1:696" s="19" customFormat="1" ht="15">
      <c r="A111" s="47"/>
      <c r="B111" s="74"/>
      <c r="C111" s="55" t="s">
        <v>53</v>
      </c>
      <c r="D111" s="55"/>
      <c r="E111" s="57"/>
      <c r="F111" s="57"/>
      <c r="G111" s="263"/>
      <c r="H111" s="263"/>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c r="BE111" s="272"/>
      <c r="BF111" s="272"/>
      <c r="BG111" s="272"/>
      <c r="BH111" s="272"/>
      <c r="BI111" s="272"/>
      <c r="BJ111" s="272"/>
      <c r="BK111" s="272"/>
      <c r="BL111" s="272"/>
      <c r="BM111" s="272"/>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2"/>
      <c r="CI111" s="272"/>
      <c r="CJ111" s="272"/>
      <c r="CK111" s="272"/>
      <c r="CL111" s="272"/>
      <c r="CM111" s="272"/>
      <c r="CN111" s="272"/>
      <c r="CO111" s="272"/>
      <c r="CP111" s="272"/>
      <c r="CQ111" s="272"/>
      <c r="CR111" s="272"/>
      <c r="CS111" s="272"/>
      <c r="CT111" s="272"/>
      <c r="CU111" s="272"/>
      <c r="CV111" s="272"/>
      <c r="CW111" s="272"/>
      <c r="CX111" s="272"/>
      <c r="CY111" s="272"/>
      <c r="CZ111" s="272"/>
      <c r="DA111" s="272"/>
      <c r="DB111" s="272"/>
      <c r="DC111" s="272"/>
      <c r="DD111" s="272"/>
      <c r="DE111" s="272"/>
      <c r="DF111" s="272"/>
      <c r="DG111" s="272"/>
      <c r="DH111" s="272"/>
      <c r="DI111" s="272"/>
      <c r="DJ111" s="272"/>
      <c r="DK111" s="272"/>
      <c r="DL111" s="272"/>
      <c r="DM111" s="272"/>
      <c r="DN111" s="272"/>
      <c r="DO111" s="272"/>
      <c r="DP111" s="272"/>
      <c r="DQ111" s="272"/>
      <c r="DR111" s="272"/>
      <c r="DS111" s="272"/>
      <c r="DT111" s="272"/>
      <c r="DU111" s="272"/>
      <c r="DV111" s="272"/>
      <c r="DW111" s="272"/>
      <c r="DX111" s="272"/>
      <c r="DY111" s="272"/>
      <c r="DZ111" s="272"/>
      <c r="EA111" s="272"/>
      <c r="EB111" s="272"/>
      <c r="EC111" s="272"/>
      <c r="ED111" s="272"/>
      <c r="EE111" s="272"/>
      <c r="EF111" s="272"/>
      <c r="EG111" s="272"/>
      <c r="EH111" s="272"/>
      <c r="EI111" s="272"/>
      <c r="EJ111" s="272"/>
      <c r="EK111" s="272"/>
      <c r="EL111" s="272"/>
      <c r="EM111" s="272"/>
      <c r="EN111" s="272"/>
      <c r="EO111" s="272"/>
      <c r="EP111" s="272"/>
      <c r="EQ111" s="272"/>
      <c r="ER111" s="272"/>
      <c r="ES111" s="272"/>
      <c r="ET111" s="272"/>
      <c r="EU111" s="272"/>
      <c r="EV111" s="272"/>
      <c r="EW111" s="272"/>
      <c r="EX111" s="272"/>
      <c r="EY111" s="272"/>
      <c r="EZ111" s="272"/>
      <c r="FA111" s="272"/>
      <c r="FB111" s="272"/>
      <c r="FC111" s="272"/>
      <c r="FD111" s="272"/>
      <c r="FE111" s="272"/>
      <c r="FF111" s="272"/>
      <c r="FG111" s="272"/>
      <c r="FH111" s="272"/>
      <c r="FI111" s="272"/>
      <c r="FJ111" s="272"/>
      <c r="FK111" s="272"/>
      <c r="FL111" s="272"/>
      <c r="FM111" s="272"/>
      <c r="FN111" s="272"/>
      <c r="FO111" s="272"/>
      <c r="FP111" s="272"/>
      <c r="FQ111" s="272"/>
      <c r="FR111" s="272"/>
      <c r="FS111" s="272"/>
      <c r="FT111" s="272"/>
      <c r="FU111" s="272"/>
      <c r="FV111" s="272"/>
      <c r="FW111" s="272"/>
      <c r="FX111" s="272"/>
      <c r="FY111" s="272"/>
      <c r="FZ111" s="272"/>
      <c r="GA111" s="272"/>
      <c r="GB111" s="272"/>
      <c r="GC111" s="272"/>
      <c r="GD111" s="272"/>
      <c r="GE111" s="272"/>
      <c r="GF111" s="272"/>
      <c r="GG111" s="272"/>
      <c r="GH111" s="272"/>
      <c r="GI111" s="272"/>
      <c r="GJ111" s="272"/>
      <c r="GK111" s="272"/>
      <c r="GL111" s="272"/>
      <c r="GM111" s="272"/>
      <c r="GN111" s="272"/>
      <c r="GO111" s="272"/>
      <c r="GP111" s="272"/>
      <c r="GQ111" s="272"/>
      <c r="GR111" s="272"/>
      <c r="GS111" s="272"/>
      <c r="GT111" s="272"/>
      <c r="GU111" s="272"/>
      <c r="GV111" s="272"/>
      <c r="GW111" s="272"/>
      <c r="GX111" s="272"/>
      <c r="GY111" s="272"/>
      <c r="GZ111" s="272"/>
      <c r="HA111" s="272"/>
      <c r="HB111" s="272"/>
      <c r="HC111" s="272"/>
      <c r="HD111" s="272"/>
      <c r="HE111" s="272"/>
      <c r="HF111" s="272"/>
      <c r="HG111" s="272"/>
      <c r="HH111" s="272"/>
      <c r="HI111" s="272"/>
      <c r="HJ111" s="272"/>
      <c r="HK111" s="272"/>
      <c r="HL111" s="272"/>
      <c r="HM111" s="272"/>
      <c r="HN111" s="272"/>
      <c r="HO111" s="272"/>
      <c r="HP111" s="272"/>
      <c r="HQ111" s="272"/>
      <c r="HR111" s="272"/>
      <c r="HS111" s="272"/>
      <c r="HT111" s="272"/>
      <c r="HU111" s="272"/>
      <c r="HV111" s="272"/>
      <c r="HW111" s="272"/>
      <c r="HX111" s="272"/>
      <c r="HY111" s="272"/>
      <c r="HZ111" s="272"/>
      <c r="IA111" s="272"/>
      <c r="IB111" s="272"/>
      <c r="IC111" s="272"/>
      <c r="ID111" s="272"/>
      <c r="IE111" s="272"/>
      <c r="IF111" s="272"/>
      <c r="IG111" s="272"/>
      <c r="IH111" s="272"/>
      <c r="II111" s="272"/>
      <c r="IJ111" s="272"/>
      <c r="IK111" s="272"/>
      <c r="IL111" s="272"/>
      <c r="IM111" s="272"/>
      <c r="IN111" s="272"/>
      <c r="IO111" s="272"/>
      <c r="IP111" s="272"/>
      <c r="IQ111" s="272"/>
      <c r="IR111" s="272"/>
      <c r="IS111" s="272"/>
      <c r="IT111" s="272"/>
      <c r="IU111" s="272"/>
      <c r="IV111" s="272"/>
      <c r="IW111" s="272"/>
      <c r="IX111" s="272"/>
      <c r="IY111" s="272"/>
      <c r="IZ111" s="272"/>
      <c r="JA111" s="272"/>
      <c r="JB111" s="272"/>
      <c r="JC111" s="272"/>
      <c r="JD111" s="272"/>
      <c r="JE111" s="272"/>
      <c r="JF111" s="272"/>
      <c r="JG111" s="272"/>
      <c r="JH111" s="272"/>
      <c r="JI111" s="272"/>
      <c r="JJ111" s="272"/>
      <c r="JK111" s="272"/>
      <c r="JL111" s="272"/>
      <c r="JM111" s="272"/>
      <c r="JN111" s="272"/>
      <c r="JO111" s="272"/>
      <c r="JP111" s="272"/>
      <c r="JQ111" s="272"/>
      <c r="JR111" s="272"/>
      <c r="JS111" s="272"/>
      <c r="JT111" s="272"/>
      <c r="JU111" s="272"/>
      <c r="JV111" s="272"/>
      <c r="JW111" s="272"/>
      <c r="JX111" s="272"/>
      <c r="JY111" s="272"/>
      <c r="JZ111" s="272"/>
      <c r="KA111" s="272"/>
      <c r="KB111" s="272"/>
      <c r="KC111" s="272"/>
      <c r="KD111" s="272"/>
      <c r="KE111" s="272"/>
      <c r="KF111" s="272"/>
      <c r="KG111" s="272"/>
      <c r="KH111" s="272"/>
      <c r="KI111" s="272"/>
      <c r="KJ111" s="272"/>
      <c r="KK111" s="272"/>
      <c r="KL111" s="272"/>
      <c r="KM111" s="272"/>
      <c r="KN111" s="272"/>
      <c r="KO111" s="272"/>
      <c r="KP111" s="272"/>
      <c r="KQ111" s="272"/>
      <c r="KR111" s="272"/>
      <c r="KS111" s="272"/>
      <c r="KT111" s="272"/>
      <c r="KU111" s="272"/>
      <c r="KV111" s="272"/>
      <c r="KW111" s="272"/>
      <c r="KX111" s="272"/>
      <c r="KY111" s="272"/>
      <c r="KZ111" s="272"/>
      <c r="LA111" s="272"/>
      <c r="LB111" s="272"/>
      <c r="LC111" s="272"/>
      <c r="LD111" s="272"/>
      <c r="LE111" s="272"/>
      <c r="LF111" s="272"/>
      <c r="LG111" s="272"/>
      <c r="LH111" s="272"/>
      <c r="LI111" s="272"/>
      <c r="LJ111" s="272"/>
      <c r="LK111" s="272"/>
      <c r="LL111" s="272"/>
      <c r="LM111" s="272"/>
      <c r="LN111" s="272"/>
      <c r="LO111" s="272"/>
      <c r="LP111" s="272"/>
      <c r="LQ111" s="272"/>
      <c r="LR111" s="272"/>
      <c r="LS111" s="272"/>
      <c r="LT111" s="272"/>
      <c r="LU111" s="272"/>
      <c r="LV111" s="272"/>
      <c r="LW111" s="272"/>
      <c r="LX111" s="272"/>
      <c r="LY111" s="272"/>
      <c r="LZ111" s="272"/>
      <c r="MA111" s="272"/>
      <c r="MB111" s="272"/>
      <c r="MC111" s="272"/>
      <c r="MD111" s="272"/>
      <c r="ME111" s="272"/>
      <c r="MF111" s="272"/>
      <c r="MG111" s="272"/>
      <c r="MH111" s="272"/>
      <c r="MI111" s="272"/>
      <c r="MJ111" s="272"/>
      <c r="MK111" s="272"/>
      <c r="ML111" s="272"/>
      <c r="MM111" s="272"/>
      <c r="MN111" s="272"/>
      <c r="MO111" s="272"/>
      <c r="MP111" s="272"/>
      <c r="MQ111" s="272"/>
      <c r="MR111" s="272"/>
      <c r="MS111" s="272"/>
      <c r="MT111" s="272"/>
      <c r="MU111" s="272"/>
      <c r="MV111" s="272"/>
      <c r="MW111" s="272"/>
      <c r="MX111" s="272"/>
      <c r="MY111" s="272"/>
      <c r="MZ111" s="272"/>
      <c r="NA111" s="272"/>
      <c r="NB111" s="272"/>
      <c r="NC111" s="272"/>
      <c r="ND111" s="272"/>
      <c r="NE111" s="272"/>
      <c r="NF111" s="272"/>
      <c r="NG111" s="272"/>
      <c r="NH111" s="272"/>
      <c r="NI111" s="272"/>
      <c r="NJ111" s="272"/>
      <c r="NK111" s="272"/>
      <c r="NL111" s="272"/>
      <c r="NM111" s="272"/>
      <c r="NN111" s="272"/>
      <c r="NO111" s="272"/>
      <c r="NP111" s="272"/>
      <c r="NQ111" s="272"/>
      <c r="NR111" s="272"/>
      <c r="NS111" s="272"/>
      <c r="NT111" s="272"/>
      <c r="NU111" s="272"/>
      <c r="NV111" s="272"/>
      <c r="NW111" s="272"/>
      <c r="NX111" s="272"/>
      <c r="NY111" s="272"/>
      <c r="NZ111" s="272"/>
      <c r="OA111" s="272"/>
      <c r="OB111" s="272"/>
      <c r="OC111" s="272"/>
      <c r="OD111" s="272"/>
      <c r="OE111" s="272"/>
      <c r="OF111" s="272"/>
      <c r="OG111" s="272"/>
      <c r="OH111" s="272"/>
      <c r="OI111" s="272"/>
      <c r="OJ111" s="272"/>
      <c r="OK111" s="272"/>
      <c r="OL111" s="272"/>
      <c r="OM111" s="272"/>
      <c r="ON111" s="272"/>
      <c r="OO111" s="272"/>
      <c r="OP111" s="272"/>
      <c r="OQ111" s="272"/>
      <c r="OR111" s="272"/>
      <c r="OS111" s="272"/>
      <c r="OT111" s="272"/>
      <c r="OU111" s="272"/>
      <c r="OV111" s="272"/>
      <c r="OW111" s="272"/>
      <c r="OX111" s="272"/>
      <c r="OY111" s="272"/>
      <c r="OZ111" s="272"/>
      <c r="PA111" s="272"/>
      <c r="PB111" s="272"/>
      <c r="PC111" s="272"/>
      <c r="PD111" s="272"/>
      <c r="PE111" s="272"/>
      <c r="PF111" s="272"/>
      <c r="PG111" s="272"/>
      <c r="PH111" s="272"/>
      <c r="PI111" s="272"/>
      <c r="PJ111" s="272"/>
      <c r="PK111" s="272"/>
      <c r="PL111" s="272"/>
      <c r="PM111" s="272"/>
      <c r="PN111" s="272"/>
      <c r="PO111" s="272"/>
      <c r="PP111" s="272"/>
      <c r="PQ111" s="272"/>
      <c r="PR111" s="272"/>
      <c r="PS111" s="272"/>
      <c r="PT111" s="272"/>
      <c r="PU111" s="272"/>
      <c r="PV111" s="272"/>
      <c r="PW111" s="272"/>
      <c r="PX111" s="272"/>
      <c r="PY111" s="272"/>
      <c r="PZ111" s="272"/>
      <c r="QA111" s="272"/>
      <c r="QB111" s="272"/>
      <c r="QC111" s="272"/>
      <c r="QD111" s="272"/>
      <c r="QE111" s="272"/>
      <c r="QF111" s="272"/>
      <c r="QG111" s="272"/>
      <c r="QH111" s="272"/>
      <c r="QI111" s="272"/>
      <c r="QJ111" s="272"/>
      <c r="QK111" s="272"/>
      <c r="QL111" s="272"/>
      <c r="QM111" s="272"/>
      <c r="QN111" s="272"/>
      <c r="QO111" s="272"/>
      <c r="QP111" s="272"/>
      <c r="QQ111" s="272"/>
      <c r="QR111" s="272"/>
      <c r="QS111" s="272"/>
      <c r="QT111" s="272"/>
      <c r="QU111" s="272"/>
      <c r="QV111" s="272"/>
      <c r="QW111" s="272"/>
      <c r="QX111" s="272"/>
      <c r="QY111" s="272"/>
      <c r="QZ111" s="272"/>
      <c r="RA111" s="272"/>
      <c r="RB111" s="272"/>
      <c r="RC111" s="272"/>
      <c r="RD111" s="272"/>
      <c r="RE111" s="272"/>
      <c r="RF111" s="272"/>
      <c r="RG111" s="272"/>
      <c r="RH111" s="272"/>
      <c r="RI111" s="272"/>
      <c r="RJ111" s="272"/>
      <c r="RK111" s="272"/>
      <c r="RL111" s="272"/>
      <c r="RM111" s="272"/>
      <c r="RN111" s="272"/>
      <c r="RO111" s="272"/>
      <c r="RP111" s="272"/>
      <c r="RQ111" s="272"/>
      <c r="RR111" s="272"/>
      <c r="RS111" s="272"/>
      <c r="RT111" s="272"/>
      <c r="RU111" s="272"/>
      <c r="RV111" s="272"/>
      <c r="RW111" s="272"/>
      <c r="RX111" s="272"/>
      <c r="RY111" s="272"/>
      <c r="RZ111" s="272"/>
      <c r="SA111" s="272"/>
      <c r="SB111" s="272"/>
      <c r="SC111" s="272"/>
      <c r="SD111" s="272"/>
      <c r="SE111" s="272"/>
      <c r="SF111" s="272"/>
      <c r="SG111" s="272"/>
      <c r="SH111" s="272"/>
      <c r="SI111" s="272"/>
      <c r="SJ111" s="272"/>
      <c r="SK111" s="272"/>
      <c r="SL111" s="272"/>
      <c r="SM111" s="272"/>
      <c r="SN111" s="272"/>
      <c r="SO111" s="272"/>
      <c r="SP111" s="272"/>
      <c r="SQ111" s="272"/>
      <c r="SR111" s="272"/>
      <c r="SS111" s="272"/>
      <c r="ST111" s="272"/>
      <c r="SU111" s="272"/>
      <c r="SV111" s="272"/>
      <c r="SW111" s="272"/>
      <c r="SX111" s="272"/>
      <c r="SY111" s="272"/>
      <c r="SZ111" s="272"/>
      <c r="TA111" s="272"/>
      <c r="TB111" s="272"/>
      <c r="TC111" s="272"/>
      <c r="TD111" s="272"/>
      <c r="TE111" s="272"/>
      <c r="TF111" s="272"/>
      <c r="TG111" s="272"/>
      <c r="TH111" s="272"/>
      <c r="TI111" s="272"/>
      <c r="TJ111" s="272"/>
      <c r="TK111" s="272"/>
      <c r="TL111" s="272"/>
      <c r="TM111" s="272"/>
      <c r="TN111" s="272"/>
      <c r="TO111" s="272"/>
      <c r="TP111" s="272"/>
      <c r="TQ111" s="272"/>
      <c r="TR111" s="272"/>
      <c r="TS111" s="272"/>
      <c r="TT111" s="272"/>
      <c r="TU111" s="272"/>
      <c r="TV111" s="272"/>
      <c r="TW111" s="272"/>
      <c r="TX111" s="272"/>
      <c r="TY111" s="272"/>
      <c r="TZ111" s="272"/>
      <c r="UA111" s="272"/>
      <c r="UB111" s="272"/>
      <c r="UC111" s="272"/>
      <c r="UD111" s="272"/>
      <c r="UE111" s="272"/>
      <c r="UF111" s="272"/>
      <c r="UG111" s="272"/>
      <c r="UH111" s="272"/>
      <c r="UI111" s="272"/>
      <c r="UJ111" s="272"/>
      <c r="UK111" s="272"/>
      <c r="UL111" s="272"/>
      <c r="UM111" s="272"/>
      <c r="UN111" s="272"/>
      <c r="UO111" s="272"/>
      <c r="UP111" s="272"/>
      <c r="UQ111" s="272"/>
      <c r="UR111" s="272"/>
      <c r="US111" s="272"/>
      <c r="UT111" s="272"/>
      <c r="UU111" s="272"/>
      <c r="UV111" s="272"/>
      <c r="UW111" s="272"/>
      <c r="UX111" s="272"/>
      <c r="UY111" s="272"/>
      <c r="UZ111" s="272"/>
      <c r="VA111" s="272"/>
      <c r="VB111" s="272"/>
      <c r="VC111" s="272"/>
      <c r="VD111" s="272"/>
      <c r="VE111" s="272"/>
      <c r="VF111" s="272"/>
      <c r="VG111" s="272"/>
      <c r="VH111" s="272"/>
      <c r="VI111" s="272"/>
      <c r="VJ111" s="272"/>
      <c r="VK111" s="272"/>
      <c r="VL111" s="272"/>
      <c r="VM111" s="272"/>
      <c r="VN111" s="272"/>
      <c r="VO111" s="272"/>
      <c r="VP111" s="272"/>
      <c r="VQ111" s="272"/>
      <c r="VR111" s="272"/>
      <c r="VS111" s="272"/>
      <c r="VT111" s="272"/>
      <c r="VU111" s="272"/>
      <c r="VV111" s="272"/>
      <c r="VW111" s="272"/>
      <c r="VX111" s="272"/>
      <c r="VY111" s="272"/>
      <c r="VZ111" s="272"/>
      <c r="WA111" s="272"/>
      <c r="WB111" s="272"/>
      <c r="WC111" s="272"/>
      <c r="WD111" s="272"/>
      <c r="WE111" s="272"/>
      <c r="WF111" s="272"/>
      <c r="WG111" s="272"/>
      <c r="WH111" s="272"/>
      <c r="WI111" s="272"/>
      <c r="WJ111" s="272"/>
      <c r="WK111" s="272"/>
      <c r="WL111" s="272"/>
      <c r="WM111" s="272"/>
      <c r="WN111" s="272"/>
      <c r="WO111" s="272"/>
      <c r="WP111" s="272"/>
      <c r="WQ111" s="272"/>
      <c r="WR111" s="272"/>
      <c r="WS111" s="272"/>
      <c r="WT111" s="272"/>
      <c r="WU111" s="272"/>
      <c r="WV111" s="272"/>
      <c r="WW111" s="272"/>
      <c r="WX111" s="272"/>
      <c r="WY111" s="272"/>
      <c r="WZ111" s="272"/>
      <c r="XA111" s="272"/>
      <c r="XB111" s="272"/>
      <c r="XC111" s="272"/>
      <c r="XD111" s="272"/>
      <c r="XE111" s="272"/>
      <c r="XF111" s="272"/>
      <c r="XG111" s="272"/>
      <c r="XH111" s="272"/>
      <c r="XI111" s="272"/>
      <c r="XJ111" s="272"/>
      <c r="XK111" s="272"/>
      <c r="XL111" s="272"/>
      <c r="XM111" s="272"/>
      <c r="XN111" s="272"/>
      <c r="XO111" s="272"/>
      <c r="XP111" s="272"/>
      <c r="XQ111" s="272"/>
      <c r="XR111" s="272"/>
      <c r="XS111" s="272"/>
      <c r="XT111" s="272"/>
      <c r="XU111" s="272"/>
      <c r="XV111" s="272"/>
      <c r="XW111" s="272"/>
      <c r="XX111" s="272"/>
      <c r="XY111" s="272"/>
      <c r="XZ111" s="272"/>
      <c r="YA111" s="272"/>
      <c r="YB111" s="272"/>
      <c r="YC111" s="272"/>
      <c r="YD111" s="272"/>
      <c r="YE111" s="272"/>
      <c r="YF111" s="272"/>
      <c r="YG111" s="272"/>
      <c r="YH111" s="272"/>
      <c r="YI111" s="272"/>
      <c r="YJ111" s="272"/>
      <c r="YK111" s="272"/>
      <c r="YL111" s="272"/>
      <c r="YM111" s="272"/>
      <c r="YN111" s="272"/>
      <c r="YO111" s="272"/>
      <c r="YP111" s="272"/>
      <c r="YQ111" s="272"/>
      <c r="YR111" s="272"/>
      <c r="YS111" s="272"/>
      <c r="YT111" s="272"/>
      <c r="YU111" s="272"/>
      <c r="YV111" s="272"/>
      <c r="YW111" s="272"/>
      <c r="YX111" s="272"/>
      <c r="YY111" s="272"/>
      <c r="YZ111" s="272"/>
      <c r="ZA111" s="272"/>
      <c r="ZB111" s="272"/>
      <c r="ZC111" s="272"/>
      <c r="ZD111" s="272"/>
      <c r="ZE111" s="272"/>
      <c r="ZF111" s="272"/>
      <c r="ZG111" s="272"/>
      <c r="ZH111" s="272"/>
      <c r="ZI111" s="272"/>
      <c r="ZJ111" s="272"/>
      <c r="ZK111" s="272"/>
      <c r="ZL111" s="272"/>
      <c r="ZM111" s="272"/>
      <c r="ZN111" s="272"/>
      <c r="ZO111" s="272"/>
      <c r="ZP111" s="272"/>
      <c r="ZQ111" s="272"/>
      <c r="ZR111" s="272"/>
      <c r="ZS111" s="272"/>
      <c r="ZT111" s="272"/>
    </row>
    <row r="112" spans="1:696" s="62" customFormat="1" ht="13.5" thickBot="1">
      <c r="A112" s="48"/>
      <c r="B112" s="75"/>
      <c r="C112" s="58" t="s">
        <v>54</v>
      </c>
      <c r="D112" s="58"/>
      <c r="E112" s="60"/>
      <c r="F112" s="60"/>
      <c r="G112" s="264"/>
      <c r="H112" s="264"/>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2"/>
      <c r="BR112" s="272"/>
      <c r="BS112" s="272"/>
      <c r="BT112" s="272"/>
      <c r="BU112" s="272"/>
      <c r="BV112" s="272"/>
      <c r="BW112" s="272"/>
      <c r="BX112" s="272"/>
      <c r="BY112" s="272"/>
      <c r="BZ112" s="272"/>
      <c r="CA112" s="272"/>
      <c r="CB112" s="272"/>
      <c r="CC112" s="272"/>
      <c r="CD112" s="272"/>
      <c r="CE112" s="272"/>
      <c r="CF112" s="272"/>
      <c r="CG112" s="272"/>
      <c r="CH112" s="272"/>
      <c r="CI112" s="272"/>
      <c r="CJ112" s="272"/>
      <c r="CK112" s="272"/>
      <c r="CL112" s="272"/>
      <c r="CM112" s="272"/>
      <c r="CN112" s="272"/>
      <c r="CO112" s="272"/>
      <c r="CP112" s="272"/>
      <c r="CQ112" s="272"/>
      <c r="CR112" s="272"/>
      <c r="CS112" s="272"/>
      <c r="CT112" s="272"/>
      <c r="CU112" s="272"/>
      <c r="CV112" s="272"/>
      <c r="CW112" s="272"/>
      <c r="CX112" s="272"/>
      <c r="CY112" s="272"/>
      <c r="CZ112" s="272"/>
      <c r="DA112" s="272"/>
      <c r="DB112" s="272"/>
      <c r="DC112" s="272"/>
      <c r="DD112" s="272"/>
      <c r="DE112" s="272"/>
      <c r="DF112" s="272"/>
      <c r="DG112" s="272"/>
      <c r="DH112" s="272"/>
      <c r="DI112" s="272"/>
      <c r="DJ112" s="272"/>
      <c r="DK112" s="272"/>
      <c r="DL112" s="272"/>
      <c r="DM112" s="272"/>
      <c r="DN112" s="272"/>
      <c r="DO112" s="272"/>
      <c r="DP112" s="272"/>
      <c r="DQ112" s="272"/>
      <c r="DR112" s="272"/>
      <c r="DS112" s="272"/>
      <c r="DT112" s="272"/>
      <c r="DU112" s="272"/>
      <c r="DV112" s="272"/>
      <c r="DW112" s="272"/>
      <c r="DX112" s="272"/>
      <c r="DY112" s="272"/>
      <c r="DZ112" s="272"/>
      <c r="EA112" s="272"/>
      <c r="EB112" s="272"/>
      <c r="EC112" s="272"/>
      <c r="ED112" s="272"/>
      <c r="EE112" s="272"/>
      <c r="EF112" s="272"/>
      <c r="EG112" s="272"/>
      <c r="EH112" s="272"/>
      <c r="EI112" s="272"/>
      <c r="EJ112" s="272"/>
      <c r="EK112" s="272"/>
      <c r="EL112" s="272"/>
      <c r="EM112" s="272"/>
      <c r="EN112" s="272"/>
      <c r="EO112" s="272"/>
      <c r="EP112" s="272"/>
      <c r="EQ112" s="272"/>
      <c r="ER112" s="272"/>
      <c r="ES112" s="272"/>
      <c r="ET112" s="272"/>
      <c r="EU112" s="272"/>
      <c r="EV112" s="272"/>
      <c r="EW112" s="272"/>
      <c r="EX112" s="272"/>
      <c r="EY112" s="272"/>
      <c r="EZ112" s="272"/>
      <c r="FA112" s="272"/>
      <c r="FB112" s="272"/>
      <c r="FC112" s="272"/>
      <c r="FD112" s="272"/>
      <c r="FE112" s="272"/>
      <c r="FF112" s="272"/>
      <c r="FG112" s="272"/>
      <c r="FH112" s="272"/>
      <c r="FI112" s="272"/>
      <c r="FJ112" s="272"/>
      <c r="FK112" s="272"/>
      <c r="FL112" s="272"/>
      <c r="FM112" s="272"/>
      <c r="FN112" s="272"/>
      <c r="FO112" s="272"/>
      <c r="FP112" s="272"/>
      <c r="FQ112" s="272"/>
      <c r="FR112" s="272"/>
      <c r="FS112" s="272"/>
      <c r="FT112" s="272"/>
      <c r="FU112" s="272"/>
      <c r="FV112" s="272"/>
      <c r="FW112" s="272"/>
      <c r="FX112" s="272"/>
      <c r="FY112" s="272"/>
      <c r="FZ112" s="272"/>
      <c r="GA112" s="272"/>
      <c r="GB112" s="272"/>
      <c r="GC112" s="272"/>
      <c r="GD112" s="272"/>
      <c r="GE112" s="272"/>
      <c r="GF112" s="272"/>
      <c r="GG112" s="272"/>
      <c r="GH112" s="272"/>
      <c r="GI112" s="272"/>
      <c r="GJ112" s="272"/>
      <c r="GK112" s="272"/>
      <c r="GL112" s="272"/>
      <c r="GM112" s="272"/>
      <c r="GN112" s="272"/>
      <c r="GO112" s="272"/>
      <c r="GP112" s="272"/>
      <c r="GQ112" s="272"/>
      <c r="GR112" s="272"/>
      <c r="GS112" s="272"/>
      <c r="GT112" s="272"/>
      <c r="GU112" s="272"/>
      <c r="GV112" s="272"/>
      <c r="GW112" s="272"/>
      <c r="GX112" s="272"/>
      <c r="GY112" s="272"/>
      <c r="GZ112" s="272"/>
      <c r="HA112" s="272"/>
      <c r="HB112" s="272"/>
      <c r="HC112" s="272"/>
      <c r="HD112" s="272"/>
      <c r="HE112" s="272"/>
      <c r="HF112" s="272"/>
      <c r="HG112" s="272"/>
      <c r="HH112" s="272"/>
      <c r="HI112" s="272"/>
      <c r="HJ112" s="272"/>
      <c r="HK112" s="272"/>
      <c r="HL112" s="272"/>
      <c r="HM112" s="272"/>
      <c r="HN112" s="272"/>
      <c r="HO112" s="272"/>
      <c r="HP112" s="272"/>
      <c r="HQ112" s="272"/>
      <c r="HR112" s="272"/>
      <c r="HS112" s="272"/>
      <c r="HT112" s="272"/>
      <c r="HU112" s="272"/>
      <c r="HV112" s="272"/>
      <c r="HW112" s="272"/>
      <c r="HX112" s="272"/>
      <c r="HY112" s="272"/>
      <c r="HZ112" s="272"/>
      <c r="IA112" s="272"/>
      <c r="IB112" s="272"/>
      <c r="IC112" s="272"/>
      <c r="ID112" s="272"/>
      <c r="IE112" s="272"/>
      <c r="IF112" s="272"/>
      <c r="IG112" s="272"/>
      <c r="IH112" s="272"/>
      <c r="II112" s="272"/>
      <c r="IJ112" s="272"/>
      <c r="IK112" s="272"/>
      <c r="IL112" s="272"/>
      <c r="IM112" s="272"/>
      <c r="IN112" s="272"/>
      <c r="IO112" s="272"/>
      <c r="IP112" s="272"/>
      <c r="IQ112" s="272"/>
      <c r="IR112" s="272"/>
      <c r="IS112" s="272"/>
      <c r="IT112" s="272"/>
      <c r="IU112" s="272"/>
      <c r="IV112" s="272"/>
      <c r="IW112" s="272"/>
      <c r="IX112" s="272"/>
      <c r="IY112" s="272"/>
      <c r="IZ112" s="272"/>
      <c r="JA112" s="272"/>
      <c r="JB112" s="272"/>
      <c r="JC112" s="272"/>
      <c r="JD112" s="272"/>
      <c r="JE112" s="272"/>
      <c r="JF112" s="272"/>
      <c r="JG112" s="272"/>
      <c r="JH112" s="272"/>
      <c r="JI112" s="272"/>
      <c r="JJ112" s="272"/>
      <c r="JK112" s="272"/>
      <c r="JL112" s="272"/>
      <c r="JM112" s="272"/>
      <c r="JN112" s="272"/>
      <c r="JO112" s="272"/>
      <c r="JP112" s="272"/>
      <c r="JQ112" s="272"/>
      <c r="JR112" s="272"/>
      <c r="JS112" s="272"/>
      <c r="JT112" s="272"/>
      <c r="JU112" s="272"/>
      <c r="JV112" s="272"/>
      <c r="JW112" s="272"/>
      <c r="JX112" s="272"/>
      <c r="JY112" s="272"/>
      <c r="JZ112" s="272"/>
      <c r="KA112" s="272"/>
      <c r="KB112" s="272"/>
      <c r="KC112" s="272"/>
      <c r="KD112" s="272"/>
      <c r="KE112" s="272"/>
      <c r="KF112" s="272"/>
      <c r="KG112" s="272"/>
      <c r="KH112" s="272"/>
      <c r="KI112" s="272"/>
      <c r="KJ112" s="272"/>
      <c r="KK112" s="272"/>
      <c r="KL112" s="272"/>
      <c r="KM112" s="272"/>
      <c r="KN112" s="272"/>
      <c r="KO112" s="272"/>
      <c r="KP112" s="272"/>
      <c r="KQ112" s="272"/>
      <c r="KR112" s="272"/>
      <c r="KS112" s="272"/>
      <c r="KT112" s="272"/>
      <c r="KU112" s="272"/>
      <c r="KV112" s="272"/>
      <c r="KW112" s="272"/>
      <c r="KX112" s="272"/>
      <c r="KY112" s="272"/>
      <c r="KZ112" s="272"/>
      <c r="LA112" s="272"/>
      <c r="LB112" s="272"/>
      <c r="LC112" s="272"/>
      <c r="LD112" s="272"/>
      <c r="LE112" s="272"/>
      <c r="LF112" s="272"/>
      <c r="LG112" s="272"/>
      <c r="LH112" s="272"/>
      <c r="LI112" s="272"/>
      <c r="LJ112" s="272"/>
      <c r="LK112" s="272"/>
      <c r="LL112" s="272"/>
      <c r="LM112" s="272"/>
      <c r="LN112" s="272"/>
      <c r="LO112" s="272"/>
      <c r="LP112" s="272"/>
      <c r="LQ112" s="272"/>
      <c r="LR112" s="272"/>
      <c r="LS112" s="272"/>
      <c r="LT112" s="272"/>
      <c r="LU112" s="272"/>
      <c r="LV112" s="272"/>
      <c r="LW112" s="272"/>
      <c r="LX112" s="272"/>
      <c r="LY112" s="272"/>
      <c r="LZ112" s="272"/>
      <c r="MA112" s="272"/>
      <c r="MB112" s="272"/>
      <c r="MC112" s="272"/>
      <c r="MD112" s="272"/>
      <c r="ME112" s="272"/>
      <c r="MF112" s="272"/>
      <c r="MG112" s="272"/>
      <c r="MH112" s="272"/>
      <c r="MI112" s="272"/>
      <c r="MJ112" s="272"/>
      <c r="MK112" s="272"/>
      <c r="ML112" s="272"/>
      <c r="MM112" s="272"/>
      <c r="MN112" s="272"/>
      <c r="MO112" s="272"/>
      <c r="MP112" s="272"/>
      <c r="MQ112" s="272"/>
      <c r="MR112" s="272"/>
      <c r="MS112" s="272"/>
      <c r="MT112" s="272"/>
      <c r="MU112" s="272"/>
      <c r="MV112" s="272"/>
      <c r="MW112" s="272"/>
      <c r="MX112" s="272"/>
      <c r="MY112" s="272"/>
      <c r="MZ112" s="272"/>
      <c r="NA112" s="272"/>
      <c r="NB112" s="272"/>
      <c r="NC112" s="272"/>
      <c r="ND112" s="272"/>
      <c r="NE112" s="272"/>
      <c r="NF112" s="272"/>
      <c r="NG112" s="272"/>
      <c r="NH112" s="272"/>
      <c r="NI112" s="272"/>
      <c r="NJ112" s="272"/>
      <c r="NK112" s="272"/>
      <c r="NL112" s="272"/>
      <c r="NM112" s="272"/>
      <c r="NN112" s="272"/>
      <c r="NO112" s="272"/>
      <c r="NP112" s="272"/>
      <c r="NQ112" s="272"/>
      <c r="NR112" s="272"/>
      <c r="NS112" s="272"/>
      <c r="NT112" s="272"/>
      <c r="NU112" s="272"/>
      <c r="NV112" s="272"/>
      <c r="NW112" s="272"/>
      <c r="NX112" s="272"/>
      <c r="NY112" s="272"/>
      <c r="NZ112" s="272"/>
      <c r="OA112" s="272"/>
      <c r="OB112" s="272"/>
      <c r="OC112" s="272"/>
      <c r="OD112" s="272"/>
      <c r="OE112" s="272"/>
      <c r="OF112" s="272"/>
      <c r="OG112" s="272"/>
      <c r="OH112" s="272"/>
      <c r="OI112" s="272"/>
      <c r="OJ112" s="272"/>
      <c r="OK112" s="272"/>
      <c r="OL112" s="272"/>
      <c r="OM112" s="272"/>
      <c r="ON112" s="272"/>
      <c r="OO112" s="272"/>
      <c r="OP112" s="272"/>
      <c r="OQ112" s="272"/>
      <c r="OR112" s="272"/>
      <c r="OS112" s="272"/>
      <c r="OT112" s="272"/>
      <c r="OU112" s="272"/>
      <c r="OV112" s="272"/>
      <c r="OW112" s="272"/>
      <c r="OX112" s="272"/>
      <c r="OY112" s="272"/>
      <c r="OZ112" s="272"/>
      <c r="PA112" s="272"/>
      <c r="PB112" s="272"/>
      <c r="PC112" s="272"/>
      <c r="PD112" s="272"/>
      <c r="PE112" s="272"/>
      <c r="PF112" s="272"/>
      <c r="PG112" s="272"/>
      <c r="PH112" s="272"/>
      <c r="PI112" s="272"/>
      <c r="PJ112" s="272"/>
      <c r="PK112" s="272"/>
      <c r="PL112" s="272"/>
      <c r="PM112" s="272"/>
      <c r="PN112" s="272"/>
      <c r="PO112" s="272"/>
      <c r="PP112" s="272"/>
      <c r="PQ112" s="272"/>
      <c r="PR112" s="272"/>
      <c r="PS112" s="272"/>
      <c r="PT112" s="272"/>
      <c r="PU112" s="272"/>
      <c r="PV112" s="272"/>
      <c r="PW112" s="272"/>
      <c r="PX112" s="272"/>
      <c r="PY112" s="272"/>
      <c r="PZ112" s="272"/>
      <c r="QA112" s="272"/>
      <c r="QB112" s="272"/>
      <c r="QC112" s="272"/>
      <c r="QD112" s="272"/>
      <c r="QE112" s="272"/>
      <c r="QF112" s="272"/>
      <c r="QG112" s="272"/>
      <c r="QH112" s="272"/>
      <c r="QI112" s="272"/>
      <c r="QJ112" s="272"/>
      <c r="QK112" s="272"/>
      <c r="QL112" s="272"/>
      <c r="QM112" s="272"/>
      <c r="QN112" s="272"/>
      <c r="QO112" s="272"/>
      <c r="QP112" s="272"/>
      <c r="QQ112" s="272"/>
      <c r="QR112" s="272"/>
      <c r="QS112" s="272"/>
      <c r="QT112" s="272"/>
      <c r="QU112" s="272"/>
      <c r="QV112" s="272"/>
      <c r="QW112" s="272"/>
      <c r="QX112" s="272"/>
      <c r="QY112" s="272"/>
      <c r="QZ112" s="272"/>
      <c r="RA112" s="272"/>
      <c r="RB112" s="272"/>
      <c r="RC112" s="272"/>
      <c r="RD112" s="272"/>
      <c r="RE112" s="272"/>
      <c r="RF112" s="272"/>
      <c r="RG112" s="272"/>
      <c r="RH112" s="272"/>
      <c r="RI112" s="272"/>
      <c r="RJ112" s="272"/>
      <c r="RK112" s="272"/>
      <c r="RL112" s="272"/>
      <c r="RM112" s="272"/>
      <c r="RN112" s="272"/>
      <c r="RO112" s="272"/>
      <c r="RP112" s="272"/>
      <c r="RQ112" s="272"/>
      <c r="RR112" s="272"/>
      <c r="RS112" s="272"/>
      <c r="RT112" s="272"/>
      <c r="RU112" s="272"/>
      <c r="RV112" s="272"/>
      <c r="RW112" s="272"/>
      <c r="RX112" s="272"/>
      <c r="RY112" s="272"/>
      <c r="RZ112" s="272"/>
      <c r="SA112" s="272"/>
      <c r="SB112" s="272"/>
      <c r="SC112" s="272"/>
      <c r="SD112" s="272"/>
      <c r="SE112" s="272"/>
      <c r="SF112" s="272"/>
      <c r="SG112" s="272"/>
      <c r="SH112" s="272"/>
      <c r="SI112" s="272"/>
      <c r="SJ112" s="272"/>
      <c r="SK112" s="272"/>
      <c r="SL112" s="272"/>
      <c r="SM112" s="272"/>
      <c r="SN112" s="272"/>
      <c r="SO112" s="272"/>
      <c r="SP112" s="272"/>
      <c r="SQ112" s="272"/>
      <c r="SR112" s="272"/>
      <c r="SS112" s="272"/>
      <c r="ST112" s="272"/>
      <c r="SU112" s="272"/>
      <c r="SV112" s="272"/>
      <c r="SW112" s="272"/>
      <c r="SX112" s="272"/>
      <c r="SY112" s="272"/>
      <c r="SZ112" s="272"/>
      <c r="TA112" s="272"/>
      <c r="TB112" s="272"/>
      <c r="TC112" s="272"/>
      <c r="TD112" s="272"/>
      <c r="TE112" s="272"/>
      <c r="TF112" s="272"/>
      <c r="TG112" s="272"/>
      <c r="TH112" s="272"/>
      <c r="TI112" s="272"/>
      <c r="TJ112" s="272"/>
      <c r="TK112" s="272"/>
      <c r="TL112" s="272"/>
      <c r="TM112" s="272"/>
      <c r="TN112" s="272"/>
      <c r="TO112" s="272"/>
      <c r="TP112" s="272"/>
      <c r="TQ112" s="272"/>
      <c r="TR112" s="272"/>
      <c r="TS112" s="272"/>
      <c r="TT112" s="272"/>
      <c r="TU112" s="272"/>
      <c r="TV112" s="272"/>
      <c r="TW112" s="272"/>
      <c r="TX112" s="272"/>
      <c r="TY112" s="272"/>
      <c r="TZ112" s="272"/>
      <c r="UA112" s="272"/>
      <c r="UB112" s="272"/>
      <c r="UC112" s="272"/>
      <c r="UD112" s="272"/>
      <c r="UE112" s="272"/>
      <c r="UF112" s="272"/>
      <c r="UG112" s="272"/>
      <c r="UH112" s="272"/>
      <c r="UI112" s="272"/>
      <c r="UJ112" s="272"/>
      <c r="UK112" s="272"/>
      <c r="UL112" s="272"/>
      <c r="UM112" s="272"/>
      <c r="UN112" s="272"/>
      <c r="UO112" s="272"/>
      <c r="UP112" s="272"/>
      <c r="UQ112" s="272"/>
      <c r="UR112" s="272"/>
      <c r="US112" s="272"/>
      <c r="UT112" s="272"/>
      <c r="UU112" s="272"/>
      <c r="UV112" s="272"/>
      <c r="UW112" s="272"/>
      <c r="UX112" s="272"/>
      <c r="UY112" s="272"/>
      <c r="UZ112" s="272"/>
      <c r="VA112" s="272"/>
      <c r="VB112" s="272"/>
      <c r="VC112" s="272"/>
      <c r="VD112" s="272"/>
      <c r="VE112" s="272"/>
      <c r="VF112" s="272"/>
      <c r="VG112" s="272"/>
      <c r="VH112" s="272"/>
      <c r="VI112" s="272"/>
      <c r="VJ112" s="272"/>
      <c r="VK112" s="272"/>
      <c r="VL112" s="272"/>
      <c r="VM112" s="272"/>
      <c r="VN112" s="272"/>
      <c r="VO112" s="272"/>
      <c r="VP112" s="272"/>
      <c r="VQ112" s="272"/>
      <c r="VR112" s="272"/>
      <c r="VS112" s="272"/>
      <c r="VT112" s="272"/>
      <c r="VU112" s="272"/>
      <c r="VV112" s="272"/>
      <c r="VW112" s="272"/>
      <c r="VX112" s="272"/>
      <c r="VY112" s="272"/>
      <c r="VZ112" s="272"/>
      <c r="WA112" s="272"/>
      <c r="WB112" s="272"/>
      <c r="WC112" s="272"/>
      <c r="WD112" s="272"/>
      <c r="WE112" s="272"/>
      <c r="WF112" s="272"/>
      <c r="WG112" s="272"/>
      <c r="WH112" s="272"/>
      <c r="WI112" s="272"/>
      <c r="WJ112" s="272"/>
      <c r="WK112" s="272"/>
      <c r="WL112" s="272"/>
      <c r="WM112" s="272"/>
      <c r="WN112" s="272"/>
      <c r="WO112" s="272"/>
      <c r="WP112" s="272"/>
      <c r="WQ112" s="272"/>
      <c r="WR112" s="272"/>
      <c r="WS112" s="272"/>
      <c r="WT112" s="272"/>
      <c r="WU112" s="272"/>
      <c r="WV112" s="272"/>
      <c r="WW112" s="272"/>
      <c r="WX112" s="272"/>
      <c r="WY112" s="272"/>
      <c r="WZ112" s="272"/>
      <c r="XA112" s="272"/>
      <c r="XB112" s="272"/>
      <c r="XC112" s="272"/>
      <c r="XD112" s="272"/>
      <c r="XE112" s="272"/>
      <c r="XF112" s="272"/>
      <c r="XG112" s="272"/>
      <c r="XH112" s="272"/>
      <c r="XI112" s="272"/>
      <c r="XJ112" s="272"/>
      <c r="XK112" s="272"/>
      <c r="XL112" s="272"/>
      <c r="XM112" s="272"/>
      <c r="XN112" s="272"/>
      <c r="XO112" s="272"/>
      <c r="XP112" s="272"/>
      <c r="XQ112" s="272"/>
      <c r="XR112" s="272"/>
      <c r="XS112" s="272"/>
      <c r="XT112" s="272"/>
      <c r="XU112" s="272"/>
      <c r="XV112" s="272"/>
      <c r="XW112" s="272"/>
      <c r="XX112" s="272"/>
      <c r="XY112" s="272"/>
      <c r="XZ112" s="272"/>
      <c r="YA112" s="272"/>
      <c r="YB112" s="272"/>
      <c r="YC112" s="272"/>
      <c r="YD112" s="272"/>
      <c r="YE112" s="272"/>
      <c r="YF112" s="272"/>
      <c r="YG112" s="272"/>
      <c r="YH112" s="272"/>
      <c r="YI112" s="272"/>
      <c r="YJ112" s="272"/>
      <c r="YK112" s="272"/>
      <c r="YL112" s="272"/>
      <c r="YM112" s="272"/>
      <c r="YN112" s="272"/>
      <c r="YO112" s="272"/>
      <c r="YP112" s="272"/>
      <c r="YQ112" s="272"/>
      <c r="YR112" s="272"/>
      <c r="YS112" s="272"/>
      <c r="YT112" s="272"/>
      <c r="YU112" s="272"/>
      <c r="YV112" s="272"/>
      <c r="YW112" s="272"/>
      <c r="YX112" s="272"/>
      <c r="YY112" s="272"/>
      <c r="YZ112" s="272"/>
      <c r="ZA112" s="272"/>
      <c r="ZB112" s="272"/>
      <c r="ZC112" s="272"/>
      <c r="ZD112" s="272"/>
      <c r="ZE112" s="272"/>
      <c r="ZF112" s="272"/>
      <c r="ZG112" s="272"/>
      <c r="ZH112" s="272"/>
      <c r="ZI112" s="272"/>
      <c r="ZJ112" s="272"/>
      <c r="ZK112" s="272"/>
      <c r="ZL112" s="272"/>
      <c r="ZM112" s="272"/>
      <c r="ZN112" s="272"/>
      <c r="ZO112" s="272"/>
      <c r="ZP112" s="272"/>
      <c r="ZQ112" s="272"/>
      <c r="ZR112" s="272"/>
      <c r="ZS112" s="272"/>
      <c r="ZT112" s="272"/>
    </row>
    <row r="113" spans="1:696" s="61" customFormat="1" ht="51">
      <c r="A113" s="69" t="s">
        <v>37</v>
      </c>
      <c r="B113" s="70" t="s">
        <v>38</v>
      </c>
      <c r="C113" s="65" t="s">
        <v>52</v>
      </c>
      <c r="D113" s="65"/>
      <c r="E113" s="66"/>
      <c r="F113" s="66"/>
      <c r="G113" s="270"/>
      <c r="H113" s="270"/>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2"/>
      <c r="CC113" s="272"/>
      <c r="CD113" s="272"/>
      <c r="CE113" s="272"/>
      <c r="CF113" s="272"/>
      <c r="CG113" s="272"/>
      <c r="CH113" s="272"/>
      <c r="CI113" s="272"/>
      <c r="CJ113" s="272"/>
      <c r="CK113" s="272"/>
      <c r="CL113" s="272"/>
      <c r="CM113" s="272"/>
      <c r="CN113" s="272"/>
      <c r="CO113" s="272"/>
      <c r="CP113" s="272"/>
      <c r="CQ113" s="272"/>
      <c r="CR113" s="272"/>
      <c r="CS113" s="272"/>
      <c r="CT113" s="272"/>
      <c r="CU113" s="272"/>
      <c r="CV113" s="272"/>
      <c r="CW113" s="272"/>
      <c r="CX113" s="272"/>
      <c r="CY113" s="272"/>
      <c r="CZ113" s="272"/>
      <c r="DA113" s="272"/>
      <c r="DB113" s="272"/>
      <c r="DC113" s="272"/>
      <c r="DD113" s="272"/>
      <c r="DE113" s="272"/>
      <c r="DF113" s="272"/>
      <c r="DG113" s="272"/>
      <c r="DH113" s="272"/>
      <c r="DI113" s="272"/>
      <c r="DJ113" s="272"/>
      <c r="DK113" s="272"/>
      <c r="DL113" s="272"/>
      <c r="DM113" s="272"/>
      <c r="DN113" s="272"/>
      <c r="DO113" s="272"/>
      <c r="DP113" s="272"/>
      <c r="DQ113" s="272"/>
      <c r="DR113" s="272"/>
      <c r="DS113" s="272"/>
      <c r="DT113" s="272"/>
      <c r="DU113" s="272"/>
      <c r="DV113" s="272"/>
      <c r="DW113" s="272"/>
      <c r="DX113" s="272"/>
      <c r="DY113" s="272"/>
      <c r="DZ113" s="272"/>
      <c r="EA113" s="272"/>
      <c r="EB113" s="272"/>
      <c r="EC113" s="272"/>
      <c r="ED113" s="272"/>
      <c r="EE113" s="272"/>
      <c r="EF113" s="272"/>
      <c r="EG113" s="272"/>
      <c r="EH113" s="272"/>
      <c r="EI113" s="272"/>
      <c r="EJ113" s="272"/>
      <c r="EK113" s="272"/>
      <c r="EL113" s="272"/>
      <c r="EM113" s="272"/>
      <c r="EN113" s="272"/>
      <c r="EO113" s="272"/>
      <c r="EP113" s="272"/>
      <c r="EQ113" s="272"/>
      <c r="ER113" s="272"/>
      <c r="ES113" s="272"/>
      <c r="ET113" s="272"/>
      <c r="EU113" s="272"/>
      <c r="EV113" s="272"/>
      <c r="EW113" s="272"/>
      <c r="EX113" s="272"/>
      <c r="EY113" s="272"/>
      <c r="EZ113" s="272"/>
      <c r="FA113" s="272"/>
      <c r="FB113" s="272"/>
      <c r="FC113" s="272"/>
      <c r="FD113" s="272"/>
      <c r="FE113" s="272"/>
      <c r="FF113" s="272"/>
      <c r="FG113" s="272"/>
      <c r="FH113" s="272"/>
      <c r="FI113" s="272"/>
      <c r="FJ113" s="272"/>
      <c r="FK113" s="272"/>
      <c r="FL113" s="272"/>
      <c r="FM113" s="272"/>
      <c r="FN113" s="272"/>
      <c r="FO113" s="272"/>
      <c r="FP113" s="272"/>
      <c r="FQ113" s="272"/>
      <c r="FR113" s="272"/>
      <c r="FS113" s="272"/>
      <c r="FT113" s="272"/>
      <c r="FU113" s="272"/>
      <c r="FV113" s="272"/>
      <c r="FW113" s="272"/>
      <c r="FX113" s="272"/>
      <c r="FY113" s="272"/>
      <c r="FZ113" s="272"/>
      <c r="GA113" s="272"/>
      <c r="GB113" s="272"/>
      <c r="GC113" s="272"/>
      <c r="GD113" s="272"/>
      <c r="GE113" s="272"/>
      <c r="GF113" s="272"/>
      <c r="GG113" s="272"/>
      <c r="GH113" s="272"/>
      <c r="GI113" s="272"/>
      <c r="GJ113" s="272"/>
      <c r="GK113" s="272"/>
      <c r="GL113" s="272"/>
      <c r="GM113" s="272"/>
      <c r="GN113" s="272"/>
      <c r="GO113" s="272"/>
      <c r="GP113" s="272"/>
      <c r="GQ113" s="272"/>
      <c r="GR113" s="272"/>
      <c r="GS113" s="272"/>
      <c r="GT113" s="272"/>
      <c r="GU113" s="272"/>
      <c r="GV113" s="272"/>
      <c r="GW113" s="272"/>
      <c r="GX113" s="272"/>
      <c r="GY113" s="272"/>
      <c r="GZ113" s="272"/>
      <c r="HA113" s="272"/>
      <c r="HB113" s="272"/>
      <c r="HC113" s="272"/>
      <c r="HD113" s="272"/>
      <c r="HE113" s="272"/>
      <c r="HF113" s="272"/>
      <c r="HG113" s="272"/>
      <c r="HH113" s="272"/>
      <c r="HI113" s="272"/>
      <c r="HJ113" s="272"/>
      <c r="HK113" s="272"/>
      <c r="HL113" s="272"/>
      <c r="HM113" s="272"/>
      <c r="HN113" s="272"/>
      <c r="HO113" s="272"/>
      <c r="HP113" s="272"/>
      <c r="HQ113" s="272"/>
      <c r="HR113" s="272"/>
      <c r="HS113" s="272"/>
      <c r="HT113" s="272"/>
      <c r="HU113" s="272"/>
      <c r="HV113" s="272"/>
      <c r="HW113" s="272"/>
      <c r="HX113" s="272"/>
      <c r="HY113" s="272"/>
      <c r="HZ113" s="272"/>
      <c r="IA113" s="272"/>
      <c r="IB113" s="272"/>
      <c r="IC113" s="272"/>
      <c r="ID113" s="272"/>
      <c r="IE113" s="272"/>
      <c r="IF113" s="272"/>
      <c r="IG113" s="272"/>
      <c r="IH113" s="272"/>
      <c r="II113" s="272"/>
      <c r="IJ113" s="272"/>
      <c r="IK113" s="272"/>
      <c r="IL113" s="272"/>
      <c r="IM113" s="272"/>
      <c r="IN113" s="272"/>
      <c r="IO113" s="272"/>
      <c r="IP113" s="272"/>
      <c r="IQ113" s="272"/>
      <c r="IR113" s="272"/>
      <c r="IS113" s="272"/>
      <c r="IT113" s="272"/>
      <c r="IU113" s="272"/>
      <c r="IV113" s="272"/>
      <c r="IW113" s="272"/>
      <c r="IX113" s="272"/>
      <c r="IY113" s="272"/>
      <c r="IZ113" s="272"/>
      <c r="JA113" s="272"/>
      <c r="JB113" s="272"/>
      <c r="JC113" s="272"/>
      <c r="JD113" s="272"/>
      <c r="JE113" s="272"/>
      <c r="JF113" s="272"/>
      <c r="JG113" s="272"/>
      <c r="JH113" s="272"/>
      <c r="JI113" s="272"/>
      <c r="JJ113" s="272"/>
      <c r="JK113" s="272"/>
      <c r="JL113" s="272"/>
      <c r="JM113" s="272"/>
      <c r="JN113" s="272"/>
      <c r="JO113" s="272"/>
      <c r="JP113" s="272"/>
      <c r="JQ113" s="272"/>
      <c r="JR113" s="272"/>
      <c r="JS113" s="272"/>
      <c r="JT113" s="272"/>
      <c r="JU113" s="272"/>
      <c r="JV113" s="272"/>
      <c r="JW113" s="272"/>
      <c r="JX113" s="272"/>
      <c r="JY113" s="272"/>
      <c r="JZ113" s="272"/>
      <c r="KA113" s="272"/>
      <c r="KB113" s="272"/>
      <c r="KC113" s="272"/>
      <c r="KD113" s="272"/>
      <c r="KE113" s="272"/>
      <c r="KF113" s="272"/>
      <c r="KG113" s="272"/>
      <c r="KH113" s="272"/>
      <c r="KI113" s="272"/>
      <c r="KJ113" s="272"/>
      <c r="KK113" s="272"/>
      <c r="KL113" s="272"/>
      <c r="KM113" s="272"/>
      <c r="KN113" s="272"/>
      <c r="KO113" s="272"/>
      <c r="KP113" s="272"/>
      <c r="KQ113" s="272"/>
      <c r="KR113" s="272"/>
      <c r="KS113" s="272"/>
      <c r="KT113" s="272"/>
      <c r="KU113" s="272"/>
      <c r="KV113" s="272"/>
      <c r="KW113" s="272"/>
      <c r="KX113" s="272"/>
      <c r="KY113" s="272"/>
      <c r="KZ113" s="272"/>
      <c r="LA113" s="272"/>
      <c r="LB113" s="272"/>
      <c r="LC113" s="272"/>
      <c r="LD113" s="272"/>
      <c r="LE113" s="272"/>
      <c r="LF113" s="272"/>
      <c r="LG113" s="272"/>
      <c r="LH113" s="272"/>
      <c r="LI113" s="272"/>
      <c r="LJ113" s="272"/>
      <c r="LK113" s="272"/>
      <c r="LL113" s="272"/>
      <c r="LM113" s="272"/>
      <c r="LN113" s="272"/>
      <c r="LO113" s="272"/>
      <c r="LP113" s="272"/>
      <c r="LQ113" s="272"/>
      <c r="LR113" s="272"/>
      <c r="LS113" s="272"/>
      <c r="LT113" s="272"/>
      <c r="LU113" s="272"/>
      <c r="LV113" s="272"/>
      <c r="LW113" s="272"/>
      <c r="LX113" s="272"/>
      <c r="LY113" s="272"/>
      <c r="LZ113" s="272"/>
      <c r="MA113" s="272"/>
      <c r="MB113" s="272"/>
      <c r="MC113" s="272"/>
      <c r="MD113" s="272"/>
      <c r="ME113" s="272"/>
      <c r="MF113" s="272"/>
      <c r="MG113" s="272"/>
      <c r="MH113" s="272"/>
      <c r="MI113" s="272"/>
      <c r="MJ113" s="272"/>
      <c r="MK113" s="272"/>
      <c r="ML113" s="272"/>
      <c r="MM113" s="272"/>
      <c r="MN113" s="272"/>
      <c r="MO113" s="272"/>
      <c r="MP113" s="272"/>
      <c r="MQ113" s="272"/>
      <c r="MR113" s="272"/>
      <c r="MS113" s="272"/>
      <c r="MT113" s="272"/>
      <c r="MU113" s="272"/>
      <c r="MV113" s="272"/>
      <c r="MW113" s="272"/>
      <c r="MX113" s="272"/>
      <c r="MY113" s="272"/>
      <c r="MZ113" s="272"/>
      <c r="NA113" s="272"/>
      <c r="NB113" s="272"/>
      <c r="NC113" s="272"/>
      <c r="ND113" s="272"/>
      <c r="NE113" s="272"/>
      <c r="NF113" s="272"/>
      <c r="NG113" s="272"/>
      <c r="NH113" s="272"/>
      <c r="NI113" s="272"/>
      <c r="NJ113" s="272"/>
      <c r="NK113" s="272"/>
      <c r="NL113" s="272"/>
      <c r="NM113" s="272"/>
      <c r="NN113" s="272"/>
      <c r="NO113" s="272"/>
      <c r="NP113" s="272"/>
      <c r="NQ113" s="272"/>
      <c r="NR113" s="272"/>
      <c r="NS113" s="272"/>
      <c r="NT113" s="272"/>
      <c r="NU113" s="272"/>
      <c r="NV113" s="272"/>
      <c r="NW113" s="272"/>
      <c r="NX113" s="272"/>
      <c r="NY113" s="272"/>
      <c r="NZ113" s="272"/>
      <c r="OA113" s="272"/>
      <c r="OB113" s="272"/>
      <c r="OC113" s="272"/>
      <c r="OD113" s="272"/>
      <c r="OE113" s="272"/>
      <c r="OF113" s="272"/>
      <c r="OG113" s="272"/>
      <c r="OH113" s="272"/>
      <c r="OI113" s="272"/>
      <c r="OJ113" s="272"/>
      <c r="OK113" s="272"/>
      <c r="OL113" s="272"/>
      <c r="OM113" s="272"/>
      <c r="ON113" s="272"/>
      <c r="OO113" s="272"/>
      <c r="OP113" s="272"/>
      <c r="OQ113" s="272"/>
      <c r="OR113" s="272"/>
      <c r="OS113" s="272"/>
      <c r="OT113" s="272"/>
      <c r="OU113" s="272"/>
      <c r="OV113" s="272"/>
      <c r="OW113" s="272"/>
      <c r="OX113" s="272"/>
      <c r="OY113" s="272"/>
      <c r="OZ113" s="272"/>
      <c r="PA113" s="272"/>
      <c r="PB113" s="272"/>
      <c r="PC113" s="272"/>
      <c r="PD113" s="272"/>
      <c r="PE113" s="272"/>
      <c r="PF113" s="272"/>
      <c r="PG113" s="272"/>
      <c r="PH113" s="272"/>
      <c r="PI113" s="272"/>
      <c r="PJ113" s="272"/>
      <c r="PK113" s="272"/>
      <c r="PL113" s="272"/>
      <c r="PM113" s="272"/>
      <c r="PN113" s="272"/>
      <c r="PO113" s="272"/>
      <c r="PP113" s="272"/>
      <c r="PQ113" s="272"/>
      <c r="PR113" s="272"/>
      <c r="PS113" s="272"/>
      <c r="PT113" s="272"/>
      <c r="PU113" s="272"/>
      <c r="PV113" s="272"/>
      <c r="PW113" s="272"/>
      <c r="PX113" s="272"/>
      <c r="PY113" s="272"/>
      <c r="PZ113" s="272"/>
      <c r="QA113" s="272"/>
      <c r="QB113" s="272"/>
      <c r="QC113" s="272"/>
      <c r="QD113" s="272"/>
      <c r="QE113" s="272"/>
      <c r="QF113" s="272"/>
      <c r="QG113" s="272"/>
      <c r="QH113" s="272"/>
      <c r="QI113" s="272"/>
      <c r="QJ113" s="272"/>
      <c r="QK113" s="272"/>
      <c r="QL113" s="272"/>
      <c r="QM113" s="272"/>
      <c r="QN113" s="272"/>
      <c r="QO113" s="272"/>
      <c r="QP113" s="272"/>
      <c r="QQ113" s="272"/>
      <c r="QR113" s="272"/>
      <c r="QS113" s="272"/>
      <c r="QT113" s="272"/>
      <c r="QU113" s="272"/>
      <c r="QV113" s="272"/>
      <c r="QW113" s="272"/>
      <c r="QX113" s="272"/>
      <c r="QY113" s="272"/>
      <c r="QZ113" s="272"/>
      <c r="RA113" s="272"/>
      <c r="RB113" s="272"/>
      <c r="RC113" s="272"/>
      <c r="RD113" s="272"/>
      <c r="RE113" s="272"/>
      <c r="RF113" s="272"/>
      <c r="RG113" s="272"/>
      <c r="RH113" s="272"/>
      <c r="RI113" s="272"/>
      <c r="RJ113" s="272"/>
      <c r="RK113" s="272"/>
      <c r="RL113" s="272"/>
      <c r="RM113" s="272"/>
      <c r="RN113" s="272"/>
      <c r="RO113" s="272"/>
      <c r="RP113" s="272"/>
      <c r="RQ113" s="272"/>
      <c r="RR113" s="272"/>
      <c r="RS113" s="272"/>
      <c r="RT113" s="272"/>
      <c r="RU113" s="272"/>
      <c r="RV113" s="272"/>
      <c r="RW113" s="272"/>
      <c r="RX113" s="272"/>
      <c r="RY113" s="272"/>
      <c r="RZ113" s="272"/>
      <c r="SA113" s="272"/>
      <c r="SB113" s="272"/>
      <c r="SC113" s="272"/>
      <c r="SD113" s="272"/>
      <c r="SE113" s="272"/>
      <c r="SF113" s="272"/>
      <c r="SG113" s="272"/>
      <c r="SH113" s="272"/>
      <c r="SI113" s="272"/>
      <c r="SJ113" s="272"/>
      <c r="SK113" s="272"/>
      <c r="SL113" s="272"/>
      <c r="SM113" s="272"/>
      <c r="SN113" s="272"/>
      <c r="SO113" s="272"/>
      <c r="SP113" s="272"/>
      <c r="SQ113" s="272"/>
      <c r="SR113" s="272"/>
      <c r="SS113" s="272"/>
      <c r="ST113" s="272"/>
      <c r="SU113" s="272"/>
      <c r="SV113" s="272"/>
      <c r="SW113" s="272"/>
      <c r="SX113" s="272"/>
      <c r="SY113" s="272"/>
      <c r="SZ113" s="272"/>
      <c r="TA113" s="272"/>
      <c r="TB113" s="272"/>
      <c r="TC113" s="272"/>
      <c r="TD113" s="272"/>
      <c r="TE113" s="272"/>
      <c r="TF113" s="272"/>
      <c r="TG113" s="272"/>
      <c r="TH113" s="272"/>
      <c r="TI113" s="272"/>
      <c r="TJ113" s="272"/>
      <c r="TK113" s="272"/>
      <c r="TL113" s="272"/>
      <c r="TM113" s="272"/>
      <c r="TN113" s="272"/>
      <c r="TO113" s="272"/>
      <c r="TP113" s="272"/>
      <c r="TQ113" s="272"/>
      <c r="TR113" s="272"/>
      <c r="TS113" s="272"/>
      <c r="TT113" s="272"/>
      <c r="TU113" s="272"/>
      <c r="TV113" s="272"/>
      <c r="TW113" s="272"/>
      <c r="TX113" s="272"/>
      <c r="TY113" s="272"/>
      <c r="TZ113" s="272"/>
      <c r="UA113" s="272"/>
      <c r="UB113" s="272"/>
      <c r="UC113" s="272"/>
      <c r="UD113" s="272"/>
      <c r="UE113" s="272"/>
      <c r="UF113" s="272"/>
      <c r="UG113" s="272"/>
      <c r="UH113" s="272"/>
      <c r="UI113" s="272"/>
      <c r="UJ113" s="272"/>
      <c r="UK113" s="272"/>
      <c r="UL113" s="272"/>
      <c r="UM113" s="272"/>
      <c r="UN113" s="272"/>
      <c r="UO113" s="272"/>
      <c r="UP113" s="272"/>
      <c r="UQ113" s="272"/>
      <c r="UR113" s="272"/>
      <c r="US113" s="272"/>
      <c r="UT113" s="272"/>
      <c r="UU113" s="272"/>
      <c r="UV113" s="272"/>
      <c r="UW113" s="272"/>
      <c r="UX113" s="272"/>
      <c r="UY113" s="272"/>
      <c r="UZ113" s="272"/>
      <c r="VA113" s="272"/>
      <c r="VB113" s="272"/>
      <c r="VC113" s="272"/>
      <c r="VD113" s="272"/>
      <c r="VE113" s="272"/>
      <c r="VF113" s="272"/>
      <c r="VG113" s="272"/>
      <c r="VH113" s="272"/>
      <c r="VI113" s="272"/>
      <c r="VJ113" s="272"/>
      <c r="VK113" s="272"/>
      <c r="VL113" s="272"/>
      <c r="VM113" s="272"/>
      <c r="VN113" s="272"/>
      <c r="VO113" s="272"/>
      <c r="VP113" s="272"/>
      <c r="VQ113" s="272"/>
      <c r="VR113" s="272"/>
      <c r="VS113" s="272"/>
      <c r="VT113" s="272"/>
      <c r="VU113" s="272"/>
      <c r="VV113" s="272"/>
      <c r="VW113" s="272"/>
      <c r="VX113" s="272"/>
      <c r="VY113" s="272"/>
      <c r="VZ113" s="272"/>
      <c r="WA113" s="272"/>
      <c r="WB113" s="272"/>
      <c r="WC113" s="272"/>
      <c r="WD113" s="272"/>
      <c r="WE113" s="272"/>
      <c r="WF113" s="272"/>
      <c r="WG113" s="272"/>
      <c r="WH113" s="272"/>
      <c r="WI113" s="272"/>
      <c r="WJ113" s="272"/>
      <c r="WK113" s="272"/>
      <c r="WL113" s="272"/>
      <c r="WM113" s="272"/>
      <c r="WN113" s="272"/>
      <c r="WO113" s="272"/>
      <c r="WP113" s="272"/>
      <c r="WQ113" s="272"/>
      <c r="WR113" s="272"/>
      <c r="WS113" s="272"/>
      <c r="WT113" s="272"/>
      <c r="WU113" s="272"/>
      <c r="WV113" s="272"/>
      <c r="WW113" s="272"/>
      <c r="WX113" s="272"/>
      <c r="WY113" s="272"/>
      <c r="WZ113" s="272"/>
      <c r="XA113" s="272"/>
      <c r="XB113" s="272"/>
      <c r="XC113" s="272"/>
      <c r="XD113" s="272"/>
      <c r="XE113" s="272"/>
      <c r="XF113" s="272"/>
      <c r="XG113" s="272"/>
      <c r="XH113" s="272"/>
      <c r="XI113" s="272"/>
      <c r="XJ113" s="272"/>
      <c r="XK113" s="272"/>
      <c r="XL113" s="272"/>
      <c r="XM113" s="272"/>
      <c r="XN113" s="272"/>
      <c r="XO113" s="272"/>
      <c r="XP113" s="272"/>
      <c r="XQ113" s="272"/>
      <c r="XR113" s="272"/>
      <c r="XS113" s="272"/>
      <c r="XT113" s="272"/>
      <c r="XU113" s="272"/>
      <c r="XV113" s="272"/>
      <c r="XW113" s="272"/>
      <c r="XX113" s="272"/>
      <c r="XY113" s="272"/>
      <c r="XZ113" s="272"/>
      <c r="YA113" s="272"/>
      <c r="YB113" s="272"/>
      <c r="YC113" s="272"/>
      <c r="YD113" s="272"/>
      <c r="YE113" s="272"/>
      <c r="YF113" s="272"/>
      <c r="YG113" s="272"/>
      <c r="YH113" s="272"/>
      <c r="YI113" s="272"/>
      <c r="YJ113" s="272"/>
      <c r="YK113" s="272"/>
      <c r="YL113" s="272"/>
      <c r="YM113" s="272"/>
      <c r="YN113" s="272"/>
      <c r="YO113" s="272"/>
      <c r="YP113" s="272"/>
      <c r="YQ113" s="272"/>
      <c r="YR113" s="272"/>
      <c r="YS113" s="272"/>
      <c r="YT113" s="272"/>
      <c r="YU113" s="272"/>
      <c r="YV113" s="272"/>
      <c r="YW113" s="272"/>
      <c r="YX113" s="272"/>
      <c r="YY113" s="272"/>
      <c r="YZ113" s="272"/>
      <c r="ZA113" s="272"/>
      <c r="ZB113" s="272"/>
      <c r="ZC113" s="272"/>
      <c r="ZD113" s="272"/>
      <c r="ZE113" s="272"/>
      <c r="ZF113" s="272"/>
      <c r="ZG113" s="272"/>
      <c r="ZH113" s="272"/>
      <c r="ZI113" s="272"/>
      <c r="ZJ113" s="272"/>
      <c r="ZK113" s="272"/>
      <c r="ZL113" s="272"/>
      <c r="ZM113" s="272"/>
      <c r="ZN113" s="272"/>
      <c r="ZO113" s="272"/>
      <c r="ZP113" s="272"/>
      <c r="ZQ113" s="272"/>
      <c r="ZR113" s="272"/>
      <c r="ZS113" s="272"/>
      <c r="ZT113" s="272"/>
    </row>
    <row r="114" spans="1:696" s="19" customFormat="1" ht="15">
      <c r="A114" s="78"/>
      <c r="B114" s="79"/>
      <c r="C114" s="20" t="s">
        <v>53</v>
      </c>
      <c r="D114" s="521"/>
      <c r="E114" s="544"/>
      <c r="F114" s="545"/>
      <c r="G114" s="546"/>
      <c r="H114" s="546"/>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2"/>
      <c r="AY114" s="272"/>
      <c r="AZ114" s="272"/>
      <c r="BA114" s="272"/>
      <c r="BB114" s="272"/>
      <c r="BC114" s="272"/>
      <c r="BD114" s="272"/>
      <c r="BE114" s="272"/>
      <c r="BF114" s="272"/>
      <c r="BG114" s="272"/>
      <c r="BH114" s="272"/>
      <c r="BI114" s="272"/>
      <c r="BJ114" s="272"/>
      <c r="BK114" s="272"/>
      <c r="BL114" s="272"/>
      <c r="BM114" s="272"/>
      <c r="BN114" s="272"/>
      <c r="BO114" s="272"/>
      <c r="BP114" s="272"/>
      <c r="BQ114" s="272"/>
      <c r="BR114" s="272"/>
      <c r="BS114" s="272"/>
      <c r="BT114" s="272"/>
      <c r="BU114" s="272"/>
      <c r="BV114" s="272"/>
      <c r="BW114" s="272"/>
      <c r="BX114" s="272"/>
      <c r="BY114" s="272"/>
      <c r="BZ114" s="272"/>
      <c r="CA114" s="272"/>
      <c r="CB114" s="272"/>
      <c r="CC114" s="272"/>
      <c r="CD114" s="272"/>
      <c r="CE114" s="272"/>
      <c r="CF114" s="272"/>
      <c r="CG114" s="272"/>
      <c r="CH114" s="272"/>
      <c r="CI114" s="272"/>
      <c r="CJ114" s="272"/>
      <c r="CK114" s="272"/>
      <c r="CL114" s="272"/>
      <c r="CM114" s="272"/>
      <c r="CN114" s="272"/>
      <c r="CO114" s="272"/>
      <c r="CP114" s="272"/>
      <c r="CQ114" s="272"/>
      <c r="CR114" s="272"/>
      <c r="CS114" s="272"/>
      <c r="CT114" s="272"/>
      <c r="CU114" s="272"/>
      <c r="CV114" s="272"/>
      <c r="CW114" s="272"/>
      <c r="CX114" s="272"/>
      <c r="CY114" s="272"/>
      <c r="CZ114" s="272"/>
      <c r="DA114" s="272"/>
      <c r="DB114" s="272"/>
      <c r="DC114" s="272"/>
      <c r="DD114" s="272"/>
      <c r="DE114" s="272"/>
      <c r="DF114" s="272"/>
      <c r="DG114" s="272"/>
      <c r="DH114" s="272"/>
      <c r="DI114" s="272"/>
      <c r="DJ114" s="272"/>
      <c r="DK114" s="272"/>
      <c r="DL114" s="272"/>
      <c r="DM114" s="272"/>
      <c r="DN114" s="272"/>
      <c r="DO114" s="272"/>
      <c r="DP114" s="272"/>
      <c r="DQ114" s="272"/>
      <c r="DR114" s="272"/>
      <c r="DS114" s="272"/>
      <c r="DT114" s="272"/>
      <c r="DU114" s="272"/>
      <c r="DV114" s="272"/>
      <c r="DW114" s="272"/>
      <c r="DX114" s="272"/>
      <c r="DY114" s="272"/>
      <c r="DZ114" s="272"/>
      <c r="EA114" s="272"/>
      <c r="EB114" s="272"/>
      <c r="EC114" s="272"/>
      <c r="ED114" s="272"/>
      <c r="EE114" s="272"/>
      <c r="EF114" s="272"/>
      <c r="EG114" s="272"/>
      <c r="EH114" s="272"/>
      <c r="EI114" s="272"/>
      <c r="EJ114" s="272"/>
      <c r="EK114" s="272"/>
      <c r="EL114" s="272"/>
      <c r="EM114" s="272"/>
      <c r="EN114" s="272"/>
      <c r="EO114" s="272"/>
      <c r="EP114" s="272"/>
      <c r="EQ114" s="272"/>
      <c r="ER114" s="272"/>
      <c r="ES114" s="272"/>
      <c r="ET114" s="272"/>
      <c r="EU114" s="272"/>
      <c r="EV114" s="272"/>
      <c r="EW114" s="272"/>
      <c r="EX114" s="272"/>
      <c r="EY114" s="272"/>
      <c r="EZ114" s="272"/>
      <c r="FA114" s="272"/>
      <c r="FB114" s="272"/>
      <c r="FC114" s="272"/>
      <c r="FD114" s="272"/>
      <c r="FE114" s="272"/>
      <c r="FF114" s="272"/>
      <c r="FG114" s="272"/>
      <c r="FH114" s="272"/>
      <c r="FI114" s="272"/>
      <c r="FJ114" s="272"/>
      <c r="FK114" s="272"/>
      <c r="FL114" s="272"/>
      <c r="FM114" s="272"/>
      <c r="FN114" s="272"/>
      <c r="FO114" s="272"/>
      <c r="FP114" s="272"/>
      <c r="FQ114" s="272"/>
      <c r="FR114" s="272"/>
      <c r="FS114" s="272"/>
      <c r="FT114" s="272"/>
      <c r="FU114" s="272"/>
      <c r="FV114" s="272"/>
      <c r="FW114" s="272"/>
      <c r="FX114" s="272"/>
      <c r="FY114" s="272"/>
      <c r="FZ114" s="272"/>
      <c r="GA114" s="272"/>
      <c r="GB114" s="272"/>
      <c r="GC114" s="272"/>
      <c r="GD114" s="272"/>
      <c r="GE114" s="272"/>
      <c r="GF114" s="272"/>
      <c r="GG114" s="272"/>
      <c r="GH114" s="272"/>
      <c r="GI114" s="272"/>
      <c r="GJ114" s="272"/>
      <c r="GK114" s="272"/>
      <c r="GL114" s="272"/>
      <c r="GM114" s="272"/>
      <c r="GN114" s="272"/>
      <c r="GO114" s="272"/>
      <c r="GP114" s="272"/>
      <c r="GQ114" s="272"/>
      <c r="GR114" s="272"/>
      <c r="GS114" s="272"/>
      <c r="GT114" s="272"/>
      <c r="GU114" s="272"/>
      <c r="GV114" s="272"/>
      <c r="GW114" s="272"/>
      <c r="GX114" s="272"/>
      <c r="GY114" s="272"/>
      <c r="GZ114" s="272"/>
      <c r="HA114" s="272"/>
      <c r="HB114" s="272"/>
      <c r="HC114" s="272"/>
      <c r="HD114" s="272"/>
      <c r="HE114" s="272"/>
      <c r="HF114" s="272"/>
      <c r="HG114" s="272"/>
      <c r="HH114" s="272"/>
      <c r="HI114" s="272"/>
      <c r="HJ114" s="272"/>
      <c r="HK114" s="272"/>
      <c r="HL114" s="272"/>
      <c r="HM114" s="272"/>
      <c r="HN114" s="272"/>
      <c r="HO114" s="272"/>
      <c r="HP114" s="272"/>
      <c r="HQ114" s="272"/>
      <c r="HR114" s="272"/>
      <c r="HS114" s="272"/>
      <c r="HT114" s="272"/>
      <c r="HU114" s="272"/>
      <c r="HV114" s="272"/>
      <c r="HW114" s="272"/>
      <c r="HX114" s="272"/>
      <c r="HY114" s="272"/>
      <c r="HZ114" s="272"/>
      <c r="IA114" s="272"/>
      <c r="IB114" s="272"/>
      <c r="IC114" s="272"/>
      <c r="ID114" s="272"/>
      <c r="IE114" s="272"/>
      <c r="IF114" s="272"/>
      <c r="IG114" s="272"/>
      <c r="IH114" s="272"/>
      <c r="II114" s="272"/>
      <c r="IJ114" s="272"/>
      <c r="IK114" s="272"/>
      <c r="IL114" s="272"/>
      <c r="IM114" s="272"/>
      <c r="IN114" s="272"/>
      <c r="IO114" s="272"/>
      <c r="IP114" s="272"/>
      <c r="IQ114" s="272"/>
      <c r="IR114" s="272"/>
      <c r="IS114" s="272"/>
      <c r="IT114" s="272"/>
      <c r="IU114" s="272"/>
      <c r="IV114" s="272"/>
      <c r="IW114" s="272"/>
      <c r="IX114" s="272"/>
      <c r="IY114" s="272"/>
      <c r="IZ114" s="272"/>
      <c r="JA114" s="272"/>
      <c r="JB114" s="272"/>
      <c r="JC114" s="272"/>
      <c r="JD114" s="272"/>
      <c r="JE114" s="272"/>
      <c r="JF114" s="272"/>
      <c r="JG114" s="272"/>
      <c r="JH114" s="272"/>
      <c r="JI114" s="272"/>
      <c r="JJ114" s="272"/>
      <c r="JK114" s="272"/>
      <c r="JL114" s="272"/>
      <c r="JM114" s="272"/>
      <c r="JN114" s="272"/>
      <c r="JO114" s="272"/>
      <c r="JP114" s="272"/>
      <c r="JQ114" s="272"/>
      <c r="JR114" s="272"/>
      <c r="JS114" s="272"/>
      <c r="JT114" s="272"/>
      <c r="JU114" s="272"/>
      <c r="JV114" s="272"/>
      <c r="JW114" s="272"/>
      <c r="JX114" s="272"/>
      <c r="JY114" s="272"/>
      <c r="JZ114" s="272"/>
      <c r="KA114" s="272"/>
      <c r="KB114" s="272"/>
      <c r="KC114" s="272"/>
      <c r="KD114" s="272"/>
      <c r="KE114" s="272"/>
      <c r="KF114" s="272"/>
      <c r="KG114" s="272"/>
      <c r="KH114" s="272"/>
      <c r="KI114" s="272"/>
      <c r="KJ114" s="272"/>
      <c r="KK114" s="272"/>
      <c r="KL114" s="272"/>
      <c r="KM114" s="272"/>
      <c r="KN114" s="272"/>
      <c r="KO114" s="272"/>
      <c r="KP114" s="272"/>
      <c r="KQ114" s="272"/>
      <c r="KR114" s="272"/>
      <c r="KS114" s="272"/>
      <c r="KT114" s="272"/>
      <c r="KU114" s="272"/>
      <c r="KV114" s="272"/>
      <c r="KW114" s="272"/>
      <c r="KX114" s="272"/>
      <c r="KY114" s="272"/>
      <c r="KZ114" s="272"/>
      <c r="LA114" s="272"/>
      <c r="LB114" s="272"/>
      <c r="LC114" s="272"/>
      <c r="LD114" s="272"/>
      <c r="LE114" s="272"/>
      <c r="LF114" s="272"/>
      <c r="LG114" s="272"/>
      <c r="LH114" s="272"/>
      <c r="LI114" s="272"/>
      <c r="LJ114" s="272"/>
      <c r="LK114" s="272"/>
      <c r="LL114" s="272"/>
      <c r="LM114" s="272"/>
      <c r="LN114" s="272"/>
      <c r="LO114" s="272"/>
      <c r="LP114" s="272"/>
      <c r="LQ114" s="272"/>
      <c r="LR114" s="272"/>
      <c r="LS114" s="272"/>
      <c r="LT114" s="272"/>
      <c r="LU114" s="272"/>
      <c r="LV114" s="272"/>
      <c r="LW114" s="272"/>
      <c r="LX114" s="272"/>
      <c r="LY114" s="272"/>
      <c r="LZ114" s="272"/>
      <c r="MA114" s="272"/>
      <c r="MB114" s="272"/>
      <c r="MC114" s="272"/>
      <c r="MD114" s="272"/>
      <c r="ME114" s="272"/>
      <c r="MF114" s="272"/>
      <c r="MG114" s="272"/>
      <c r="MH114" s="272"/>
      <c r="MI114" s="272"/>
      <c r="MJ114" s="272"/>
      <c r="MK114" s="272"/>
      <c r="ML114" s="272"/>
      <c r="MM114" s="272"/>
      <c r="MN114" s="272"/>
      <c r="MO114" s="272"/>
      <c r="MP114" s="272"/>
      <c r="MQ114" s="272"/>
      <c r="MR114" s="272"/>
      <c r="MS114" s="272"/>
      <c r="MT114" s="272"/>
      <c r="MU114" s="272"/>
      <c r="MV114" s="272"/>
      <c r="MW114" s="272"/>
      <c r="MX114" s="272"/>
      <c r="MY114" s="272"/>
      <c r="MZ114" s="272"/>
      <c r="NA114" s="272"/>
      <c r="NB114" s="272"/>
      <c r="NC114" s="272"/>
      <c r="ND114" s="272"/>
      <c r="NE114" s="272"/>
      <c r="NF114" s="272"/>
      <c r="NG114" s="272"/>
      <c r="NH114" s="272"/>
      <c r="NI114" s="272"/>
      <c r="NJ114" s="272"/>
      <c r="NK114" s="272"/>
      <c r="NL114" s="272"/>
      <c r="NM114" s="272"/>
      <c r="NN114" s="272"/>
      <c r="NO114" s="272"/>
      <c r="NP114" s="272"/>
      <c r="NQ114" s="272"/>
      <c r="NR114" s="272"/>
      <c r="NS114" s="272"/>
      <c r="NT114" s="272"/>
      <c r="NU114" s="272"/>
      <c r="NV114" s="272"/>
      <c r="NW114" s="272"/>
      <c r="NX114" s="272"/>
      <c r="NY114" s="272"/>
      <c r="NZ114" s="272"/>
      <c r="OA114" s="272"/>
      <c r="OB114" s="272"/>
      <c r="OC114" s="272"/>
      <c r="OD114" s="272"/>
      <c r="OE114" s="272"/>
      <c r="OF114" s="272"/>
      <c r="OG114" s="272"/>
      <c r="OH114" s="272"/>
      <c r="OI114" s="272"/>
      <c r="OJ114" s="272"/>
      <c r="OK114" s="272"/>
      <c r="OL114" s="272"/>
      <c r="OM114" s="272"/>
      <c r="ON114" s="272"/>
      <c r="OO114" s="272"/>
      <c r="OP114" s="272"/>
      <c r="OQ114" s="272"/>
      <c r="OR114" s="272"/>
      <c r="OS114" s="272"/>
      <c r="OT114" s="272"/>
      <c r="OU114" s="272"/>
      <c r="OV114" s="272"/>
      <c r="OW114" s="272"/>
      <c r="OX114" s="272"/>
      <c r="OY114" s="272"/>
      <c r="OZ114" s="272"/>
      <c r="PA114" s="272"/>
      <c r="PB114" s="272"/>
      <c r="PC114" s="272"/>
      <c r="PD114" s="272"/>
      <c r="PE114" s="272"/>
      <c r="PF114" s="272"/>
      <c r="PG114" s="272"/>
      <c r="PH114" s="272"/>
      <c r="PI114" s="272"/>
      <c r="PJ114" s="272"/>
      <c r="PK114" s="272"/>
      <c r="PL114" s="272"/>
      <c r="PM114" s="272"/>
      <c r="PN114" s="272"/>
      <c r="PO114" s="272"/>
      <c r="PP114" s="272"/>
      <c r="PQ114" s="272"/>
      <c r="PR114" s="272"/>
      <c r="PS114" s="272"/>
      <c r="PT114" s="272"/>
      <c r="PU114" s="272"/>
      <c r="PV114" s="272"/>
      <c r="PW114" s="272"/>
      <c r="PX114" s="272"/>
      <c r="PY114" s="272"/>
      <c r="PZ114" s="272"/>
      <c r="QA114" s="272"/>
      <c r="QB114" s="272"/>
      <c r="QC114" s="272"/>
      <c r="QD114" s="272"/>
      <c r="QE114" s="272"/>
      <c r="QF114" s="272"/>
      <c r="QG114" s="272"/>
      <c r="QH114" s="272"/>
      <c r="QI114" s="272"/>
      <c r="QJ114" s="272"/>
      <c r="QK114" s="272"/>
      <c r="QL114" s="272"/>
      <c r="QM114" s="272"/>
      <c r="QN114" s="272"/>
      <c r="QO114" s="272"/>
      <c r="QP114" s="272"/>
      <c r="QQ114" s="272"/>
      <c r="QR114" s="272"/>
      <c r="QS114" s="272"/>
      <c r="QT114" s="272"/>
      <c r="QU114" s="272"/>
      <c r="QV114" s="272"/>
      <c r="QW114" s="272"/>
      <c r="QX114" s="272"/>
      <c r="QY114" s="272"/>
      <c r="QZ114" s="272"/>
      <c r="RA114" s="272"/>
      <c r="RB114" s="272"/>
      <c r="RC114" s="272"/>
      <c r="RD114" s="272"/>
      <c r="RE114" s="272"/>
      <c r="RF114" s="272"/>
      <c r="RG114" s="272"/>
      <c r="RH114" s="272"/>
      <c r="RI114" s="272"/>
      <c r="RJ114" s="272"/>
      <c r="RK114" s="272"/>
      <c r="RL114" s="272"/>
      <c r="RM114" s="272"/>
      <c r="RN114" s="272"/>
      <c r="RO114" s="272"/>
      <c r="RP114" s="272"/>
      <c r="RQ114" s="272"/>
      <c r="RR114" s="272"/>
      <c r="RS114" s="272"/>
      <c r="RT114" s="272"/>
      <c r="RU114" s="272"/>
      <c r="RV114" s="272"/>
      <c r="RW114" s="272"/>
      <c r="RX114" s="272"/>
      <c r="RY114" s="272"/>
      <c r="RZ114" s="272"/>
      <c r="SA114" s="272"/>
      <c r="SB114" s="272"/>
      <c r="SC114" s="272"/>
      <c r="SD114" s="272"/>
      <c r="SE114" s="272"/>
      <c r="SF114" s="272"/>
      <c r="SG114" s="272"/>
      <c r="SH114" s="272"/>
      <c r="SI114" s="272"/>
      <c r="SJ114" s="272"/>
      <c r="SK114" s="272"/>
      <c r="SL114" s="272"/>
      <c r="SM114" s="272"/>
      <c r="SN114" s="272"/>
      <c r="SO114" s="272"/>
      <c r="SP114" s="272"/>
      <c r="SQ114" s="272"/>
      <c r="SR114" s="272"/>
      <c r="SS114" s="272"/>
      <c r="ST114" s="272"/>
      <c r="SU114" s="272"/>
      <c r="SV114" s="272"/>
      <c r="SW114" s="272"/>
      <c r="SX114" s="272"/>
      <c r="SY114" s="272"/>
      <c r="SZ114" s="272"/>
      <c r="TA114" s="272"/>
      <c r="TB114" s="272"/>
      <c r="TC114" s="272"/>
      <c r="TD114" s="272"/>
      <c r="TE114" s="272"/>
      <c r="TF114" s="272"/>
      <c r="TG114" s="272"/>
      <c r="TH114" s="272"/>
      <c r="TI114" s="272"/>
      <c r="TJ114" s="272"/>
      <c r="TK114" s="272"/>
      <c r="TL114" s="272"/>
      <c r="TM114" s="272"/>
      <c r="TN114" s="272"/>
      <c r="TO114" s="272"/>
      <c r="TP114" s="272"/>
      <c r="TQ114" s="272"/>
      <c r="TR114" s="272"/>
      <c r="TS114" s="272"/>
      <c r="TT114" s="272"/>
      <c r="TU114" s="272"/>
      <c r="TV114" s="272"/>
      <c r="TW114" s="272"/>
      <c r="TX114" s="272"/>
      <c r="TY114" s="272"/>
      <c r="TZ114" s="272"/>
      <c r="UA114" s="272"/>
      <c r="UB114" s="272"/>
      <c r="UC114" s="272"/>
      <c r="UD114" s="272"/>
      <c r="UE114" s="272"/>
      <c r="UF114" s="272"/>
      <c r="UG114" s="272"/>
      <c r="UH114" s="272"/>
      <c r="UI114" s="272"/>
      <c r="UJ114" s="272"/>
      <c r="UK114" s="272"/>
      <c r="UL114" s="272"/>
      <c r="UM114" s="272"/>
      <c r="UN114" s="272"/>
      <c r="UO114" s="272"/>
      <c r="UP114" s="272"/>
      <c r="UQ114" s="272"/>
      <c r="UR114" s="272"/>
      <c r="US114" s="272"/>
      <c r="UT114" s="272"/>
      <c r="UU114" s="272"/>
      <c r="UV114" s="272"/>
      <c r="UW114" s="272"/>
      <c r="UX114" s="272"/>
      <c r="UY114" s="272"/>
      <c r="UZ114" s="272"/>
      <c r="VA114" s="272"/>
      <c r="VB114" s="272"/>
      <c r="VC114" s="272"/>
      <c r="VD114" s="272"/>
      <c r="VE114" s="272"/>
      <c r="VF114" s="272"/>
      <c r="VG114" s="272"/>
      <c r="VH114" s="272"/>
      <c r="VI114" s="272"/>
      <c r="VJ114" s="272"/>
      <c r="VK114" s="272"/>
      <c r="VL114" s="272"/>
      <c r="VM114" s="272"/>
      <c r="VN114" s="272"/>
      <c r="VO114" s="272"/>
      <c r="VP114" s="272"/>
      <c r="VQ114" s="272"/>
      <c r="VR114" s="272"/>
      <c r="VS114" s="272"/>
      <c r="VT114" s="272"/>
      <c r="VU114" s="272"/>
      <c r="VV114" s="272"/>
      <c r="VW114" s="272"/>
      <c r="VX114" s="272"/>
      <c r="VY114" s="272"/>
      <c r="VZ114" s="272"/>
      <c r="WA114" s="272"/>
      <c r="WB114" s="272"/>
      <c r="WC114" s="272"/>
      <c r="WD114" s="272"/>
      <c r="WE114" s="272"/>
      <c r="WF114" s="272"/>
      <c r="WG114" s="272"/>
      <c r="WH114" s="272"/>
      <c r="WI114" s="272"/>
      <c r="WJ114" s="272"/>
      <c r="WK114" s="272"/>
      <c r="WL114" s="272"/>
      <c r="WM114" s="272"/>
      <c r="WN114" s="272"/>
      <c r="WO114" s="272"/>
      <c r="WP114" s="272"/>
      <c r="WQ114" s="272"/>
      <c r="WR114" s="272"/>
      <c r="WS114" s="272"/>
      <c r="WT114" s="272"/>
      <c r="WU114" s="272"/>
      <c r="WV114" s="272"/>
      <c r="WW114" s="272"/>
      <c r="WX114" s="272"/>
      <c r="WY114" s="272"/>
      <c r="WZ114" s="272"/>
      <c r="XA114" s="272"/>
      <c r="XB114" s="272"/>
      <c r="XC114" s="272"/>
      <c r="XD114" s="272"/>
      <c r="XE114" s="272"/>
      <c r="XF114" s="272"/>
      <c r="XG114" s="272"/>
      <c r="XH114" s="272"/>
      <c r="XI114" s="272"/>
      <c r="XJ114" s="272"/>
      <c r="XK114" s="272"/>
      <c r="XL114" s="272"/>
      <c r="XM114" s="272"/>
      <c r="XN114" s="272"/>
      <c r="XO114" s="272"/>
      <c r="XP114" s="272"/>
      <c r="XQ114" s="272"/>
      <c r="XR114" s="272"/>
      <c r="XS114" s="272"/>
      <c r="XT114" s="272"/>
      <c r="XU114" s="272"/>
      <c r="XV114" s="272"/>
      <c r="XW114" s="272"/>
      <c r="XX114" s="272"/>
      <c r="XY114" s="272"/>
      <c r="XZ114" s="272"/>
      <c r="YA114" s="272"/>
      <c r="YB114" s="272"/>
      <c r="YC114" s="272"/>
      <c r="YD114" s="272"/>
      <c r="YE114" s="272"/>
      <c r="YF114" s="272"/>
      <c r="YG114" s="272"/>
      <c r="YH114" s="272"/>
      <c r="YI114" s="272"/>
      <c r="YJ114" s="272"/>
      <c r="YK114" s="272"/>
      <c r="YL114" s="272"/>
      <c r="YM114" s="272"/>
      <c r="YN114" s="272"/>
      <c r="YO114" s="272"/>
      <c r="YP114" s="272"/>
      <c r="YQ114" s="272"/>
      <c r="YR114" s="272"/>
      <c r="YS114" s="272"/>
      <c r="YT114" s="272"/>
      <c r="YU114" s="272"/>
      <c r="YV114" s="272"/>
      <c r="YW114" s="272"/>
      <c r="YX114" s="272"/>
      <c r="YY114" s="272"/>
      <c r="YZ114" s="272"/>
      <c r="ZA114" s="272"/>
      <c r="ZB114" s="272"/>
      <c r="ZC114" s="272"/>
      <c r="ZD114" s="272"/>
      <c r="ZE114" s="272"/>
      <c r="ZF114" s="272"/>
      <c r="ZG114" s="272"/>
      <c r="ZH114" s="272"/>
      <c r="ZI114" s="272"/>
      <c r="ZJ114" s="272"/>
      <c r="ZK114" s="272"/>
      <c r="ZL114" s="272"/>
      <c r="ZM114" s="272"/>
      <c r="ZN114" s="272"/>
      <c r="ZO114" s="272"/>
      <c r="ZP114" s="272"/>
      <c r="ZQ114" s="272"/>
      <c r="ZR114" s="272"/>
      <c r="ZS114" s="272"/>
      <c r="ZT114" s="272"/>
    </row>
    <row r="115" spans="1:696" s="62" customFormat="1" ht="13.5" thickBot="1">
      <c r="A115" s="80"/>
      <c r="B115" s="81"/>
      <c r="C115" s="32" t="s">
        <v>54</v>
      </c>
      <c r="D115" s="524"/>
      <c r="E115" s="547"/>
      <c r="F115" s="548"/>
      <c r="G115" s="549"/>
      <c r="H115" s="549"/>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72"/>
      <c r="BR115" s="272"/>
      <c r="BS115" s="272"/>
      <c r="BT115" s="272"/>
      <c r="BU115" s="272"/>
      <c r="BV115" s="272"/>
      <c r="BW115" s="272"/>
      <c r="BX115" s="272"/>
      <c r="BY115" s="272"/>
      <c r="BZ115" s="272"/>
      <c r="CA115" s="272"/>
      <c r="CB115" s="272"/>
      <c r="CC115" s="272"/>
      <c r="CD115" s="272"/>
      <c r="CE115" s="272"/>
      <c r="CF115" s="272"/>
      <c r="CG115" s="272"/>
      <c r="CH115" s="272"/>
      <c r="CI115" s="272"/>
      <c r="CJ115" s="272"/>
      <c r="CK115" s="272"/>
      <c r="CL115" s="272"/>
      <c r="CM115" s="272"/>
      <c r="CN115" s="272"/>
      <c r="CO115" s="272"/>
      <c r="CP115" s="272"/>
      <c r="CQ115" s="272"/>
      <c r="CR115" s="272"/>
      <c r="CS115" s="272"/>
      <c r="CT115" s="272"/>
      <c r="CU115" s="272"/>
      <c r="CV115" s="272"/>
      <c r="CW115" s="272"/>
      <c r="CX115" s="272"/>
      <c r="CY115" s="272"/>
      <c r="CZ115" s="272"/>
      <c r="DA115" s="272"/>
      <c r="DB115" s="272"/>
      <c r="DC115" s="272"/>
      <c r="DD115" s="272"/>
      <c r="DE115" s="272"/>
      <c r="DF115" s="272"/>
      <c r="DG115" s="272"/>
      <c r="DH115" s="272"/>
      <c r="DI115" s="272"/>
      <c r="DJ115" s="272"/>
      <c r="DK115" s="272"/>
      <c r="DL115" s="272"/>
      <c r="DM115" s="272"/>
      <c r="DN115" s="272"/>
      <c r="DO115" s="272"/>
      <c r="DP115" s="272"/>
      <c r="DQ115" s="272"/>
      <c r="DR115" s="272"/>
      <c r="DS115" s="272"/>
      <c r="DT115" s="272"/>
      <c r="DU115" s="272"/>
      <c r="DV115" s="272"/>
      <c r="DW115" s="272"/>
      <c r="DX115" s="272"/>
      <c r="DY115" s="272"/>
      <c r="DZ115" s="272"/>
      <c r="EA115" s="272"/>
      <c r="EB115" s="272"/>
      <c r="EC115" s="272"/>
      <c r="ED115" s="272"/>
      <c r="EE115" s="272"/>
      <c r="EF115" s="272"/>
      <c r="EG115" s="272"/>
      <c r="EH115" s="272"/>
      <c r="EI115" s="272"/>
      <c r="EJ115" s="272"/>
      <c r="EK115" s="272"/>
      <c r="EL115" s="272"/>
      <c r="EM115" s="272"/>
      <c r="EN115" s="272"/>
      <c r="EO115" s="272"/>
      <c r="EP115" s="272"/>
      <c r="EQ115" s="272"/>
      <c r="ER115" s="272"/>
      <c r="ES115" s="272"/>
      <c r="ET115" s="272"/>
      <c r="EU115" s="272"/>
      <c r="EV115" s="272"/>
      <c r="EW115" s="272"/>
      <c r="EX115" s="272"/>
      <c r="EY115" s="272"/>
      <c r="EZ115" s="272"/>
      <c r="FA115" s="272"/>
      <c r="FB115" s="272"/>
      <c r="FC115" s="272"/>
      <c r="FD115" s="272"/>
      <c r="FE115" s="272"/>
      <c r="FF115" s="272"/>
      <c r="FG115" s="272"/>
      <c r="FH115" s="272"/>
      <c r="FI115" s="272"/>
      <c r="FJ115" s="272"/>
      <c r="FK115" s="272"/>
      <c r="FL115" s="272"/>
      <c r="FM115" s="272"/>
      <c r="FN115" s="272"/>
      <c r="FO115" s="272"/>
      <c r="FP115" s="272"/>
      <c r="FQ115" s="272"/>
      <c r="FR115" s="272"/>
      <c r="FS115" s="272"/>
      <c r="FT115" s="272"/>
      <c r="FU115" s="272"/>
      <c r="FV115" s="272"/>
      <c r="FW115" s="272"/>
      <c r="FX115" s="272"/>
      <c r="FY115" s="272"/>
      <c r="FZ115" s="272"/>
      <c r="GA115" s="272"/>
      <c r="GB115" s="272"/>
      <c r="GC115" s="272"/>
      <c r="GD115" s="272"/>
      <c r="GE115" s="272"/>
      <c r="GF115" s="272"/>
      <c r="GG115" s="272"/>
      <c r="GH115" s="272"/>
      <c r="GI115" s="272"/>
      <c r="GJ115" s="272"/>
      <c r="GK115" s="272"/>
      <c r="GL115" s="272"/>
      <c r="GM115" s="272"/>
      <c r="GN115" s="272"/>
      <c r="GO115" s="272"/>
      <c r="GP115" s="272"/>
      <c r="GQ115" s="272"/>
      <c r="GR115" s="272"/>
      <c r="GS115" s="272"/>
      <c r="GT115" s="272"/>
      <c r="GU115" s="272"/>
      <c r="GV115" s="272"/>
      <c r="GW115" s="272"/>
      <c r="GX115" s="272"/>
      <c r="GY115" s="272"/>
      <c r="GZ115" s="272"/>
      <c r="HA115" s="272"/>
      <c r="HB115" s="272"/>
      <c r="HC115" s="272"/>
      <c r="HD115" s="272"/>
      <c r="HE115" s="272"/>
      <c r="HF115" s="272"/>
      <c r="HG115" s="272"/>
      <c r="HH115" s="272"/>
      <c r="HI115" s="272"/>
      <c r="HJ115" s="272"/>
      <c r="HK115" s="272"/>
      <c r="HL115" s="272"/>
      <c r="HM115" s="272"/>
      <c r="HN115" s="272"/>
      <c r="HO115" s="272"/>
      <c r="HP115" s="272"/>
      <c r="HQ115" s="272"/>
      <c r="HR115" s="272"/>
      <c r="HS115" s="272"/>
      <c r="HT115" s="272"/>
      <c r="HU115" s="272"/>
      <c r="HV115" s="272"/>
      <c r="HW115" s="272"/>
      <c r="HX115" s="272"/>
      <c r="HY115" s="272"/>
      <c r="HZ115" s="272"/>
      <c r="IA115" s="272"/>
      <c r="IB115" s="272"/>
      <c r="IC115" s="272"/>
      <c r="ID115" s="272"/>
      <c r="IE115" s="272"/>
      <c r="IF115" s="272"/>
      <c r="IG115" s="272"/>
      <c r="IH115" s="272"/>
      <c r="II115" s="272"/>
      <c r="IJ115" s="272"/>
      <c r="IK115" s="272"/>
      <c r="IL115" s="272"/>
      <c r="IM115" s="272"/>
      <c r="IN115" s="272"/>
      <c r="IO115" s="272"/>
      <c r="IP115" s="272"/>
      <c r="IQ115" s="272"/>
      <c r="IR115" s="272"/>
      <c r="IS115" s="272"/>
      <c r="IT115" s="272"/>
      <c r="IU115" s="272"/>
      <c r="IV115" s="272"/>
      <c r="IW115" s="272"/>
      <c r="IX115" s="272"/>
      <c r="IY115" s="272"/>
      <c r="IZ115" s="272"/>
      <c r="JA115" s="272"/>
      <c r="JB115" s="272"/>
      <c r="JC115" s="272"/>
      <c r="JD115" s="272"/>
      <c r="JE115" s="272"/>
      <c r="JF115" s="272"/>
      <c r="JG115" s="272"/>
      <c r="JH115" s="272"/>
      <c r="JI115" s="272"/>
      <c r="JJ115" s="272"/>
      <c r="JK115" s="272"/>
      <c r="JL115" s="272"/>
      <c r="JM115" s="272"/>
      <c r="JN115" s="272"/>
      <c r="JO115" s="272"/>
      <c r="JP115" s="272"/>
      <c r="JQ115" s="272"/>
      <c r="JR115" s="272"/>
      <c r="JS115" s="272"/>
      <c r="JT115" s="272"/>
      <c r="JU115" s="272"/>
      <c r="JV115" s="272"/>
      <c r="JW115" s="272"/>
      <c r="JX115" s="272"/>
      <c r="JY115" s="272"/>
      <c r="JZ115" s="272"/>
      <c r="KA115" s="272"/>
      <c r="KB115" s="272"/>
      <c r="KC115" s="272"/>
      <c r="KD115" s="272"/>
      <c r="KE115" s="272"/>
      <c r="KF115" s="272"/>
      <c r="KG115" s="272"/>
      <c r="KH115" s="272"/>
      <c r="KI115" s="272"/>
      <c r="KJ115" s="272"/>
      <c r="KK115" s="272"/>
      <c r="KL115" s="272"/>
      <c r="KM115" s="272"/>
      <c r="KN115" s="272"/>
      <c r="KO115" s="272"/>
      <c r="KP115" s="272"/>
      <c r="KQ115" s="272"/>
      <c r="KR115" s="272"/>
      <c r="KS115" s="272"/>
      <c r="KT115" s="272"/>
      <c r="KU115" s="272"/>
      <c r="KV115" s="272"/>
      <c r="KW115" s="272"/>
      <c r="KX115" s="272"/>
      <c r="KY115" s="272"/>
      <c r="KZ115" s="272"/>
      <c r="LA115" s="272"/>
      <c r="LB115" s="272"/>
      <c r="LC115" s="272"/>
      <c r="LD115" s="272"/>
      <c r="LE115" s="272"/>
      <c r="LF115" s="272"/>
      <c r="LG115" s="272"/>
      <c r="LH115" s="272"/>
      <c r="LI115" s="272"/>
      <c r="LJ115" s="272"/>
      <c r="LK115" s="272"/>
      <c r="LL115" s="272"/>
      <c r="LM115" s="272"/>
      <c r="LN115" s="272"/>
      <c r="LO115" s="272"/>
      <c r="LP115" s="272"/>
      <c r="LQ115" s="272"/>
      <c r="LR115" s="272"/>
      <c r="LS115" s="272"/>
      <c r="LT115" s="272"/>
      <c r="LU115" s="272"/>
      <c r="LV115" s="272"/>
      <c r="LW115" s="272"/>
      <c r="LX115" s="272"/>
      <c r="LY115" s="272"/>
      <c r="LZ115" s="272"/>
      <c r="MA115" s="272"/>
      <c r="MB115" s="272"/>
      <c r="MC115" s="272"/>
      <c r="MD115" s="272"/>
      <c r="ME115" s="272"/>
      <c r="MF115" s="272"/>
      <c r="MG115" s="272"/>
      <c r="MH115" s="272"/>
      <c r="MI115" s="272"/>
      <c r="MJ115" s="272"/>
      <c r="MK115" s="272"/>
      <c r="ML115" s="272"/>
      <c r="MM115" s="272"/>
      <c r="MN115" s="272"/>
      <c r="MO115" s="272"/>
      <c r="MP115" s="272"/>
      <c r="MQ115" s="272"/>
      <c r="MR115" s="272"/>
      <c r="MS115" s="272"/>
      <c r="MT115" s="272"/>
      <c r="MU115" s="272"/>
      <c r="MV115" s="272"/>
      <c r="MW115" s="272"/>
      <c r="MX115" s="272"/>
      <c r="MY115" s="272"/>
      <c r="MZ115" s="272"/>
      <c r="NA115" s="272"/>
      <c r="NB115" s="272"/>
      <c r="NC115" s="272"/>
      <c r="ND115" s="272"/>
      <c r="NE115" s="272"/>
      <c r="NF115" s="272"/>
      <c r="NG115" s="272"/>
      <c r="NH115" s="272"/>
      <c r="NI115" s="272"/>
      <c r="NJ115" s="272"/>
      <c r="NK115" s="272"/>
      <c r="NL115" s="272"/>
      <c r="NM115" s="272"/>
      <c r="NN115" s="272"/>
      <c r="NO115" s="272"/>
      <c r="NP115" s="272"/>
      <c r="NQ115" s="272"/>
      <c r="NR115" s="272"/>
      <c r="NS115" s="272"/>
      <c r="NT115" s="272"/>
      <c r="NU115" s="272"/>
      <c r="NV115" s="272"/>
      <c r="NW115" s="272"/>
      <c r="NX115" s="272"/>
      <c r="NY115" s="272"/>
      <c r="NZ115" s="272"/>
      <c r="OA115" s="272"/>
      <c r="OB115" s="272"/>
      <c r="OC115" s="272"/>
      <c r="OD115" s="272"/>
      <c r="OE115" s="272"/>
      <c r="OF115" s="272"/>
      <c r="OG115" s="272"/>
      <c r="OH115" s="272"/>
      <c r="OI115" s="272"/>
      <c r="OJ115" s="272"/>
      <c r="OK115" s="272"/>
      <c r="OL115" s="272"/>
      <c r="OM115" s="272"/>
      <c r="ON115" s="272"/>
      <c r="OO115" s="272"/>
      <c r="OP115" s="272"/>
      <c r="OQ115" s="272"/>
      <c r="OR115" s="272"/>
      <c r="OS115" s="272"/>
      <c r="OT115" s="272"/>
      <c r="OU115" s="272"/>
      <c r="OV115" s="272"/>
      <c r="OW115" s="272"/>
      <c r="OX115" s="272"/>
      <c r="OY115" s="272"/>
      <c r="OZ115" s="272"/>
      <c r="PA115" s="272"/>
      <c r="PB115" s="272"/>
      <c r="PC115" s="272"/>
      <c r="PD115" s="272"/>
      <c r="PE115" s="272"/>
      <c r="PF115" s="272"/>
      <c r="PG115" s="272"/>
      <c r="PH115" s="272"/>
      <c r="PI115" s="272"/>
      <c r="PJ115" s="272"/>
      <c r="PK115" s="272"/>
      <c r="PL115" s="272"/>
      <c r="PM115" s="272"/>
      <c r="PN115" s="272"/>
      <c r="PO115" s="272"/>
      <c r="PP115" s="272"/>
      <c r="PQ115" s="272"/>
      <c r="PR115" s="272"/>
      <c r="PS115" s="272"/>
      <c r="PT115" s="272"/>
      <c r="PU115" s="272"/>
      <c r="PV115" s="272"/>
      <c r="PW115" s="272"/>
      <c r="PX115" s="272"/>
      <c r="PY115" s="272"/>
      <c r="PZ115" s="272"/>
      <c r="QA115" s="272"/>
      <c r="QB115" s="272"/>
      <c r="QC115" s="272"/>
      <c r="QD115" s="272"/>
      <c r="QE115" s="272"/>
      <c r="QF115" s="272"/>
      <c r="QG115" s="272"/>
      <c r="QH115" s="272"/>
      <c r="QI115" s="272"/>
      <c r="QJ115" s="272"/>
      <c r="QK115" s="272"/>
      <c r="QL115" s="272"/>
      <c r="QM115" s="272"/>
      <c r="QN115" s="272"/>
      <c r="QO115" s="272"/>
      <c r="QP115" s="272"/>
      <c r="QQ115" s="272"/>
      <c r="QR115" s="272"/>
      <c r="QS115" s="272"/>
      <c r="QT115" s="272"/>
      <c r="QU115" s="272"/>
      <c r="QV115" s="272"/>
      <c r="QW115" s="272"/>
      <c r="QX115" s="272"/>
      <c r="QY115" s="272"/>
      <c r="QZ115" s="272"/>
      <c r="RA115" s="272"/>
      <c r="RB115" s="272"/>
      <c r="RC115" s="272"/>
      <c r="RD115" s="272"/>
      <c r="RE115" s="272"/>
      <c r="RF115" s="272"/>
      <c r="RG115" s="272"/>
      <c r="RH115" s="272"/>
      <c r="RI115" s="272"/>
      <c r="RJ115" s="272"/>
      <c r="RK115" s="272"/>
      <c r="RL115" s="272"/>
      <c r="RM115" s="272"/>
      <c r="RN115" s="272"/>
      <c r="RO115" s="272"/>
      <c r="RP115" s="272"/>
      <c r="RQ115" s="272"/>
      <c r="RR115" s="272"/>
      <c r="RS115" s="272"/>
      <c r="RT115" s="272"/>
      <c r="RU115" s="272"/>
      <c r="RV115" s="272"/>
      <c r="RW115" s="272"/>
      <c r="RX115" s="272"/>
      <c r="RY115" s="272"/>
      <c r="RZ115" s="272"/>
      <c r="SA115" s="272"/>
      <c r="SB115" s="272"/>
      <c r="SC115" s="272"/>
      <c r="SD115" s="272"/>
      <c r="SE115" s="272"/>
      <c r="SF115" s="272"/>
      <c r="SG115" s="272"/>
      <c r="SH115" s="272"/>
      <c r="SI115" s="272"/>
      <c r="SJ115" s="272"/>
      <c r="SK115" s="272"/>
      <c r="SL115" s="272"/>
      <c r="SM115" s="272"/>
      <c r="SN115" s="272"/>
      <c r="SO115" s="272"/>
      <c r="SP115" s="272"/>
      <c r="SQ115" s="272"/>
      <c r="SR115" s="272"/>
      <c r="SS115" s="272"/>
      <c r="ST115" s="272"/>
      <c r="SU115" s="272"/>
      <c r="SV115" s="272"/>
      <c r="SW115" s="272"/>
      <c r="SX115" s="272"/>
      <c r="SY115" s="272"/>
      <c r="SZ115" s="272"/>
      <c r="TA115" s="272"/>
      <c r="TB115" s="272"/>
      <c r="TC115" s="272"/>
      <c r="TD115" s="272"/>
      <c r="TE115" s="272"/>
      <c r="TF115" s="272"/>
      <c r="TG115" s="272"/>
      <c r="TH115" s="272"/>
      <c r="TI115" s="272"/>
      <c r="TJ115" s="272"/>
      <c r="TK115" s="272"/>
      <c r="TL115" s="272"/>
      <c r="TM115" s="272"/>
      <c r="TN115" s="272"/>
      <c r="TO115" s="272"/>
      <c r="TP115" s="272"/>
      <c r="TQ115" s="272"/>
      <c r="TR115" s="272"/>
      <c r="TS115" s="272"/>
      <c r="TT115" s="272"/>
      <c r="TU115" s="272"/>
      <c r="TV115" s="272"/>
      <c r="TW115" s="272"/>
      <c r="TX115" s="272"/>
      <c r="TY115" s="272"/>
      <c r="TZ115" s="272"/>
      <c r="UA115" s="272"/>
      <c r="UB115" s="272"/>
      <c r="UC115" s="272"/>
      <c r="UD115" s="272"/>
      <c r="UE115" s="272"/>
      <c r="UF115" s="272"/>
      <c r="UG115" s="272"/>
      <c r="UH115" s="272"/>
      <c r="UI115" s="272"/>
      <c r="UJ115" s="272"/>
      <c r="UK115" s="272"/>
      <c r="UL115" s="272"/>
      <c r="UM115" s="272"/>
      <c r="UN115" s="272"/>
      <c r="UO115" s="272"/>
      <c r="UP115" s="272"/>
      <c r="UQ115" s="272"/>
      <c r="UR115" s="272"/>
      <c r="US115" s="272"/>
      <c r="UT115" s="272"/>
      <c r="UU115" s="272"/>
      <c r="UV115" s="272"/>
      <c r="UW115" s="272"/>
      <c r="UX115" s="272"/>
      <c r="UY115" s="272"/>
      <c r="UZ115" s="272"/>
      <c r="VA115" s="272"/>
      <c r="VB115" s="272"/>
      <c r="VC115" s="272"/>
      <c r="VD115" s="272"/>
      <c r="VE115" s="272"/>
      <c r="VF115" s="272"/>
      <c r="VG115" s="272"/>
      <c r="VH115" s="272"/>
      <c r="VI115" s="272"/>
      <c r="VJ115" s="272"/>
      <c r="VK115" s="272"/>
      <c r="VL115" s="272"/>
      <c r="VM115" s="272"/>
      <c r="VN115" s="272"/>
      <c r="VO115" s="272"/>
      <c r="VP115" s="272"/>
      <c r="VQ115" s="272"/>
      <c r="VR115" s="272"/>
      <c r="VS115" s="272"/>
      <c r="VT115" s="272"/>
      <c r="VU115" s="272"/>
      <c r="VV115" s="272"/>
      <c r="VW115" s="272"/>
      <c r="VX115" s="272"/>
      <c r="VY115" s="272"/>
      <c r="VZ115" s="272"/>
      <c r="WA115" s="272"/>
      <c r="WB115" s="272"/>
      <c r="WC115" s="272"/>
      <c r="WD115" s="272"/>
      <c r="WE115" s="272"/>
      <c r="WF115" s="272"/>
      <c r="WG115" s="272"/>
      <c r="WH115" s="272"/>
      <c r="WI115" s="272"/>
      <c r="WJ115" s="272"/>
      <c r="WK115" s="272"/>
      <c r="WL115" s="272"/>
      <c r="WM115" s="272"/>
      <c r="WN115" s="272"/>
      <c r="WO115" s="272"/>
      <c r="WP115" s="272"/>
      <c r="WQ115" s="272"/>
      <c r="WR115" s="272"/>
      <c r="WS115" s="272"/>
      <c r="WT115" s="272"/>
      <c r="WU115" s="272"/>
      <c r="WV115" s="272"/>
      <c r="WW115" s="272"/>
      <c r="WX115" s="272"/>
      <c r="WY115" s="272"/>
      <c r="WZ115" s="272"/>
      <c r="XA115" s="272"/>
      <c r="XB115" s="272"/>
      <c r="XC115" s="272"/>
      <c r="XD115" s="272"/>
      <c r="XE115" s="272"/>
      <c r="XF115" s="272"/>
      <c r="XG115" s="272"/>
      <c r="XH115" s="272"/>
      <c r="XI115" s="272"/>
      <c r="XJ115" s="272"/>
      <c r="XK115" s="272"/>
      <c r="XL115" s="272"/>
      <c r="XM115" s="272"/>
      <c r="XN115" s="272"/>
      <c r="XO115" s="272"/>
      <c r="XP115" s="272"/>
      <c r="XQ115" s="272"/>
      <c r="XR115" s="272"/>
      <c r="XS115" s="272"/>
      <c r="XT115" s="272"/>
      <c r="XU115" s="272"/>
      <c r="XV115" s="272"/>
      <c r="XW115" s="272"/>
      <c r="XX115" s="272"/>
      <c r="XY115" s="272"/>
      <c r="XZ115" s="272"/>
      <c r="YA115" s="272"/>
      <c r="YB115" s="272"/>
      <c r="YC115" s="272"/>
      <c r="YD115" s="272"/>
      <c r="YE115" s="272"/>
      <c r="YF115" s="272"/>
      <c r="YG115" s="272"/>
      <c r="YH115" s="272"/>
      <c r="YI115" s="272"/>
      <c r="YJ115" s="272"/>
      <c r="YK115" s="272"/>
      <c r="YL115" s="272"/>
      <c r="YM115" s="272"/>
      <c r="YN115" s="272"/>
      <c r="YO115" s="272"/>
      <c r="YP115" s="272"/>
      <c r="YQ115" s="272"/>
      <c r="YR115" s="272"/>
      <c r="YS115" s="272"/>
      <c r="YT115" s="272"/>
      <c r="YU115" s="272"/>
      <c r="YV115" s="272"/>
      <c r="YW115" s="272"/>
      <c r="YX115" s="272"/>
      <c r="YY115" s="272"/>
      <c r="YZ115" s="272"/>
      <c r="ZA115" s="272"/>
      <c r="ZB115" s="272"/>
      <c r="ZC115" s="272"/>
      <c r="ZD115" s="272"/>
      <c r="ZE115" s="272"/>
      <c r="ZF115" s="272"/>
      <c r="ZG115" s="272"/>
      <c r="ZH115" s="272"/>
      <c r="ZI115" s="272"/>
      <c r="ZJ115" s="272"/>
      <c r="ZK115" s="272"/>
      <c r="ZL115" s="272"/>
      <c r="ZM115" s="272"/>
      <c r="ZN115" s="272"/>
      <c r="ZO115" s="272"/>
      <c r="ZP115" s="272"/>
      <c r="ZQ115" s="272"/>
      <c r="ZR115" s="272"/>
      <c r="ZS115" s="272"/>
      <c r="ZT115" s="272"/>
    </row>
    <row r="116" ht="15">
      <c r="H116" s="363"/>
    </row>
    <row r="117" spans="5:8" ht="15">
      <c r="E117" s="14" t="s">
        <v>217</v>
      </c>
      <c r="F117" s="140"/>
      <c r="G117" s="140"/>
      <c r="H117" s="272"/>
    </row>
    <row r="118" spans="5:8" ht="38.25">
      <c r="E118" s="145" t="s">
        <v>223</v>
      </c>
      <c r="F118" s="140" t="s">
        <v>219</v>
      </c>
      <c r="G118" s="140" t="s">
        <v>580</v>
      </c>
      <c r="H118" s="272" t="s">
        <v>808</v>
      </c>
    </row>
    <row r="119" spans="5:8" ht="38.25">
      <c r="E119" s="145" t="s">
        <v>224</v>
      </c>
      <c r="F119" s="140" t="s">
        <v>220</v>
      </c>
      <c r="G119" s="140" t="s">
        <v>222</v>
      </c>
      <c r="H119" s="272" t="s">
        <v>807</v>
      </c>
    </row>
    <row r="120" spans="5:8" ht="38.25">
      <c r="E120" s="145" t="s">
        <v>225</v>
      </c>
      <c r="F120" s="140" t="s">
        <v>221</v>
      </c>
      <c r="G120" s="140" t="s">
        <v>247</v>
      </c>
      <c r="H120" s="272" t="s">
        <v>806</v>
      </c>
    </row>
    <row r="121" spans="5:8" ht="25.5">
      <c r="E121" s="145" t="s">
        <v>226</v>
      </c>
      <c r="F121" s="140"/>
      <c r="G121" s="144" t="s">
        <v>218</v>
      </c>
      <c r="H121" s="272"/>
    </row>
    <row r="122" ht="15">
      <c r="H122" s="272"/>
    </row>
    <row r="123" ht="15">
      <c r="H123" s="272"/>
    </row>
    <row r="124" ht="15">
      <c r="H124" s="272"/>
    </row>
    <row r="125" ht="15">
      <c r="H125" s="272"/>
    </row>
    <row r="126" ht="15">
      <c r="H126" s="272"/>
    </row>
    <row r="127" ht="15">
      <c r="H127" s="272"/>
    </row>
    <row r="128" ht="15">
      <c r="H128" s="272"/>
    </row>
    <row r="129" ht="15">
      <c r="H129" s="272"/>
    </row>
    <row r="130" ht="15">
      <c r="H130" s="272"/>
    </row>
    <row r="131" ht="15">
      <c r="H131" s="272"/>
    </row>
    <row r="132" ht="15">
      <c r="H132" s="272"/>
    </row>
    <row r="133" ht="15">
      <c r="H133" s="272"/>
    </row>
    <row r="134" ht="15">
      <c r="H134" s="272"/>
    </row>
    <row r="135" ht="15">
      <c r="H135" s="272"/>
    </row>
    <row r="136" ht="15">
      <c r="H136" s="272"/>
    </row>
    <row r="137" ht="15">
      <c r="H137" s="272"/>
    </row>
    <row r="138" ht="15">
      <c r="H138" s="272"/>
    </row>
    <row r="139" ht="15">
      <c r="H139" s="272"/>
    </row>
    <row r="140" ht="15">
      <c r="H140" s="272"/>
    </row>
    <row r="141" ht="15">
      <c r="H141" s="272"/>
    </row>
    <row r="142" ht="15">
      <c r="H142" s="272"/>
    </row>
    <row r="143" ht="15">
      <c r="H143" s="272"/>
    </row>
    <row r="144" ht="15">
      <c r="H144" s="272"/>
    </row>
    <row r="145" ht="15">
      <c r="H145" s="272"/>
    </row>
    <row r="146" ht="15">
      <c r="H146" s="272"/>
    </row>
    <row r="147" ht="15">
      <c r="H147" s="272"/>
    </row>
    <row r="148" ht="15">
      <c r="H148" s="272"/>
    </row>
    <row r="149" ht="15">
      <c r="H149" s="272"/>
    </row>
    <row r="150" ht="15">
      <c r="H150" s="272"/>
    </row>
    <row r="151" ht="15">
      <c r="H151" s="272"/>
    </row>
    <row r="152" ht="15">
      <c r="H152" s="272"/>
    </row>
    <row r="153" ht="15">
      <c r="H153" s="272"/>
    </row>
    <row r="154" ht="15">
      <c r="H154" s="272"/>
    </row>
    <row r="155" ht="15">
      <c r="H155" s="272"/>
    </row>
    <row r="156" ht="15">
      <c r="H156" s="272"/>
    </row>
    <row r="157" ht="15">
      <c r="H157" s="272"/>
    </row>
    <row r="158" ht="15">
      <c r="H158" s="272"/>
    </row>
    <row r="159" ht="15">
      <c r="H159" s="272"/>
    </row>
    <row r="160" ht="15">
      <c r="H160" s="272"/>
    </row>
    <row r="161" ht="15">
      <c r="H161" s="272"/>
    </row>
    <row r="162" ht="15">
      <c r="H162" s="272"/>
    </row>
    <row r="163" ht="15">
      <c r="H163" s="272"/>
    </row>
    <row r="164" ht="15">
      <c r="H164" s="272"/>
    </row>
    <row r="165" ht="15">
      <c r="H165" s="272"/>
    </row>
    <row r="166" ht="15">
      <c r="H166" s="272"/>
    </row>
    <row r="167" ht="15">
      <c r="H167" s="272"/>
    </row>
    <row r="168" ht="15">
      <c r="H168" s="272"/>
    </row>
    <row r="169" ht="15">
      <c r="H169" s="272"/>
    </row>
    <row r="170" ht="15">
      <c r="H170" s="272"/>
    </row>
    <row r="171" ht="15">
      <c r="H171" s="272"/>
    </row>
    <row r="172" ht="15">
      <c r="H172" s="272"/>
    </row>
    <row r="173" ht="15">
      <c r="H173" s="272"/>
    </row>
    <row r="174" ht="15">
      <c r="H174" s="272"/>
    </row>
    <row r="175" ht="15">
      <c r="H175" s="272"/>
    </row>
    <row r="176" ht="15">
      <c r="H176" s="272"/>
    </row>
    <row r="177" ht="15">
      <c r="H177" s="272"/>
    </row>
    <row r="178" ht="15">
      <c r="H178" s="272"/>
    </row>
    <row r="179" ht="15">
      <c r="H179" s="272"/>
    </row>
    <row r="180" ht="15">
      <c r="H180" s="272"/>
    </row>
    <row r="181" ht="15">
      <c r="H181" s="272"/>
    </row>
    <row r="182" ht="15">
      <c r="H182" s="272"/>
    </row>
    <row r="183" ht="15">
      <c r="H183" s="272"/>
    </row>
    <row r="184" ht="15">
      <c r="H184" s="272"/>
    </row>
    <row r="185" ht="15">
      <c r="H185" s="272"/>
    </row>
    <row r="186" ht="15">
      <c r="H186" s="272"/>
    </row>
    <row r="187" ht="15">
      <c r="H187" s="272"/>
    </row>
    <row r="188" ht="15">
      <c r="H188" s="272"/>
    </row>
    <row r="189" ht="15">
      <c r="H189" s="272"/>
    </row>
    <row r="190" ht="15">
      <c r="H190" s="272"/>
    </row>
    <row r="191" ht="15">
      <c r="H191" s="272"/>
    </row>
    <row r="192" ht="15">
      <c r="H192" s="272"/>
    </row>
    <row r="193" ht="15">
      <c r="H193" s="272"/>
    </row>
    <row r="194" ht="15">
      <c r="H194" s="272"/>
    </row>
    <row r="195" ht="15">
      <c r="H195" s="272"/>
    </row>
    <row r="196" ht="15">
      <c r="H196" s="272"/>
    </row>
    <row r="197" ht="15">
      <c r="H197" s="272"/>
    </row>
    <row r="198" ht="15">
      <c r="H198" s="272"/>
    </row>
    <row r="199" ht="15">
      <c r="H199" s="272"/>
    </row>
    <row r="200" ht="15">
      <c r="H200" s="272"/>
    </row>
    <row r="201" ht="15">
      <c r="H201" s="272"/>
    </row>
    <row r="202" ht="15">
      <c r="H202" s="272"/>
    </row>
    <row r="203" ht="15">
      <c r="H203" s="272"/>
    </row>
    <row r="204" ht="15">
      <c r="H204" s="272"/>
    </row>
    <row r="205" ht="15">
      <c r="H205" s="272"/>
    </row>
    <row r="206" ht="15">
      <c r="H206" s="272"/>
    </row>
    <row r="207" ht="15">
      <c r="H207" s="272"/>
    </row>
    <row r="208" ht="15">
      <c r="H208" s="272"/>
    </row>
    <row r="209" ht="15">
      <c r="H209" s="272"/>
    </row>
    <row r="210" ht="15">
      <c r="H210" s="272"/>
    </row>
    <row r="211" ht="15">
      <c r="H211" s="272"/>
    </row>
    <row r="212" ht="15">
      <c r="H212" s="272"/>
    </row>
    <row r="213" ht="15">
      <c r="H213" s="272"/>
    </row>
    <row r="214" ht="15">
      <c r="H214" s="272"/>
    </row>
    <row r="215" ht="15">
      <c r="H215" s="272"/>
    </row>
    <row r="216" ht="15">
      <c r="H216" s="272"/>
    </row>
    <row r="217" ht="15">
      <c r="H217" s="272"/>
    </row>
    <row r="218" ht="15">
      <c r="H218" s="272"/>
    </row>
    <row r="219" ht="15">
      <c r="H219" s="272"/>
    </row>
    <row r="220" ht="15">
      <c r="H220" s="272"/>
    </row>
    <row r="221" ht="15">
      <c r="H221" s="272"/>
    </row>
    <row r="222" ht="15">
      <c r="H222" s="272"/>
    </row>
    <row r="223" ht="15">
      <c r="H223" s="272"/>
    </row>
    <row r="224" ht="15">
      <c r="H224" s="272"/>
    </row>
    <row r="225" ht="15">
      <c r="H225" s="272"/>
    </row>
    <row r="226" ht="15">
      <c r="H226" s="272"/>
    </row>
    <row r="227" ht="15">
      <c r="H227" s="272"/>
    </row>
    <row r="228" ht="15">
      <c r="H228" s="272"/>
    </row>
    <row r="229" ht="15">
      <c r="H229" s="272"/>
    </row>
    <row r="230" ht="15">
      <c r="H230" s="272"/>
    </row>
    <row r="231" ht="15">
      <c r="H231" s="272"/>
    </row>
    <row r="232" ht="15">
      <c r="H232" s="272"/>
    </row>
    <row r="233" ht="15">
      <c r="H233" s="272"/>
    </row>
    <row r="234" ht="15">
      <c r="H234" s="272"/>
    </row>
    <row r="235" ht="15">
      <c r="H235" s="272"/>
    </row>
    <row r="236" ht="15">
      <c r="H236" s="272"/>
    </row>
    <row r="237" ht="15">
      <c r="H237" s="272"/>
    </row>
    <row r="238" ht="15">
      <c r="H238" s="272"/>
    </row>
    <row r="239" ht="15">
      <c r="H239" s="272"/>
    </row>
    <row r="240" ht="15">
      <c r="H240" s="272"/>
    </row>
    <row r="241" ht="15">
      <c r="H241" s="272"/>
    </row>
    <row r="242" ht="15">
      <c r="H242" s="272"/>
    </row>
    <row r="243" ht="15">
      <c r="H243" s="272"/>
    </row>
    <row r="244" ht="15">
      <c r="H244" s="272"/>
    </row>
    <row r="245" ht="15">
      <c r="H245" s="272"/>
    </row>
    <row r="246" ht="15">
      <c r="H246" s="272"/>
    </row>
    <row r="247" ht="15">
      <c r="H247" s="272"/>
    </row>
    <row r="248" ht="15">
      <c r="H248" s="272"/>
    </row>
    <row r="249" ht="15">
      <c r="H249" s="272"/>
    </row>
    <row r="250" ht="15">
      <c r="H250" s="272"/>
    </row>
    <row r="251" ht="15">
      <c r="H251" s="272"/>
    </row>
    <row r="252" ht="15">
      <c r="H252" s="272"/>
    </row>
    <row r="253" ht="15">
      <c r="H253" s="272"/>
    </row>
    <row r="254" ht="15">
      <c r="H254" s="272"/>
    </row>
    <row r="255" ht="15">
      <c r="H255" s="272"/>
    </row>
    <row r="256" ht="15">
      <c r="H256" s="272"/>
    </row>
    <row r="257" ht="15">
      <c r="H257" s="272"/>
    </row>
    <row r="258" ht="15">
      <c r="H258" s="272"/>
    </row>
    <row r="259" ht="15">
      <c r="H259" s="272"/>
    </row>
    <row r="260" ht="15">
      <c r="H260" s="272"/>
    </row>
    <row r="261" ht="15">
      <c r="H261" s="272"/>
    </row>
    <row r="262" ht="15">
      <c r="H262" s="272"/>
    </row>
    <row r="263" ht="15">
      <c r="H263" s="272"/>
    </row>
    <row r="264" ht="15">
      <c r="H264" s="272"/>
    </row>
    <row r="265" ht="15">
      <c r="H265" s="272"/>
    </row>
    <row r="266" ht="15">
      <c r="H266" s="272"/>
    </row>
    <row r="267" ht="15">
      <c r="H267" s="272"/>
    </row>
    <row r="268" ht="15">
      <c r="H268" s="272"/>
    </row>
    <row r="269" ht="15">
      <c r="H269" s="272"/>
    </row>
    <row r="270" ht="15">
      <c r="H270" s="272"/>
    </row>
    <row r="271" ht="15">
      <c r="H271" s="272"/>
    </row>
    <row r="272" ht="15">
      <c r="H272" s="272"/>
    </row>
    <row r="273" ht="15">
      <c r="H273" s="272"/>
    </row>
    <row r="274" ht="15">
      <c r="H274" s="272"/>
    </row>
    <row r="275" ht="15">
      <c r="H275" s="272"/>
    </row>
    <row r="276" ht="15">
      <c r="H276" s="272"/>
    </row>
    <row r="277" ht="15">
      <c r="H277" s="272"/>
    </row>
    <row r="278" ht="15">
      <c r="H278" s="272"/>
    </row>
    <row r="279" ht="15">
      <c r="H279" s="272"/>
    </row>
    <row r="280" ht="15">
      <c r="H280" s="272"/>
    </row>
    <row r="281" ht="15">
      <c r="H281" s="272"/>
    </row>
    <row r="282" ht="15">
      <c r="H282" s="272"/>
    </row>
    <row r="283" ht="15">
      <c r="H283" s="272"/>
    </row>
    <row r="284" ht="15">
      <c r="H284" s="272"/>
    </row>
    <row r="285" ht="15">
      <c r="H285" s="272"/>
    </row>
    <row r="286" ht="15">
      <c r="H286" s="272"/>
    </row>
    <row r="287" ht="15">
      <c r="H287" s="272"/>
    </row>
    <row r="288" ht="15">
      <c r="H288" s="272"/>
    </row>
    <row r="289" ht="15">
      <c r="H289" s="272"/>
    </row>
    <row r="290" ht="15">
      <c r="H290" s="272"/>
    </row>
    <row r="291" ht="15">
      <c r="H291" s="272"/>
    </row>
    <row r="292" ht="15">
      <c r="H292" s="272"/>
    </row>
    <row r="293" ht="15">
      <c r="H293" s="272"/>
    </row>
    <row r="294" ht="15">
      <c r="H294" s="272"/>
    </row>
    <row r="295" ht="15">
      <c r="H295" s="272"/>
    </row>
    <row r="296" ht="15">
      <c r="H296" s="272"/>
    </row>
    <row r="297" ht="15">
      <c r="H297" s="272"/>
    </row>
    <row r="298" ht="15">
      <c r="H298" s="272"/>
    </row>
    <row r="299" ht="15">
      <c r="H299" s="272"/>
    </row>
    <row r="300" ht="15">
      <c r="H300" s="272"/>
    </row>
    <row r="301" ht="15">
      <c r="H301" s="272"/>
    </row>
    <row r="302" ht="15">
      <c r="H302" s="272"/>
    </row>
    <row r="303" ht="15">
      <c r="H303" s="272"/>
    </row>
    <row r="304" ht="15">
      <c r="H304" s="272"/>
    </row>
    <row r="305" ht="15">
      <c r="H305" s="272"/>
    </row>
    <row r="306" ht="15">
      <c r="H306" s="272"/>
    </row>
    <row r="307" ht="15">
      <c r="H307" s="272"/>
    </row>
    <row r="308" ht="15">
      <c r="H308" s="272"/>
    </row>
    <row r="309" ht="15">
      <c r="H309" s="272"/>
    </row>
    <row r="310" ht="15">
      <c r="H310" s="272"/>
    </row>
    <row r="311" ht="15">
      <c r="H311" s="272"/>
    </row>
    <row r="312" ht="15">
      <c r="H312" s="272"/>
    </row>
    <row r="313" ht="15">
      <c r="H313" s="272"/>
    </row>
    <row r="314" ht="15">
      <c r="H314" s="272"/>
    </row>
    <row r="315" ht="15">
      <c r="H315" s="272"/>
    </row>
    <row r="316" ht="15">
      <c r="H316" s="272"/>
    </row>
    <row r="317" ht="15">
      <c r="H317" s="272"/>
    </row>
    <row r="318" ht="15">
      <c r="H318" s="272"/>
    </row>
    <row r="319" ht="15">
      <c r="H319" s="272"/>
    </row>
    <row r="320" ht="15">
      <c r="H320" s="272"/>
    </row>
    <row r="321" ht="15">
      <c r="H321" s="272"/>
    </row>
    <row r="322" ht="15">
      <c r="H322" s="272"/>
    </row>
    <row r="323" ht="15">
      <c r="H323" s="272"/>
    </row>
    <row r="324" ht="15">
      <c r="H324" s="272"/>
    </row>
    <row r="325" ht="15">
      <c r="H325" s="272"/>
    </row>
    <row r="326" ht="15">
      <c r="H326" s="272"/>
    </row>
    <row r="327" ht="15">
      <c r="H327" s="272"/>
    </row>
    <row r="328" ht="15">
      <c r="H328" s="272"/>
    </row>
    <row r="329" ht="15">
      <c r="H329" s="272"/>
    </row>
    <row r="330" ht="15">
      <c r="H330" s="272"/>
    </row>
    <row r="331" ht="15">
      <c r="H331" s="272"/>
    </row>
    <row r="332" ht="15">
      <c r="H332" s="272"/>
    </row>
    <row r="333" ht="15">
      <c r="H333" s="272"/>
    </row>
    <row r="334" ht="15">
      <c r="H334" s="272"/>
    </row>
    <row r="335" ht="15">
      <c r="H335" s="272"/>
    </row>
    <row r="336" ht="15">
      <c r="H336" s="272"/>
    </row>
    <row r="337" ht="15">
      <c r="H337" s="272"/>
    </row>
    <row r="338" ht="15">
      <c r="H338" s="272"/>
    </row>
    <row r="339" ht="15">
      <c r="H339" s="272"/>
    </row>
    <row r="340" ht="15">
      <c r="H340" s="272"/>
    </row>
    <row r="341" ht="15">
      <c r="H341" s="272"/>
    </row>
    <row r="342" ht="15">
      <c r="H342" s="272"/>
    </row>
    <row r="343" ht="15">
      <c r="H343" s="272"/>
    </row>
    <row r="344" ht="15">
      <c r="H344" s="272"/>
    </row>
    <row r="345" ht="15">
      <c r="H345" s="272"/>
    </row>
    <row r="346" ht="15">
      <c r="H346" s="272"/>
    </row>
    <row r="347" ht="15">
      <c r="H347" s="272"/>
    </row>
    <row r="348" ht="15">
      <c r="H348" s="272"/>
    </row>
    <row r="349" ht="15">
      <c r="H349" s="272"/>
    </row>
    <row r="350" ht="15">
      <c r="H350" s="272"/>
    </row>
    <row r="351" ht="15">
      <c r="H351" s="272"/>
    </row>
    <row r="352" ht="15">
      <c r="H352" s="272"/>
    </row>
    <row r="353" ht="15">
      <c r="H353" s="272"/>
    </row>
    <row r="354" ht="15">
      <c r="H354" s="272"/>
    </row>
    <row r="355" ht="15">
      <c r="H355" s="272"/>
    </row>
    <row r="356" ht="15">
      <c r="H356" s="272"/>
    </row>
    <row r="357" ht="15">
      <c r="H357" s="272"/>
    </row>
    <row r="358" ht="15">
      <c r="H358" s="272"/>
    </row>
    <row r="359" ht="15">
      <c r="H359" s="272"/>
    </row>
    <row r="360" ht="15">
      <c r="H360" s="272"/>
    </row>
    <row r="361" ht="15">
      <c r="H361" s="272"/>
    </row>
    <row r="362" ht="15">
      <c r="H362" s="272"/>
    </row>
    <row r="363" ht="15">
      <c r="H363" s="272"/>
    </row>
    <row r="364" ht="15">
      <c r="H364" s="272"/>
    </row>
    <row r="365" ht="15">
      <c r="H365" s="272"/>
    </row>
    <row r="366" ht="15">
      <c r="H366" s="272"/>
    </row>
    <row r="367" ht="15">
      <c r="H367" s="272"/>
    </row>
    <row r="368" ht="15">
      <c r="H368" s="272"/>
    </row>
    <row r="369" ht="15">
      <c r="H369" s="272"/>
    </row>
    <row r="370" ht="15">
      <c r="H370" s="272"/>
    </row>
    <row r="371" ht="15">
      <c r="H371" s="272"/>
    </row>
    <row r="372" ht="15">
      <c r="H372" s="272"/>
    </row>
    <row r="373" ht="15">
      <c r="H373" s="272"/>
    </row>
    <row r="374" ht="15">
      <c r="H374" s="272"/>
    </row>
    <row r="375" ht="15">
      <c r="H375" s="272"/>
    </row>
    <row r="376" ht="15">
      <c r="H376" s="272"/>
    </row>
    <row r="377" ht="15">
      <c r="H377" s="272"/>
    </row>
    <row r="378" ht="15">
      <c r="H378" s="272"/>
    </row>
    <row r="379" ht="15">
      <c r="H379" s="272"/>
    </row>
    <row r="380" ht="15">
      <c r="H380" s="272"/>
    </row>
    <row r="381" ht="15">
      <c r="H381" s="272"/>
    </row>
    <row r="382" ht="15">
      <c r="H382" s="272"/>
    </row>
    <row r="383" ht="15">
      <c r="H383" s="272"/>
    </row>
    <row r="384" ht="15">
      <c r="H384" s="272"/>
    </row>
    <row r="385" ht="15">
      <c r="H385" s="272"/>
    </row>
    <row r="386" ht="15">
      <c r="H386" s="272"/>
    </row>
    <row r="387" ht="15">
      <c r="H387" s="272"/>
    </row>
    <row r="388" ht="15">
      <c r="H388" s="272"/>
    </row>
    <row r="389" ht="15">
      <c r="H389" s="272"/>
    </row>
    <row r="390" ht="15">
      <c r="H390" s="272"/>
    </row>
    <row r="391" ht="15">
      <c r="H391" s="272"/>
    </row>
    <row r="392" ht="15">
      <c r="H392" s="272"/>
    </row>
    <row r="393" ht="15">
      <c r="H393" s="272"/>
    </row>
    <row r="394" ht="15">
      <c r="H394" s="272"/>
    </row>
    <row r="395" ht="15">
      <c r="H395" s="272"/>
    </row>
    <row r="396" ht="15">
      <c r="H396" s="272"/>
    </row>
    <row r="397" ht="15">
      <c r="H397" s="272"/>
    </row>
    <row r="398" ht="15">
      <c r="H398" s="272"/>
    </row>
    <row r="399" ht="15">
      <c r="H399" s="272"/>
    </row>
    <row r="400" ht="15">
      <c r="H400" s="272"/>
    </row>
    <row r="401" ht="15">
      <c r="H401" s="272"/>
    </row>
    <row r="402" ht="15">
      <c r="H402" s="272"/>
    </row>
    <row r="403" ht="15">
      <c r="H403" s="272"/>
    </row>
    <row r="404" ht="15">
      <c r="H404" s="272"/>
    </row>
    <row r="405" ht="15">
      <c r="H405" s="272"/>
    </row>
    <row r="406" ht="15">
      <c r="H406" s="272"/>
    </row>
    <row r="407" ht="15">
      <c r="H407" s="272"/>
    </row>
    <row r="408" ht="15">
      <c r="H408" s="272"/>
    </row>
    <row r="409" ht="15">
      <c r="H409" s="272"/>
    </row>
    <row r="410" ht="15">
      <c r="H410" s="272"/>
    </row>
    <row r="411" ht="15">
      <c r="H411" s="272"/>
    </row>
    <row r="412" ht="15">
      <c r="H412" s="272"/>
    </row>
    <row r="413" ht="15">
      <c r="H413" s="272"/>
    </row>
    <row r="414" ht="15">
      <c r="H414" s="272"/>
    </row>
    <row r="415" ht="15">
      <c r="H415" s="272"/>
    </row>
    <row r="416" ht="15">
      <c r="H416" s="272"/>
    </row>
    <row r="417" ht="15">
      <c r="H417" s="272"/>
    </row>
    <row r="418" ht="15">
      <c r="H418" s="272"/>
    </row>
    <row r="419" ht="15">
      <c r="H419" s="272"/>
    </row>
    <row r="420" ht="15">
      <c r="H420" s="272"/>
    </row>
    <row r="421" ht="15">
      <c r="H421" s="272"/>
    </row>
    <row r="422" ht="15">
      <c r="H422" s="272"/>
    </row>
    <row r="423" ht="15">
      <c r="H423" s="272"/>
    </row>
    <row r="424" ht="15">
      <c r="H424" s="272"/>
    </row>
    <row r="425" ht="15">
      <c r="H425" s="272"/>
    </row>
    <row r="426" ht="15">
      <c r="H426" s="272"/>
    </row>
    <row r="427" ht="15">
      <c r="H427" s="272"/>
    </row>
    <row r="428" ht="15">
      <c r="H428" s="272"/>
    </row>
    <row r="429" ht="15">
      <c r="H429" s="272"/>
    </row>
    <row r="430" ht="15">
      <c r="H430" s="272"/>
    </row>
    <row r="431" ht="15">
      <c r="H431" s="272"/>
    </row>
    <row r="432" ht="15">
      <c r="H432" s="272"/>
    </row>
    <row r="433" ht="15">
      <c r="H433" s="272"/>
    </row>
    <row r="434" ht="15">
      <c r="H434" s="272"/>
    </row>
    <row r="435" ht="15">
      <c r="H435" s="272"/>
    </row>
    <row r="436" ht="15">
      <c r="H436" s="272"/>
    </row>
    <row r="437" ht="15">
      <c r="H437" s="272"/>
    </row>
    <row r="438" ht="15">
      <c r="H438" s="272"/>
    </row>
    <row r="439" ht="15">
      <c r="H439" s="272"/>
    </row>
    <row r="440" ht="15">
      <c r="H440" s="272"/>
    </row>
    <row r="441" ht="15">
      <c r="H441" s="272"/>
    </row>
    <row r="442" ht="15">
      <c r="H442" s="272"/>
    </row>
    <row r="443" ht="15">
      <c r="H443" s="272"/>
    </row>
    <row r="444" ht="15">
      <c r="H444" s="272"/>
    </row>
    <row r="445" ht="15">
      <c r="H445" s="272"/>
    </row>
    <row r="446" ht="15">
      <c r="H446" s="272"/>
    </row>
    <row r="447" ht="15">
      <c r="H447" s="272"/>
    </row>
    <row r="448" ht="15">
      <c r="H448" s="272"/>
    </row>
    <row r="449" ht="15">
      <c r="H449" s="272"/>
    </row>
    <row r="450" ht="15">
      <c r="H450" s="272"/>
    </row>
    <row r="451" ht="15">
      <c r="H451" s="272"/>
    </row>
    <row r="452" ht="15">
      <c r="H452" s="272"/>
    </row>
    <row r="453" ht="15">
      <c r="H453" s="272"/>
    </row>
    <row r="454" ht="15">
      <c r="H454" s="272"/>
    </row>
    <row r="455" ht="15">
      <c r="H455" s="272"/>
    </row>
    <row r="456" ht="15">
      <c r="H456" s="272"/>
    </row>
    <row r="457" ht="15">
      <c r="H457" s="272"/>
    </row>
    <row r="458" ht="15">
      <c r="H458" s="272"/>
    </row>
    <row r="459" ht="15">
      <c r="H459" s="272"/>
    </row>
    <row r="460" ht="15">
      <c r="H460" s="272"/>
    </row>
    <row r="461" ht="15">
      <c r="H461" s="272"/>
    </row>
    <row r="462" ht="15">
      <c r="H462" s="272"/>
    </row>
    <row r="463" ht="15">
      <c r="H463" s="272"/>
    </row>
    <row r="464" ht="15">
      <c r="H464" s="272"/>
    </row>
    <row r="465" ht="15">
      <c r="H465" s="272"/>
    </row>
    <row r="466" ht="15">
      <c r="H466" s="272"/>
    </row>
    <row r="467" ht="15">
      <c r="H467" s="272"/>
    </row>
    <row r="468" ht="15">
      <c r="H468" s="272"/>
    </row>
    <row r="469" ht="15">
      <c r="H469" s="272"/>
    </row>
    <row r="470" ht="15">
      <c r="H470" s="272"/>
    </row>
    <row r="471" ht="15">
      <c r="H471" s="272"/>
    </row>
    <row r="472" ht="15">
      <c r="H472" s="272"/>
    </row>
    <row r="473" ht="15">
      <c r="H473" s="272"/>
    </row>
    <row r="474" ht="15">
      <c r="H474" s="272"/>
    </row>
    <row r="475" ht="15">
      <c r="H475" s="272"/>
    </row>
    <row r="476" ht="15">
      <c r="H476" s="272"/>
    </row>
    <row r="477" ht="15">
      <c r="H477" s="272"/>
    </row>
    <row r="478" ht="15">
      <c r="H478" s="272"/>
    </row>
    <row r="479" ht="15">
      <c r="H479" s="272"/>
    </row>
    <row r="480" ht="15">
      <c r="H480" s="272"/>
    </row>
    <row r="481" ht="15">
      <c r="H481" s="272"/>
    </row>
    <row r="482" ht="15">
      <c r="H482" s="272"/>
    </row>
    <row r="483" ht="15">
      <c r="H483" s="272"/>
    </row>
    <row r="484" ht="15">
      <c r="H484" s="272"/>
    </row>
    <row r="485" ht="15">
      <c r="H485" s="272"/>
    </row>
    <row r="486" ht="15">
      <c r="H486" s="272"/>
    </row>
    <row r="487" ht="15">
      <c r="H487" s="272"/>
    </row>
    <row r="488" ht="15">
      <c r="H488" s="272"/>
    </row>
    <row r="489" ht="15">
      <c r="H489" s="272"/>
    </row>
    <row r="490" ht="15">
      <c r="H490" s="272"/>
    </row>
    <row r="491" ht="15">
      <c r="H491" s="272"/>
    </row>
    <row r="492" ht="15">
      <c r="H492" s="272"/>
    </row>
    <row r="493" ht="15">
      <c r="H493" s="272"/>
    </row>
    <row r="494" ht="15">
      <c r="H494" s="272"/>
    </row>
    <row r="495" ht="15">
      <c r="H495" s="272"/>
    </row>
    <row r="496" ht="15">
      <c r="H496" s="272"/>
    </row>
    <row r="497" ht="15">
      <c r="H497" s="272"/>
    </row>
    <row r="498" ht="15">
      <c r="H498" s="272"/>
    </row>
    <row r="499" ht="15">
      <c r="H499" s="272"/>
    </row>
    <row r="500" ht="15">
      <c r="H500" s="272"/>
    </row>
    <row r="501" ht="15">
      <c r="H501" s="272"/>
    </row>
    <row r="502" ht="15">
      <c r="H502" s="272"/>
    </row>
    <row r="503" ht="15">
      <c r="H503" s="272"/>
    </row>
    <row r="504" ht="15">
      <c r="H504" s="272"/>
    </row>
    <row r="505" ht="15">
      <c r="H505" s="272"/>
    </row>
    <row r="506" ht="15">
      <c r="H506" s="272"/>
    </row>
    <row r="507" ht="15">
      <c r="H507" s="272"/>
    </row>
    <row r="508" ht="15">
      <c r="H508" s="272"/>
    </row>
    <row r="509" ht="15">
      <c r="H509" s="272"/>
    </row>
    <row r="510" ht="15">
      <c r="H510" s="272"/>
    </row>
    <row r="511" ht="15">
      <c r="H511" s="272"/>
    </row>
    <row r="512" ht="15">
      <c r="H512" s="272"/>
    </row>
    <row r="513" ht="15">
      <c r="H513" s="272"/>
    </row>
    <row r="514" ht="15">
      <c r="H514" s="272"/>
    </row>
    <row r="515" ht="15">
      <c r="H515" s="272"/>
    </row>
    <row r="516" ht="15">
      <c r="H516" s="272"/>
    </row>
    <row r="517" ht="15">
      <c r="H517" s="272"/>
    </row>
    <row r="518" ht="15">
      <c r="H518" s="272"/>
    </row>
    <row r="519" ht="15">
      <c r="H519" s="272"/>
    </row>
    <row r="520" ht="15">
      <c r="H520" s="272"/>
    </row>
    <row r="521" ht="15">
      <c r="H521" s="272"/>
    </row>
    <row r="522" ht="15">
      <c r="H522" s="272"/>
    </row>
    <row r="523" ht="15">
      <c r="H523" s="272"/>
    </row>
    <row r="524" ht="15">
      <c r="H524" s="272"/>
    </row>
    <row r="525" ht="15">
      <c r="H525" s="272"/>
    </row>
    <row r="526" ht="15">
      <c r="H526" s="272"/>
    </row>
    <row r="527" ht="15">
      <c r="H527" s="272"/>
    </row>
    <row r="528" ht="15">
      <c r="H528" s="272"/>
    </row>
    <row r="529" ht="15">
      <c r="H529" s="272"/>
    </row>
    <row r="530" ht="15">
      <c r="H530" s="272"/>
    </row>
    <row r="531" ht="15">
      <c r="H531" s="272"/>
    </row>
    <row r="532" ht="15">
      <c r="H532" s="272"/>
    </row>
    <row r="533" ht="15">
      <c r="H533" s="272"/>
    </row>
    <row r="534" ht="15">
      <c r="H534" s="272"/>
    </row>
    <row r="535" ht="15">
      <c r="H535" s="272"/>
    </row>
    <row r="536" ht="15">
      <c r="H536" s="272"/>
    </row>
    <row r="537" ht="15">
      <c r="H537" s="272"/>
    </row>
    <row r="538" ht="15">
      <c r="H538" s="272"/>
    </row>
    <row r="539" ht="15">
      <c r="H539" s="272"/>
    </row>
    <row r="540" ht="15">
      <c r="H540" s="272"/>
    </row>
    <row r="541" ht="15">
      <c r="H541" s="272"/>
    </row>
    <row r="542" ht="15">
      <c r="H542" s="272"/>
    </row>
    <row r="543" ht="15">
      <c r="H543" s="272"/>
    </row>
    <row r="544" ht="15">
      <c r="H544" s="272"/>
    </row>
    <row r="545" ht="15">
      <c r="H545" s="272"/>
    </row>
    <row r="546" ht="15">
      <c r="H546" s="272"/>
    </row>
    <row r="547" ht="15">
      <c r="H547" s="272"/>
    </row>
    <row r="548" ht="15">
      <c r="H548" s="272"/>
    </row>
    <row r="549" ht="15">
      <c r="H549" s="272"/>
    </row>
    <row r="550" ht="15">
      <c r="H550" s="272"/>
    </row>
    <row r="551" ht="15">
      <c r="H551" s="272"/>
    </row>
    <row r="552" ht="15">
      <c r="H552" s="272"/>
    </row>
    <row r="553" ht="15">
      <c r="H553" s="272"/>
    </row>
    <row r="554" ht="15">
      <c r="H554" s="272"/>
    </row>
    <row r="555" ht="15">
      <c r="H555" s="272"/>
    </row>
    <row r="556" ht="15">
      <c r="H556" s="272"/>
    </row>
    <row r="557" ht="15">
      <c r="H557" s="272"/>
    </row>
    <row r="558" ht="15">
      <c r="H558" s="272"/>
    </row>
    <row r="559" ht="15">
      <c r="H559" s="272"/>
    </row>
    <row r="560" ht="15">
      <c r="H560" s="272"/>
    </row>
    <row r="561" ht="15">
      <c r="H561" s="272"/>
    </row>
    <row r="562" ht="15">
      <c r="H562" s="272"/>
    </row>
    <row r="563" ht="15">
      <c r="H563" s="272"/>
    </row>
    <row r="564" ht="15">
      <c r="H564" s="272"/>
    </row>
    <row r="565" ht="15">
      <c r="H565" s="272"/>
    </row>
    <row r="566" ht="15">
      <c r="H566" s="272"/>
    </row>
    <row r="567" ht="15">
      <c r="H567" s="272"/>
    </row>
    <row r="568" ht="15">
      <c r="H568" s="272"/>
    </row>
    <row r="569" ht="15">
      <c r="H569" s="272"/>
    </row>
    <row r="570" ht="15">
      <c r="H570" s="272"/>
    </row>
    <row r="571" ht="15">
      <c r="H571" s="272"/>
    </row>
    <row r="572" ht="15">
      <c r="H572" s="272"/>
    </row>
    <row r="573" ht="15">
      <c r="H573" s="272"/>
    </row>
    <row r="574" ht="15">
      <c r="H574" s="272"/>
    </row>
    <row r="575" ht="15">
      <c r="H575" s="272"/>
    </row>
    <row r="576" ht="15">
      <c r="H576" s="272"/>
    </row>
    <row r="577" ht="15">
      <c r="H577" s="272"/>
    </row>
    <row r="578" ht="15">
      <c r="H578" s="272"/>
    </row>
    <row r="579" ht="15">
      <c r="H579" s="272"/>
    </row>
    <row r="580" ht="15">
      <c r="H580" s="272"/>
    </row>
    <row r="581" ht="15">
      <c r="H581" s="272"/>
    </row>
    <row r="582" ht="15">
      <c r="H582" s="272"/>
    </row>
    <row r="583" ht="15">
      <c r="H583" s="272"/>
    </row>
    <row r="584" ht="15">
      <c r="H584" s="272"/>
    </row>
    <row r="585" ht="15">
      <c r="H585" s="272"/>
    </row>
    <row r="586" ht="15">
      <c r="H586" s="272"/>
    </row>
    <row r="587" ht="15">
      <c r="H587" s="272"/>
    </row>
    <row r="588" ht="15">
      <c r="H588" s="272"/>
    </row>
    <row r="589" ht="15">
      <c r="H589" s="272"/>
    </row>
    <row r="590" ht="15">
      <c r="H590" s="272"/>
    </row>
    <row r="591" ht="15">
      <c r="H591" s="272"/>
    </row>
    <row r="592" ht="15">
      <c r="H592" s="272"/>
    </row>
    <row r="593" ht="15">
      <c r="H593" s="272"/>
    </row>
    <row r="594" ht="15">
      <c r="H594" s="272"/>
    </row>
    <row r="595" ht="15">
      <c r="H595" s="272"/>
    </row>
    <row r="596" ht="15">
      <c r="H596" s="272"/>
    </row>
    <row r="597" ht="15">
      <c r="H597" s="272"/>
    </row>
    <row r="598" ht="15">
      <c r="H598" s="272"/>
    </row>
    <row r="599" ht="15">
      <c r="H599" s="272"/>
    </row>
    <row r="600" ht="15">
      <c r="H600" s="272"/>
    </row>
    <row r="601" ht="15">
      <c r="H601" s="272"/>
    </row>
    <row r="602" ht="15">
      <c r="H602" s="272"/>
    </row>
    <row r="603" ht="15">
      <c r="H603" s="272"/>
    </row>
    <row r="604" ht="15">
      <c r="H604" s="272"/>
    </row>
    <row r="605" ht="15">
      <c r="H605" s="272"/>
    </row>
    <row r="606" ht="15">
      <c r="H606" s="272"/>
    </row>
    <row r="607" ht="15">
      <c r="H607" s="272"/>
    </row>
    <row r="608" ht="15">
      <c r="H608" s="272"/>
    </row>
    <row r="609" ht="15">
      <c r="H609" s="272"/>
    </row>
    <row r="610" ht="15">
      <c r="H610" s="272"/>
    </row>
    <row r="611" ht="15">
      <c r="H611" s="272"/>
    </row>
    <row r="612" ht="15">
      <c r="H612" s="272"/>
    </row>
    <row r="613" ht="15">
      <c r="H613" s="272"/>
    </row>
    <row r="614" ht="15">
      <c r="H614" s="272"/>
    </row>
    <row r="615" ht="15">
      <c r="H615" s="272"/>
    </row>
    <row r="616" ht="15">
      <c r="H616" s="272"/>
    </row>
    <row r="617" ht="15">
      <c r="H617" s="272"/>
    </row>
    <row r="618" ht="15">
      <c r="H618" s="272"/>
    </row>
    <row r="619" ht="15">
      <c r="H619" s="272"/>
    </row>
    <row r="620" ht="15">
      <c r="H620" s="272"/>
    </row>
    <row r="621" ht="15">
      <c r="H621" s="272"/>
    </row>
    <row r="622" ht="15">
      <c r="H622" s="272"/>
    </row>
    <row r="623" ht="15">
      <c r="H623" s="272"/>
    </row>
    <row r="624" ht="15">
      <c r="H624" s="272"/>
    </row>
    <row r="625" ht="15">
      <c r="H625" s="272"/>
    </row>
    <row r="626" ht="15">
      <c r="H626" s="272"/>
    </row>
    <row r="627" ht="15">
      <c r="H627" s="272"/>
    </row>
    <row r="628" ht="15">
      <c r="H628" s="272"/>
    </row>
    <row r="629" ht="15">
      <c r="H629" s="272"/>
    </row>
    <row r="630" ht="15">
      <c r="H630" s="272"/>
    </row>
    <row r="631" ht="15">
      <c r="H631" s="272"/>
    </row>
    <row r="632" ht="15">
      <c r="H632" s="272"/>
    </row>
    <row r="633" ht="15">
      <c r="H633" s="272"/>
    </row>
    <row r="634" ht="15">
      <c r="H634" s="272"/>
    </row>
    <row r="635" ht="15">
      <c r="H635" s="272"/>
    </row>
    <row r="636" ht="15">
      <c r="H636" s="272"/>
    </row>
    <row r="637" ht="15">
      <c r="H637" s="272"/>
    </row>
    <row r="638" ht="15">
      <c r="H638" s="272"/>
    </row>
    <row r="639" ht="15">
      <c r="H639" s="272"/>
    </row>
    <row r="640" ht="15">
      <c r="H640" s="272"/>
    </row>
    <row r="641" ht="15">
      <c r="H641" s="272"/>
    </row>
    <row r="642" ht="15">
      <c r="H642" s="272"/>
    </row>
    <row r="643" ht="15">
      <c r="H643" s="272"/>
    </row>
    <row r="644" ht="15">
      <c r="H644" s="272"/>
    </row>
    <row r="645" ht="15">
      <c r="H645" s="272"/>
    </row>
    <row r="646" ht="15">
      <c r="H646" s="272"/>
    </row>
    <row r="647" ht="15">
      <c r="H647" s="272"/>
    </row>
    <row r="648" ht="15">
      <c r="H648" s="272"/>
    </row>
    <row r="649" ht="15">
      <c r="H649" s="272"/>
    </row>
    <row r="650" ht="15">
      <c r="H650" s="272"/>
    </row>
    <row r="651" ht="15">
      <c r="H651" s="272"/>
    </row>
    <row r="652" ht="15">
      <c r="H652" s="272"/>
    </row>
    <row r="653" ht="15">
      <c r="H653" s="272"/>
    </row>
    <row r="654" ht="15">
      <c r="H654" s="272"/>
    </row>
    <row r="655" ht="15">
      <c r="H655" s="272"/>
    </row>
    <row r="656" ht="15">
      <c r="H656" s="272"/>
    </row>
    <row r="657" ht="15">
      <c r="H657" s="272"/>
    </row>
    <row r="658" ht="15">
      <c r="H658" s="272"/>
    </row>
    <row r="659" ht="15">
      <c r="H659" s="272"/>
    </row>
    <row r="660" ht="15">
      <c r="H660" s="272"/>
    </row>
    <row r="661" ht="15">
      <c r="H661" s="272"/>
    </row>
    <row r="662" ht="15">
      <c r="H662" s="272"/>
    </row>
    <row r="663" ht="15">
      <c r="H663" s="272"/>
    </row>
    <row r="664" ht="15">
      <c r="H664" s="272"/>
    </row>
    <row r="665" ht="15">
      <c r="H665" s="272"/>
    </row>
    <row r="666" ht="15">
      <c r="H666" s="272"/>
    </row>
    <row r="667" ht="15">
      <c r="H667" s="272"/>
    </row>
    <row r="668" ht="15">
      <c r="H668" s="272"/>
    </row>
    <row r="669" ht="15">
      <c r="H669" s="272"/>
    </row>
    <row r="670" ht="15">
      <c r="H670" s="272"/>
    </row>
    <row r="671" ht="15">
      <c r="H671" s="272"/>
    </row>
    <row r="672" ht="15">
      <c r="H672" s="272"/>
    </row>
    <row r="673" ht="15">
      <c r="H673" s="272"/>
    </row>
    <row r="674" ht="15">
      <c r="H674" s="272"/>
    </row>
    <row r="675" ht="15">
      <c r="H675" s="272"/>
    </row>
    <row r="676" ht="15">
      <c r="H676" s="272"/>
    </row>
    <row r="677" ht="15">
      <c r="H677" s="272"/>
    </row>
    <row r="678" ht="15">
      <c r="H678" s="272"/>
    </row>
    <row r="679" ht="15">
      <c r="H679" s="272"/>
    </row>
    <row r="680" ht="15">
      <c r="H680" s="272"/>
    </row>
    <row r="681" ht="15">
      <c r="H681" s="272"/>
    </row>
    <row r="682" ht="15">
      <c r="H682" s="272"/>
    </row>
    <row r="683" ht="15">
      <c r="H683" s="272"/>
    </row>
    <row r="684" ht="15">
      <c r="H684" s="272"/>
    </row>
    <row r="685" ht="15">
      <c r="H685" s="272"/>
    </row>
    <row r="686" ht="15">
      <c r="H686" s="272"/>
    </row>
    <row r="687" ht="15">
      <c r="H687" s="272"/>
    </row>
    <row r="688" ht="15">
      <c r="H688" s="272"/>
    </row>
    <row r="689" ht="15">
      <c r="H689" s="272"/>
    </row>
    <row r="690" ht="15">
      <c r="H690" s="272"/>
    </row>
    <row r="691" ht="15">
      <c r="H691" s="272"/>
    </row>
    <row r="692" ht="15">
      <c r="H692" s="272"/>
    </row>
    <row r="693" ht="15">
      <c r="H693" s="272"/>
    </row>
    <row r="694" ht="15">
      <c r="H694" s="272"/>
    </row>
    <row r="695" ht="15">
      <c r="H695" s="272"/>
    </row>
    <row r="696" ht="15">
      <c r="H696" s="272"/>
    </row>
    <row r="697" ht="15">
      <c r="H697" s="272"/>
    </row>
    <row r="698" ht="15">
      <c r="H698" s="272"/>
    </row>
    <row r="699" ht="15">
      <c r="H699" s="272"/>
    </row>
    <row r="700" ht="15">
      <c r="H700" s="272"/>
    </row>
    <row r="701" ht="15">
      <c r="H701" s="272"/>
    </row>
    <row r="702" ht="15">
      <c r="H702" s="272"/>
    </row>
    <row r="703" ht="15">
      <c r="H703" s="272"/>
    </row>
    <row r="704" ht="15">
      <c r="H704" s="272"/>
    </row>
    <row r="705" ht="15">
      <c r="H705" s="272"/>
    </row>
    <row r="706" ht="15">
      <c r="H706" s="272"/>
    </row>
    <row r="707" ht="15">
      <c r="H707" s="272"/>
    </row>
    <row r="708" ht="15">
      <c r="H708" s="272"/>
    </row>
    <row r="709" ht="15">
      <c r="H709" s="272"/>
    </row>
    <row r="710" ht="15">
      <c r="H710" s="272"/>
    </row>
    <row r="711" ht="15">
      <c r="H711" s="272"/>
    </row>
    <row r="712" ht="15">
      <c r="H712" s="272"/>
    </row>
    <row r="713" ht="15">
      <c r="H713" s="272"/>
    </row>
    <row r="714" ht="15">
      <c r="H714" s="272"/>
    </row>
    <row r="715" ht="15">
      <c r="H715" s="272"/>
    </row>
    <row r="716" ht="15">
      <c r="H716" s="272"/>
    </row>
    <row r="717" ht="15">
      <c r="H717" s="272"/>
    </row>
    <row r="718" ht="15">
      <c r="H718" s="272"/>
    </row>
    <row r="719" ht="15">
      <c r="H719" s="272"/>
    </row>
    <row r="720" ht="15">
      <c r="H720" s="272"/>
    </row>
    <row r="721" ht="15">
      <c r="H721" s="272"/>
    </row>
    <row r="722" ht="15">
      <c r="H722" s="272"/>
    </row>
    <row r="723" ht="15">
      <c r="H723" s="272"/>
    </row>
    <row r="724" ht="15">
      <c r="H724" s="272"/>
    </row>
    <row r="725" ht="15">
      <c r="H725" s="272"/>
    </row>
    <row r="726" ht="15">
      <c r="H726" s="272"/>
    </row>
    <row r="727" ht="15">
      <c r="H727" s="272"/>
    </row>
    <row r="728" ht="15">
      <c r="H728" s="272"/>
    </row>
    <row r="729" ht="15">
      <c r="H729" s="272"/>
    </row>
    <row r="730" ht="15">
      <c r="H730" s="272"/>
    </row>
    <row r="731" ht="15">
      <c r="H731" s="272"/>
    </row>
    <row r="732" ht="15">
      <c r="H732" s="272"/>
    </row>
    <row r="733" ht="15">
      <c r="H733" s="272"/>
    </row>
    <row r="734" ht="15">
      <c r="H734" s="272"/>
    </row>
    <row r="735" ht="15">
      <c r="H735" s="272"/>
    </row>
    <row r="736" ht="15">
      <c r="H736" s="272"/>
    </row>
    <row r="737" ht="15">
      <c r="H737" s="272"/>
    </row>
    <row r="738" ht="15">
      <c r="H738" s="272"/>
    </row>
    <row r="739" ht="15">
      <c r="H739" s="272"/>
    </row>
    <row r="740" ht="15">
      <c r="H740" s="272"/>
    </row>
    <row r="741" ht="15">
      <c r="H741" s="272"/>
    </row>
    <row r="742" ht="15">
      <c r="H742" s="272"/>
    </row>
    <row r="743" ht="15">
      <c r="H743" s="272"/>
    </row>
    <row r="744" ht="15">
      <c r="H744" s="272"/>
    </row>
    <row r="745" ht="15">
      <c r="H745" s="272"/>
    </row>
    <row r="746" ht="15">
      <c r="H746" s="272"/>
    </row>
    <row r="747" ht="15">
      <c r="H747" s="272"/>
    </row>
    <row r="748" ht="15">
      <c r="H748" s="272"/>
    </row>
    <row r="749" ht="15">
      <c r="H749" s="272"/>
    </row>
    <row r="750" ht="15">
      <c r="H750" s="272"/>
    </row>
    <row r="751" ht="15">
      <c r="H751" s="272"/>
    </row>
    <row r="752" ht="15">
      <c r="H752" s="272"/>
    </row>
    <row r="753" ht="15">
      <c r="H753" s="272"/>
    </row>
    <row r="754" ht="15">
      <c r="H754" s="272"/>
    </row>
    <row r="755" ht="15">
      <c r="H755" s="272"/>
    </row>
    <row r="756" ht="15">
      <c r="H756" s="272"/>
    </row>
    <row r="757" ht="15">
      <c r="H757" s="272"/>
    </row>
    <row r="758" ht="15">
      <c r="H758" s="272"/>
    </row>
    <row r="759" ht="15">
      <c r="H759" s="272"/>
    </row>
    <row r="760" ht="15">
      <c r="H760" s="272"/>
    </row>
    <row r="761" ht="15">
      <c r="H761" s="272"/>
    </row>
    <row r="762" ht="15">
      <c r="H762" s="272"/>
    </row>
    <row r="763" ht="15">
      <c r="H763" s="272"/>
    </row>
    <row r="764" ht="15">
      <c r="H764" s="272"/>
    </row>
    <row r="765" ht="15">
      <c r="H765" s="272"/>
    </row>
    <row r="766" ht="15">
      <c r="H766" s="272"/>
    </row>
    <row r="767" ht="15">
      <c r="H767" s="272"/>
    </row>
    <row r="768" ht="15">
      <c r="H768" s="272"/>
    </row>
    <row r="769" ht="15">
      <c r="H769" s="272"/>
    </row>
    <row r="770" ht="15">
      <c r="H770" s="272"/>
    </row>
    <row r="771" ht="15">
      <c r="H771" s="272"/>
    </row>
    <row r="772" ht="15">
      <c r="H772" s="272"/>
    </row>
    <row r="773" ht="15">
      <c r="H773" s="272"/>
    </row>
    <row r="774" ht="15">
      <c r="H774" s="272"/>
    </row>
    <row r="775" ht="15">
      <c r="H775" s="272"/>
    </row>
    <row r="776" ht="15">
      <c r="H776" s="272"/>
    </row>
    <row r="777" ht="15">
      <c r="H777" s="272"/>
    </row>
    <row r="778" ht="15">
      <c r="H778" s="272"/>
    </row>
    <row r="779" ht="15">
      <c r="H779" s="272"/>
    </row>
    <row r="780" ht="15">
      <c r="H780" s="272"/>
    </row>
    <row r="781" ht="15">
      <c r="H781" s="272"/>
    </row>
    <row r="782" ht="15">
      <c r="H782" s="272"/>
    </row>
    <row r="783" ht="15">
      <c r="H783" s="272"/>
    </row>
    <row r="784" ht="15">
      <c r="H784" s="272"/>
    </row>
    <row r="785" ht="15">
      <c r="H785" s="272"/>
    </row>
    <row r="786" ht="15">
      <c r="H786" s="272"/>
    </row>
    <row r="787" ht="15">
      <c r="H787" s="272"/>
    </row>
    <row r="788" ht="15">
      <c r="H788" s="272"/>
    </row>
    <row r="789" ht="15">
      <c r="H789" s="272"/>
    </row>
    <row r="790" ht="15">
      <c r="H790" s="272"/>
    </row>
    <row r="791" ht="15">
      <c r="H791" s="272"/>
    </row>
    <row r="792" ht="15">
      <c r="H792" s="272"/>
    </row>
    <row r="793" ht="15">
      <c r="H793" s="272"/>
    </row>
    <row r="794" ht="15">
      <c r="H794" s="272"/>
    </row>
    <row r="795" ht="15">
      <c r="H795" s="272"/>
    </row>
    <row r="796" ht="15">
      <c r="H796" s="272"/>
    </row>
    <row r="797" ht="15">
      <c r="H797" s="272"/>
    </row>
    <row r="798" ht="15">
      <c r="H798" s="272"/>
    </row>
    <row r="799" ht="15">
      <c r="H799" s="272"/>
    </row>
    <row r="800" ht="15">
      <c r="H800" s="272"/>
    </row>
    <row r="801" ht="15">
      <c r="H801" s="272"/>
    </row>
    <row r="802" ht="15">
      <c r="H802" s="272"/>
    </row>
    <row r="803" ht="15">
      <c r="H803" s="272"/>
    </row>
    <row r="804" ht="15">
      <c r="H804" s="272"/>
    </row>
    <row r="805" ht="15">
      <c r="H805" s="272"/>
    </row>
    <row r="806" ht="15">
      <c r="H806" s="272"/>
    </row>
    <row r="807" ht="15">
      <c r="H807" s="272"/>
    </row>
    <row r="808" ht="15">
      <c r="H808" s="272"/>
    </row>
    <row r="809" ht="15">
      <c r="H809" s="272"/>
    </row>
    <row r="810" ht="15">
      <c r="H810" s="272"/>
    </row>
    <row r="811" ht="15">
      <c r="H811" s="272"/>
    </row>
    <row r="812" ht="15">
      <c r="H812" s="272"/>
    </row>
    <row r="813" ht="15">
      <c r="H813" s="272"/>
    </row>
    <row r="814" ht="15">
      <c r="H814" s="272"/>
    </row>
    <row r="815" ht="15">
      <c r="H815" s="272"/>
    </row>
    <row r="816" ht="15">
      <c r="H816" s="272"/>
    </row>
    <row r="817" ht="15">
      <c r="H817" s="272"/>
    </row>
    <row r="818" ht="15">
      <c r="H818" s="272"/>
    </row>
    <row r="819" ht="15">
      <c r="H819" s="272"/>
    </row>
    <row r="820" ht="15">
      <c r="H820" s="272"/>
    </row>
    <row r="821" ht="15">
      <c r="H821" s="272"/>
    </row>
    <row r="822" ht="15">
      <c r="H822" s="272"/>
    </row>
    <row r="823" ht="15">
      <c r="H823" s="272"/>
    </row>
    <row r="824" ht="15">
      <c r="H824" s="272"/>
    </row>
    <row r="825" ht="15">
      <c r="H825" s="272"/>
    </row>
    <row r="826" ht="15">
      <c r="H826" s="272"/>
    </row>
    <row r="827" ht="15">
      <c r="H827" s="272"/>
    </row>
    <row r="828" ht="15">
      <c r="H828" s="272"/>
    </row>
    <row r="829" ht="15">
      <c r="H829" s="272"/>
    </row>
    <row r="830" ht="15">
      <c r="H830" s="272"/>
    </row>
    <row r="831" ht="15">
      <c r="H831" s="272"/>
    </row>
    <row r="832" ht="15">
      <c r="H832" s="272"/>
    </row>
    <row r="833" ht="15">
      <c r="H833" s="272"/>
    </row>
    <row r="834" ht="15">
      <c r="H834" s="272"/>
    </row>
    <row r="835" ht="15">
      <c r="H835" s="272"/>
    </row>
    <row r="836" ht="15">
      <c r="H836" s="272"/>
    </row>
    <row r="837" ht="15">
      <c r="H837" s="272"/>
    </row>
    <row r="838" ht="15">
      <c r="H838" s="272"/>
    </row>
    <row r="839" ht="15">
      <c r="H839" s="272"/>
    </row>
    <row r="840" ht="15">
      <c r="H840" s="272"/>
    </row>
    <row r="841" ht="15">
      <c r="H841" s="272"/>
    </row>
    <row r="842" ht="15">
      <c r="H842" s="272"/>
    </row>
    <row r="843" ht="15">
      <c r="H843" s="272"/>
    </row>
    <row r="844" ht="15">
      <c r="H844" s="272"/>
    </row>
    <row r="845" ht="15">
      <c r="H845" s="272"/>
    </row>
    <row r="846" ht="15">
      <c r="H846" s="272"/>
    </row>
    <row r="847" ht="15">
      <c r="H847" s="272"/>
    </row>
    <row r="848" ht="15">
      <c r="H848" s="272"/>
    </row>
    <row r="849" ht="15">
      <c r="H849" s="272"/>
    </row>
    <row r="850" ht="15">
      <c r="H850" s="272"/>
    </row>
    <row r="851" ht="15">
      <c r="H851" s="272"/>
    </row>
    <row r="852" ht="15">
      <c r="H852" s="272"/>
    </row>
    <row r="853" ht="15">
      <c r="H853" s="272"/>
    </row>
    <row r="854" ht="15">
      <c r="H854" s="272"/>
    </row>
    <row r="855" ht="15">
      <c r="H855" s="272"/>
    </row>
    <row r="856" ht="15">
      <c r="H856" s="272"/>
    </row>
    <row r="857" ht="15">
      <c r="H857" s="272"/>
    </row>
    <row r="858" ht="15">
      <c r="H858" s="272"/>
    </row>
    <row r="859" ht="15">
      <c r="H859" s="272"/>
    </row>
    <row r="860" ht="15">
      <c r="H860" s="272"/>
    </row>
    <row r="861" ht="15">
      <c r="H861" s="272"/>
    </row>
    <row r="862" ht="15">
      <c r="H862" s="272"/>
    </row>
    <row r="863" ht="15">
      <c r="H863" s="272"/>
    </row>
    <row r="864" ht="15">
      <c r="H864" s="272"/>
    </row>
    <row r="865" ht="15">
      <c r="H865" s="272"/>
    </row>
    <row r="866" ht="15">
      <c r="H866" s="272"/>
    </row>
    <row r="867" ht="15">
      <c r="H867" s="272"/>
    </row>
    <row r="868" ht="15">
      <c r="H868" s="272"/>
    </row>
    <row r="869" ht="15">
      <c r="H869" s="272"/>
    </row>
    <row r="870" ht="15">
      <c r="H870" s="272"/>
    </row>
    <row r="871" ht="15">
      <c r="H871" s="272"/>
    </row>
    <row r="872" ht="15">
      <c r="H872" s="272"/>
    </row>
    <row r="873" ht="15">
      <c r="H873" s="272"/>
    </row>
    <row r="874" ht="15">
      <c r="H874" s="272"/>
    </row>
    <row r="875" ht="15">
      <c r="H875" s="272"/>
    </row>
    <row r="876" ht="15">
      <c r="H876" s="272"/>
    </row>
    <row r="877" ht="15">
      <c r="H877" s="272"/>
    </row>
    <row r="878" ht="15">
      <c r="H878" s="272"/>
    </row>
    <row r="879" ht="15">
      <c r="H879" s="272"/>
    </row>
    <row r="880" ht="15">
      <c r="H880" s="272"/>
    </row>
    <row r="881" ht="15">
      <c r="H881" s="272"/>
    </row>
    <row r="882" ht="15">
      <c r="H882" s="272"/>
    </row>
    <row r="883" ht="15">
      <c r="H883" s="272"/>
    </row>
    <row r="884" ht="15">
      <c r="H884" s="272"/>
    </row>
    <row r="885" ht="15">
      <c r="H885" s="272"/>
    </row>
    <row r="886" ht="15">
      <c r="H886" s="272"/>
    </row>
    <row r="887" ht="15">
      <c r="H887" s="272"/>
    </row>
    <row r="888" ht="15">
      <c r="H888" s="272"/>
    </row>
    <row r="889" ht="15">
      <c r="H889" s="272"/>
    </row>
    <row r="890" ht="15">
      <c r="H890" s="272"/>
    </row>
    <row r="891" ht="15">
      <c r="H891" s="272"/>
    </row>
    <row r="892" ht="15">
      <c r="H892" s="272"/>
    </row>
    <row r="893" ht="15">
      <c r="H893" s="272"/>
    </row>
    <row r="894" ht="15">
      <c r="H894" s="272"/>
    </row>
    <row r="895" ht="15">
      <c r="H895" s="272"/>
    </row>
    <row r="896" ht="15">
      <c r="H896" s="272"/>
    </row>
    <row r="897" ht="15">
      <c r="H897" s="272"/>
    </row>
    <row r="898" ht="15">
      <c r="H898" s="272"/>
    </row>
    <row r="899" ht="15">
      <c r="H899" s="272"/>
    </row>
    <row r="900" ht="15">
      <c r="H900" s="272"/>
    </row>
    <row r="901" ht="15">
      <c r="H901" s="272"/>
    </row>
    <row r="902" ht="15">
      <c r="H902" s="272"/>
    </row>
    <row r="903" ht="15">
      <c r="H903" s="272"/>
    </row>
    <row r="904" ht="15">
      <c r="H904" s="272"/>
    </row>
    <row r="905" ht="15">
      <c r="H905" s="272"/>
    </row>
    <row r="906" ht="15">
      <c r="H906" s="272"/>
    </row>
    <row r="907" ht="15">
      <c r="H907" s="272"/>
    </row>
    <row r="908" ht="15">
      <c r="H908" s="272"/>
    </row>
    <row r="909" ht="15">
      <c r="H909" s="272"/>
    </row>
    <row r="910" ht="15">
      <c r="H910" s="272"/>
    </row>
    <row r="911" ht="15">
      <c r="H911" s="272"/>
    </row>
    <row r="912" ht="15">
      <c r="H912" s="272"/>
    </row>
    <row r="913" ht="15">
      <c r="H913" s="272"/>
    </row>
    <row r="914" ht="15">
      <c r="H914" s="272"/>
    </row>
    <row r="915" ht="15">
      <c r="H915" s="272"/>
    </row>
    <row r="916" ht="15">
      <c r="H916" s="272"/>
    </row>
    <row r="917" ht="15">
      <c r="H917" s="272"/>
    </row>
    <row r="918" ht="15">
      <c r="H918" s="272"/>
    </row>
    <row r="919" ht="15">
      <c r="H919" s="272"/>
    </row>
    <row r="920" ht="15">
      <c r="H920" s="272"/>
    </row>
    <row r="921" ht="15">
      <c r="H921" s="272"/>
    </row>
    <row r="922" ht="15">
      <c r="H922" s="272"/>
    </row>
    <row r="923" ht="15">
      <c r="H923" s="272"/>
    </row>
    <row r="924" ht="15">
      <c r="H924" s="272"/>
    </row>
    <row r="925" ht="15">
      <c r="H925" s="272"/>
    </row>
    <row r="926" ht="15">
      <c r="H926" s="272"/>
    </row>
    <row r="927" ht="15">
      <c r="H927" s="272"/>
    </row>
    <row r="928" ht="15">
      <c r="H928" s="272"/>
    </row>
    <row r="929" ht="15">
      <c r="H929" s="272"/>
    </row>
    <row r="930" ht="15">
      <c r="H930" s="272"/>
    </row>
    <row r="931" ht="15">
      <c r="H931" s="272"/>
    </row>
    <row r="932" ht="15">
      <c r="H932" s="272"/>
    </row>
    <row r="933" ht="15">
      <c r="H933" s="272"/>
    </row>
    <row r="934" ht="15">
      <c r="H934" s="272"/>
    </row>
    <row r="935" ht="15">
      <c r="H935" s="272"/>
    </row>
    <row r="936" ht="15">
      <c r="H936" s="272"/>
    </row>
    <row r="937" ht="15">
      <c r="H937" s="272"/>
    </row>
    <row r="938" ht="15">
      <c r="H938" s="272"/>
    </row>
    <row r="939" ht="15">
      <c r="H939" s="272"/>
    </row>
    <row r="940" ht="15">
      <c r="H940" s="272"/>
    </row>
    <row r="941" ht="15">
      <c r="H941" s="272"/>
    </row>
    <row r="942" ht="15">
      <c r="H942" s="272"/>
    </row>
    <row r="943" ht="15">
      <c r="H943" s="272"/>
    </row>
    <row r="944" ht="15">
      <c r="H944" s="272"/>
    </row>
    <row r="945" ht="15">
      <c r="H945" s="272"/>
    </row>
    <row r="946" ht="15">
      <c r="H946" s="272"/>
    </row>
    <row r="947" ht="15">
      <c r="H947" s="272"/>
    </row>
    <row r="948" ht="15">
      <c r="H948" s="272"/>
    </row>
    <row r="949" ht="15">
      <c r="H949" s="272"/>
    </row>
    <row r="950" ht="15">
      <c r="H950" s="272"/>
    </row>
    <row r="951" ht="15">
      <c r="H951" s="272"/>
    </row>
    <row r="952" ht="15">
      <c r="H952" s="272"/>
    </row>
    <row r="953" ht="15">
      <c r="H953" s="272"/>
    </row>
    <row r="954" ht="15">
      <c r="H954" s="272"/>
    </row>
    <row r="955" ht="15">
      <c r="H955" s="272"/>
    </row>
    <row r="956" ht="15">
      <c r="H956" s="272"/>
    </row>
    <row r="957" ht="15">
      <c r="H957" s="272"/>
    </row>
    <row r="958" ht="15">
      <c r="H958" s="272"/>
    </row>
    <row r="959" ht="15">
      <c r="H959" s="272"/>
    </row>
    <row r="960" ht="15">
      <c r="H960" s="272"/>
    </row>
    <row r="961" ht="15">
      <c r="H961" s="272"/>
    </row>
    <row r="962" ht="15">
      <c r="H962" s="272"/>
    </row>
    <row r="963" ht="15">
      <c r="H963" s="272"/>
    </row>
    <row r="964" ht="15">
      <c r="H964" s="272"/>
    </row>
    <row r="965" ht="15">
      <c r="H965" s="272"/>
    </row>
    <row r="966" ht="15">
      <c r="H966" s="272"/>
    </row>
    <row r="967" ht="15">
      <c r="H967" s="272"/>
    </row>
    <row r="968" ht="15">
      <c r="H968" s="272"/>
    </row>
    <row r="969" ht="15">
      <c r="H969" s="272"/>
    </row>
    <row r="970" ht="15">
      <c r="H970" s="272"/>
    </row>
    <row r="971" ht="15">
      <c r="H971" s="272"/>
    </row>
    <row r="972" ht="15">
      <c r="H972" s="272"/>
    </row>
    <row r="973" ht="15">
      <c r="H973" s="272"/>
    </row>
    <row r="974" ht="15">
      <c r="H974" s="272"/>
    </row>
    <row r="975" ht="15">
      <c r="H975" s="272"/>
    </row>
    <row r="976" ht="15">
      <c r="H976" s="272"/>
    </row>
    <row r="977" ht="15">
      <c r="H977" s="272"/>
    </row>
    <row r="978" ht="15">
      <c r="H978" s="272"/>
    </row>
    <row r="979" ht="15">
      <c r="H979" s="272"/>
    </row>
    <row r="980" ht="15">
      <c r="H980" s="272"/>
    </row>
    <row r="981" ht="15">
      <c r="H981" s="272"/>
    </row>
    <row r="982" ht="15">
      <c r="H982" s="272"/>
    </row>
    <row r="983" ht="15">
      <c r="H983" s="272"/>
    </row>
    <row r="984" ht="15">
      <c r="H984" s="272"/>
    </row>
    <row r="985" ht="15">
      <c r="H985" s="272"/>
    </row>
    <row r="986" ht="15">
      <c r="H986" s="272"/>
    </row>
    <row r="987" ht="15">
      <c r="H987" s="272"/>
    </row>
    <row r="988" ht="15">
      <c r="H988" s="272"/>
    </row>
    <row r="989" ht="15">
      <c r="H989" s="272"/>
    </row>
    <row r="990" ht="15">
      <c r="H990" s="272"/>
    </row>
    <row r="991" ht="15">
      <c r="H991" s="272"/>
    </row>
    <row r="992" ht="15">
      <c r="H992" s="272"/>
    </row>
    <row r="993" ht="15">
      <c r="H993" s="272"/>
    </row>
    <row r="994" ht="15">
      <c r="H994" s="272"/>
    </row>
    <row r="995" ht="15">
      <c r="H995" s="272"/>
    </row>
    <row r="996" ht="15">
      <c r="H996" s="272"/>
    </row>
    <row r="997" ht="15">
      <c r="H997" s="272"/>
    </row>
    <row r="998" ht="15">
      <c r="H998" s="272"/>
    </row>
    <row r="999" ht="15">
      <c r="H999" s="272"/>
    </row>
    <row r="1000" ht="15">
      <c r="H1000" s="272"/>
    </row>
    <row r="1001" ht="15">
      <c r="H1001" s="272"/>
    </row>
    <row r="1002" ht="15">
      <c r="H1002" s="272"/>
    </row>
    <row r="1003" ht="15">
      <c r="H1003" s="272"/>
    </row>
    <row r="1004" ht="15">
      <c r="H1004" s="272"/>
    </row>
    <row r="1005" ht="15">
      <c r="H1005" s="272"/>
    </row>
    <row r="1006" ht="15">
      <c r="H1006" s="272"/>
    </row>
    <row r="1007" ht="15">
      <c r="H1007" s="272"/>
    </row>
    <row r="1008" ht="15">
      <c r="H1008" s="272"/>
    </row>
    <row r="1009" ht="15">
      <c r="H1009" s="272"/>
    </row>
    <row r="1010" ht="15">
      <c r="H1010" s="272"/>
    </row>
    <row r="1011" ht="15">
      <c r="H1011" s="272"/>
    </row>
    <row r="1012" ht="15">
      <c r="H1012" s="272"/>
    </row>
    <row r="1013" ht="15">
      <c r="H1013" s="272"/>
    </row>
    <row r="1014" ht="15">
      <c r="H1014" s="272"/>
    </row>
    <row r="1015" ht="15">
      <c r="H1015" s="272"/>
    </row>
    <row r="1016" ht="15">
      <c r="H1016" s="272"/>
    </row>
    <row r="1017" ht="15">
      <c r="H1017" s="272"/>
    </row>
    <row r="1018" ht="15">
      <c r="H1018" s="272"/>
    </row>
    <row r="1019" ht="15">
      <c r="H1019" s="272"/>
    </row>
    <row r="1020" ht="15">
      <c r="H1020" s="272"/>
    </row>
    <row r="1021" ht="15">
      <c r="H1021" s="272"/>
    </row>
    <row r="1022" ht="15">
      <c r="H1022" s="272"/>
    </row>
    <row r="1023" ht="15">
      <c r="H1023" s="272"/>
    </row>
    <row r="1024" ht="15">
      <c r="H1024" s="272"/>
    </row>
    <row r="1025" ht="15">
      <c r="H1025" s="272"/>
    </row>
    <row r="1026" ht="15">
      <c r="H1026" s="272"/>
    </row>
    <row r="1027" ht="15">
      <c r="H1027" s="272"/>
    </row>
    <row r="1028" ht="15">
      <c r="H1028" s="272"/>
    </row>
    <row r="1029" ht="15">
      <c r="H1029" s="272"/>
    </row>
    <row r="1030" ht="15">
      <c r="H1030" s="272"/>
    </row>
    <row r="1031" ht="15">
      <c r="H1031" s="272"/>
    </row>
    <row r="1032" ht="15">
      <c r="H1032" s="272"/>
    </row>
    <row r="1033" ht="15">
      <c r="H1033" s="272"/>
    </row>
    <row r="1034" ht="15">
      <c r="H1034" s="272"/>
    </row>
    <row r="1035" ht="15">
      <c r="H1035" s="272"/>
    </row>
    <row r="1036" ht="15">
      <c r="H1036" s="272"/>
    </row>
    <row r="1037" ht="15">
      <c r="H1037" s="272"/>
    </row>
    <row r="1038" ht="15">
      <c r="H1038" s="272"/>
    </row>
    <row r="1039" ht="15">
      <c r="H1039" s="272"/>
    </row>
    <row r="1040" ht="15">
      <c r="H1040" s="272"/>
    </row>
    <row r="1041" ht="15">
      <c r="H1041" s="272"/>
    </row>
    <row r="1042" ht="15">
      <c r="H1042" s="272"/>
    </row>
    <row r="1043" ht="15">
      <c r="H1043" s="272"/>
    </row>
    <row r="1044" ht="15">
      <c r="H1044" s="272"/>
    </row>
    <row r="1045" ht="15">
      <c r="H1045" s="272"/>
    </row>
    <row r="1046" ht="15">
      <c r="H1046" s="272"/>
    </row>
    <row r="1047" ht="15">
      <c r="H1047" s="272"/>
    </row>
    <row r="1048" ht="15">
      <c r="H1048" s="272"/>
    </row>
    <row r="1049" ht="15">
      <c r="H1049" s="272"/>
    </row>
    <row r="1050" ht="15">
      <c r="H1050" s="272"/>
    </row>
    <row r="1051" ht="15">
      <c r="H1051" s="272"/>
    </row>
    <row r="1052" ht="15">
      <c r="H1052" s="272"/>
    </row>
    <row r="1053" ht="15">
      <c r="H1053" s="272"/>
    </row>
    <row r="1054" ht="15">
      <c r="H1054" s="272"/>
    </row>
    <row r="1055" ht="15">
      <c r="H1055" s="272"/>
    </row>
    <row r="1056" ht="15">
      <c r="H1056" s="272"/>
    </row>
    <row r="1057" ht="15">
      <c r="H1057" s="272"/>
    </row>
    <row r="1058" ht="15">
      <c r="H1058" s="272"/>
    </row>
    <row r="1059" ht="15">
      <c r="H1059" s="272"/>
    </row>
    <row r="1060" ht="15">
      <c r="H1060" s="272"/>
    </row>
    <row r="1061" ht="15">
      <c r="H1061" s="272"/>
    </row>
    <row r="1062" ht="15">
      <c r="H1062" s="272"/>
    </row>
    <row r="1063" ht="15">
      <c r="H1063" s="272"/>
    </row>
    <row r="1064" ht="15">
      <c r="H1064" s="272"/>
    </row>
    <row r="1065" ht="15">
      <c r="H1065" s="272"/>
    </row>
    <row r="1066" ht="15">
      <c r="H1066" s="272"/>
    </row>
    <row r="1067" ht="15">
      <c r="H1067" s="272"/>
    </row>
    <row r="1068" ht="15">
      <c r="H1068" s="272"/>
    </row>
    <row r="1069" ht="15">
      <c r="H1069" s="272"/>
    </row>
    <row r="1070" ht="15">
      <c r="H1070" s="272"/>
    </row>
    <row r="1071" ht="15">
      <c r="H1071" s="272"/>
    </row>
    <row r="1072" ht="15">
      <c r="H1072" s="272"/>
    </row>
    <row r="1073" ht="15">
      <c r="H1073" s="272"/>
    </row>
    <row r="1074" ht="15">
      <c r="H1074" s="272"/>
    </row>
    <row r="1075" ht="15">
      <c r="H1075" s="272"/>
    </row>
    <row r="1076" ht="15">
      <c r="H1076" s="272"/>
    </row>
    <row r="1077" ht="15">
      <c r="H1077" s="272"/>
    </row>
    <row r="1078" ht="15">
      <c r="H1078" s="272"/>
    </row>
    <row r="1079" ht="15">
      <c r="H1079" s="272"/>
    </row>
    <row r="1080" ht="15">
      <c r="H1080" s="272"/>
    </row>
    <row r="1081" ht="15">
      <c r="H1081" s="272"/>
    </row>
    <row r="1082" ht="15">
      <c r="H1082" s="272"/>
    </row>
    <row r="1083" ht="15">
      <c r="H1083" s="272"/>
    </row>
    <row r="1084" ht="15">
      <c r="H1084" s="272"/>
    </row>
    <row r="1085" ht="15">
      <c r="H1085" s="272"/>
    </row>
    <row r="1086" ht="15">
      <c r="H1086" s="272"/>
    </row>
    <row r="1087" ht="15">
      <c r="H1087" s="272"/>
    </row>
    <row r="1088" ht="15">
      <c r="H1088" s="272"/>
    </row>
    <row r="1089" ht="15">
      <c r="H1089" s="272"/>
    </row>
    <row r="1090" ht="15">
      <c r="H1090" s="272"/>
    </row>
    <row r="1091" ht="15">
      <c r="H1091" s="272"/>
    </row>
    <row r="1092" ht="15">
      <c r="H1092" s="272"/>
    </row>
    <row r="1093" ht="15">
      <c r="H1093" s="272"/>
    </row>
    <row r="1094" ht="15">
      <c r="H1094" s="272"/>
    </row>
    <row r="1095" ht="15">
      <c r="H1095" s="272"/>
    </row>
    <row r="1096" ht="15">
      <c r="H1096" s="272"/>
    </row>
    <row r="1097" ht="15">
      <c r="H1097" s="272"/>
    </row>
    <row r="1098" ht="15">
      <c r="H1098" s="272"/>
    </row>
    <row r="1099" ht="15">
      <c r="H1099" s="272"/>
    </row>
    <row r="1100" ht="15">
      <c r="H1100" s="272"/>
    </row>
    <row r="1101" ht="15">
      <c r="H1101" s="272"/>
    </row>
    <row r="1102" ht="15">
      <c r="H1102" s="272"/>
    </row>
    <row r="1103" ht="15">
      <c r="H1103" s="272"/>
    </row>
    <row r="1104" ht="15">
      <c r="H1104" s="272"/>
    </row>
    <row r="1105" ht="15">
      <c r="H1105" s="272"/>
    </row>
    <row r="1106" ht="15">
      <c r="H1106" s="272"/>
    </row>
    <row r="1107" ht="15">
      <c r="H1107" s="272"/>
    </row>
    <row r="1108" ht="15">
      <c r="H1108" s="272"/>
    </row>
    <row r="1109" ht="15">
      <c r="H1109" s="272"/>
    </row>
    <row r="1110" ht="15">
      <c r="H1110" s="272"/>
    </row>
    <row r="1111" ht="15">
      <c r="H1111" s="272"/>
    </row>
    <row r="1112" ht="15">
      <c r="H1112" s="272"/>
    </row>
    <row r="1113" ht="15">
      <c r="H1113" s="272"/>
    </row>
    <row r="1114" ht="15">
      <c r="H1114" s="272"/>
    </row>
    <row r="1115" ht="15">
      <c r="H1115" s="272"/>
    </row>
    <row r="1116" ht="15">
      <c r="H1116" s="272"/>
    </row>
    <row r="1117" ht="15">
      <c r="H1117" s="272"/>
    </row>
    <row r="1118" ht="15">
      <c r="H1118" s="272"/>
    </row>
    <row r="1119" ht="15">
      <c r="H1119" s="272"/>
    </row>
    <row r="1120" ht="15">
      <c r="H1120" s="272"/>
    </row>
    <row r="1121" ht="15">
      <c r="H1121" s="272"/>
    </row>
    <row r="1122" ht="15">
      <c r="H1122" s="272"/>
    </row>
    <row r="1123" ht="15">
      <c r="H1123" s="272"/>
    </row>
    <row r="1124" ht="15">
      <c r="H1124" s="272"/>
    </row>
    <row r="1125" ht="15">
      <c r="H1125" s="272"/>
    </row>
    <row r="1126" ht="15">
      <c r="H1126" s="272"/>
    </row>
    <row r="1127" ht="15">
      <c r="H1127" s="272"/>
    </row>
    <row r="1128" ht="15">
      <c r="H1128" s="272"/>
    </row>
    <row r="1129" ht="15">
      <c r="H1129" s="272"/>
    </row>
    <row r="1130" ht="15">
      <c r="H1130" s="272"/>
    </row>
    <row r="1131" ht="15">
      <c r="H1131" s="272"/>
    </row>
    <row r="1132" ht="15">
      <c r="H1132" s="272"/>
    </row>
    <row r="1133" ht="15">
      <c r="H1133" s="272"/>
    </row>
    <row r="1134" ht="15">
      <c r="H1134" s="272"/>
    </row>
    <row r="1135" ht="15">
      <c r="H1135" s="272"/>
    </row>
    <row r="1136" ht="15">
      <c r="H1136" s="272"/>
    </row>
    <row r="1137" ht="15">
      <c r="H1137" s="272"/>
    </row>
    <row r="1138" ht="15">
      <c r="H1138" s="272"/>
    </row>
    <row r="1139" ht="15">
      <c r="H1139" s="272"/>
    </row>
    <row r="1140" ht="15">
      <c r="H1140" s="272"/>
    </row>
    <row r="1141" ht="15">
      <c r="H1141" s="272"/>
    </row>
    <row r="1142" ht="15">
      <c r="H1142" s="272"/>
    </row>
    <row r="1143" ht="15">
      <c r="H1143" s="272"/>
    </row>
    <row r="1144" ht="15">
      <c r="H1144" s="272"/>
    </row>
    <row r="1145" ht="15">
      <c r="H1145" s="272"/>
    </row>
    <row r="1146" ht="15">
      <c r="H1146" s="272"/>
    </row>
    <row r="1147" ht="15">
      <c r="H1147" s="272"/>
    </row>
    <row r="1148" ht="15">
      <c r="H1148" s="272"/>
    </row>
    <row r="1149" ht="15">
      <c r="H1149" s="272"/>
    </row>
    <row r="1150" ht="15">
      <c r="H1150" s="272"/>
    </row>
    <row r="1151" ht="15">
      <c r="H1151" s="272"/>
    </row>
    <row r="1152" ht="15">
      <c r="H1152" s="272"/>
    </row>
    <row r="1153" ht="15">
      <c r="H1153" s="272"/>
    </row>
    <row r="1154" ht="15">
      <c r="H1154" s="272"/>
    </row>
    <row r="1155" ht="15">
      <c r="H1155" s="272"/>
    </row>
    <row r="1156" ht="15">
      <c r="H1156" s="272"/>
    </row>
    <row r="1157" ht="15">
      <c r="H1157" s="272"/>
    </row>
    <row r="1158" ht="15">
      <c r="H1158" s="272"/>
    </row>
    <row r="1159" ht="15">
      <c r="H1159" s="272"/>
    </row>
    <row r="1160" ht="15">
      <c r="H1160" s="272"/>
    </row>
    <row r="1161" ht="15">
      <c r="H1161" s="272"/>
    </row>
    <row r="1162" ht="15">
      <c r="H1162" s="272"/>
    </row>
    <row r="1163" ht="15">
      <c r="H1163" s="272"/>
    </row>
    <row r="1164" ht="15">
      <c r="H1164" s="272"/>
    </row>
    <row r="1165" ht="15">
      <c r="H1165" s="272"/>
    </row>
    <row r="1166" ht="15">
      <c r="H1166" s="272"/>
    </row>
    <row r="1167" ht="15">
      <c r="H1167" s="272"/>
    </row>
    <row r="1168" ht="15">
      <c r="H1168" s="272"/>
    </row>
    <row r="1169" ht="15">
      <c r="H1169" s="272"/>
    </row>
    <row r="1170" ht="15">
      <c r="H1170" s="272"/>
    </row>
    <row r="1171" ht="15">
      <c r="H1171" s="272"/>
    </row>
    <row r="1172" ht="15">
      <c r="H1172" s="272"/>
    </row>
    <row r="1173" ht="15">
      <c r="H1173" s="272"/>
    </row>
    <row r="1174" ht="15">
      <c r="H1174" s="272"/>
    </row>
    <row r="1175" ht="15">
      <c r="H1175" s="272"/>
    </row>
    <row r="1176" ht="15">
      <c r="H1176" s="272"/>
    </row>
    <row r="1177" ht="15">
      <c r="H1177" s="272"/>
    </row>
    <row r="1178" ht="15">
      <c r="H1178" s="272"/>
    </row>
    <row r="1179" ht="15">
      <c r="H1179" s="272"/>
    </row>
    <row r="1180" ht="15">
      <c r="H1180" s="272"/>
    </row>
    <row r="1181" ht="15">
      <c r="H1181" s="272"/>
    </row>
    <row r="1182" ht="15">
      <c r="H1182" s="272"/>
    </row>
    <row r="1183" ht="15">
      <c r="H1183" s="272"/>
    </row>
    <row r="1184" ht="15">
      <c r="H1184" s="272"/>
    </row>
    <row r="1185" ht="15">
      <c r="H1185" s="272"/>
    </row>
    <row r="1186" ht="15">
      <c r="H1186" s="272"/>
    </row>
    <row r="1187" ht="15">
      <c r="H1187" s="272"/>
    </row>
    <row r="1188" ht="15">
      <c r="H1188" s="272"/>
    </row>
    <row r="1189" ht="15">
      <c r="H1189" s="272"/>
    </row>
    <row r="1190" ht="15">
      <c r="H1190" s="272"/>
    </row>
    <row r="1191" ht="15">
      <c r="H1191" s="272"/>
    </row>
    <row r="1192" ht="15">
      <c r="H1192" s="272"/>
    </row>
    <row r="1193" ht="15">
      <c r="H1193" s="272"/>
    </row>
    <row r="1194" ht="15">
      <c r="H1194" s="272"/>
    </row>
    <row r="1195" ht="15">
      <c r="H1195" s="272"/>
    </row>
    <row r="1196" ht="15">
      <c r="H1196" s="272"/>
    </row>
    <row r="1197" ht="15">
      <c r="H1197" s="272"/>
    </row>
    <row r="1198" ht="15">
      <c r="H1198" s="272"/>
    </row>
    <row r="1199" ht="15">
      <c r="H1199" s="272"/>
    </row>
    <row r="1200" ht="15">
      <c r="H1200" s="272"/>
    </row>
    <row r="1201" ht="15">
      <c r="H1201" s="272"/>
    </row>
    <row r="1202" ht="15">
      <c r="H1202" s="272"/>
    </row>
    <row r="1203" ht="15">
      <c r="H1203" s="272"/>
    </row>
    <row r="1204" ht="15">
      <c r="H1204" s="272"/>
    </row>
    <row r="1205" ht="15">
      <c r="H1205" s="272"/>
    </row>
    <row r="1206" ht="15">
      <c r="H1206" s="272"/>
    </row>
    <row r="1207" ht="15">
      <c r="H1207" s="272"/>
    </row>
    <row r="1208" ht="15">
      <c r="H1208" s="272"/>
    </row>
    <row r="1209" ht="15">
      <c r="H1209" s="272"/>
    </row>
    <row r="1210" ht="15">
      <c r="H1210" s="272"/>
    </row>
    <row r="1211" ht="15">
      <c r="H1211" s="272"/>
    </row>
    <row r="1212" ht="15">
      <c r="H1212" s="272"/>
    </row>
    <row r="1213" ht="15">
      <c r="H1213" s="272"/>
    </row>
    <row r="1214" ht="15">
      <c r="H1214" s="272"/>
    </row>
    <row r="1215" ht="15">
      <c r="H1215" s="272"/>
    </row>
    <row r="1216" ht="15">
      <c r="H1216" s="272"/>
    </row>
    <row r="1217" ht="15">
      <c r="H1217" s="272"/>
    </row>
    <row r="1218" ht="15">
      <c r="H1218" s="272"/>
    </row>
    <row r="1219" ht="15">
      <c r="H1219" s="272"/>
    </row>
    <row r="1220" ht="15">
      <c r="H1220" s="272"/>
    </row>
    <row r="1221" ht="15">
      <c r="H1221" s="272"/>
    </row>
    <row r="1222" ht="15">
      <c r="H1222" s="272"/>
    </row>
    <row r="1223" ht="15">
      <c r="H1223" s="272"/>
    </row>
    <row r="1224" ht="15">
      <c r="H1224" s="272"/>
    </row>
    <row r="1225" ht="15">
      <c r="H1225" s="272"/>
    </row>
    <row r="1226" ht="15">
      <c r="H1226" s="272"/>
    </row>
    <row r="1227" ht="15">
      <c r="H1227" s="272"/>
    </row>
    <row r="1228" ht="15">
      <c r="H1228" s="272"/>
    </row>
    <row r="1229" ht="15">
      <c r="H1229" s="272"/>
    </row>
    <row r="1230" ht="15">
      <c r="H1230" s="272"/>
    </row>
    <row r="1231" ht="15">
      <c r="H1231" s="272"/>
    </row>
    <row r="1232" ht="15">
      <c r="H1232" s="272"/>
    </row>
    <row r="1233" ht="15">
      <c r="H1233" s="272"/>
    </row>
    <row r="1234" ht="15">
      <c r="H1234" s="272"/>
    </row>
    <row r="1235" ht="15">
      <c r="H1235" s="272"/>
    </row>
    <row r="1236" ht="15">
      <c r="H1236" s="272"/>
    </row>
    <row r="1237" ht="15">
      <c r="H1237" s="272"/>
    </row>
    <row r="1238" ht="15">
      <c r="H1238" s="272"/>
    </row>
    <row r="1239" ht="15">
      <c r="H1239" s="272"/>
    </row>
    <row r="1240" ht="15">
      <c r="H1240" s="272"/>
    </row>
    <row r="1241" ht="15">
      <c r="H1241" s="272"/>
    </row>
    <row r="1242" ht="15">
      <c r="H1242" s="272"/>
    </row>
    <row r="1243" ht="15">
      <c r="H1243" s="272"/>
    </row>
    <row r="1244" ht="15">
      <c r="H1244" s="272"/>
    </row>
    <row r="1245" ht="15">
      <c r="H1245" s="272"/>
    </row>
    <row r="1246" ht="15">
      <c r="H1246" s="272"/>
    </row>
    <row r="1247" ht="15">
      <c r="H1247" s="272"/>
    </row>
    <row r="1248" ht="15">
      <c r="H1248" s="272"/>
    </row>
    <row r="1249" ht="15">
      <c r="H1249" s="272"/>
    </row>
    <row r="1250" ht="15">
      <c r="H1250" s="272"/>
    </row>
    <row r="1251" ht="15">
      <c r="H1251" s="272"/>
    </row>
    <row r="1252" ht="15">
      <c r="H1252" s="272"/>
    </row>
    <row r="1253" ht="15">
      <c r="H1253" s="272"/>
    </row>
    <row r="1254" ht="15">
      <c r="H1254" s="272"/>
    </row>
    <row r="1255" ht="15">
      <c r="H1255" s="272"/>
    </row>
    <row r="1256" ht="15">
      <c r="H1256" s="272"/>
    </row>
    <row r="1257" ht="15">
      <c r="H1257" s="272"/>
    </row>
    <row r="1258" ht="15">
      <c r="H1258" s="272"/>
    </row>
    <row r="1259" ht="15">
      <c r="H1259" s="272"/>
    </row>
    <row r="1260" ht="15">
      <c r="H1260" s="272"/>
    </row>
    <row r="1261" ht="15">
      <c r="H1261" s="272"/>
    </row>
    <row r="1262" ht="15">
      <c r="H1262" s="272"/>
    </row>
    <row r="1263" ht="15">
      <c r="H1263" s="272"/>
    </row>
    <row r="1264" ht="15">
      <c r="H1264" s="272"/>
    </row>
    <row r="1265" ht="15">
      <c r="H1265" s="272"/>
    </row>
    <row r="1266" ht="15">
      <c r="H1266" s="272"/>
    </row>
    <row r="1267" ht="15">
      <c r="H1267" s="272"/>
    </row>
    <row r="1268" ht="15">
      <c r="H1268" s="272"/>
    </row>
    <row r="1269" ht="15">
      <c r="H1269" s="272"/>
    </row>
    <row r="1270" ht="15">
      <c r="H1270" s="272"/>
    </row>
    <row r="1271" ht="15">
      <c r="H1271" s="272"/>
    </row>
    <row r="1272" ht="15">
      <c r="H1272" s="272"/>
    </row>
    <row r="1273" ht="15">
      <c r="H1273" s="272"/>
    </row>
    <row r="1274" ht="15">
      <c r="H1274" s="272"/>
    </row>
    <row r="1275" ht="15">
      <c r="H1275" s="272"/>
    </row>
    <row r="1276" ht="15">
      <c r="H1276" s="272"/>
    </row>
    <row r="1277" ht="15">
      <c r="H1277" s="272"/>
    </row>
    <row r="1278" ht="15">
      <c r="H1278" s="272"/>
    </row>
    <row r="1279" ht="15">
      <c r="H1279" s="272"/>
    </row>
    <row r="1280" ht="15">
      <c r="H1280" s="272"/>
    </row>
    <row r="1281" ht="15">
      <c r="H1281" s="272"/>
    </row>
    <row r="1282" ht="15">
      <c r="H1282" s="272"/>
    </row>
    <row r="1283" ht="15">
      <c r="H1283" s="272"/>
    </row>
    <row r="1284" ht="15">
      <c r="H1284" s="272"/>
    </row>
    <row r="1285" ht="15">
      <c r="H1285" s="272"/>
    </row>
    <row r="1286" ht="15">
      <c r="H1286" s="272"/>
    </row>
    <row r="1287" ht="15">
      <c r="H1287" s="272"/>
    </row>
    <row r="1288" ht="15">
      <c r="H1288" s="272"/>
    </row>
    <row r="1289" ht="15">
      <c r="H1289" s="272"/>
    </row>
    <row r="1290" ht="15">
      <c r="H1290" s="272"/>
    </row>
    <row r="1291" ht="15">
      <c r="H1291" s="272"/>
    </row>
    <row r="1292" ht="15">
      <c r="H1292" s="272"/>
    </row>
    <row r="1293" ht="15">
      <c r="H1293" s="272"/>
    </row>
    <row r="1294" ht="15">
      <c r="H1294" s="272"/>
    </row>
    <row r="1295" ht="15">
      <c r="H1295" s="272"/>
    </row>
    <row r="1296" ht="15">
      <c r="H1296" s="272"/>
    </row>
    <row r="1297" ht="15">
      <c r="H1297" s="272"/>
    </row>
    <row r="1298" ht="15">
      <c r="H1298" s="272"/>
    </row>
    <row r="1299" ht="15">
      <c r="H1299" s="272"/>
    </row>
    <row r="1300" ht="15">
      <c r="H1300" s="272"/>
    </row>
    <row r="1301" ht="15">
      <c r="H1301" s="272"/>
    </row>
    <row r="1302" ht="15">
      <c r="H1302" s="272"/>
    </row>
    <row r="1303" ht="15">
      <c r="H1303" s="272"/>
    </row>
    <row r="1304" ht="15">
      <c r="H1304" s="272"/>
    </row>
    <row r="1305" ht="15">
      <c r="H1305" s="272"/>
    </row>
    <row r="1306" ht="15">
      <c r="H1306" s="272"/>
    </row>
    <row r="1307" ht="15">
      <c r="H1307" s="272"/>
    </row>
    <row r="1308" ht="15">
      <c r="H1308" s="272"/>
    </row>
    <row r="1309" ht="15">
      <c r="H1309" s="272"/>
    </row>
    <row r="1310" ht="15">
      <c r="H1310" s="272"/>
    </row>
    <row r="1311" ht="15">
      <c r="H1311" s="272"/>
    </row>
    <row r="1312" ht="15">
      <c r="H1312" s="272"/>
    </row>
    <row r="1313" ht="15">
      <c r="H1313" s="272"/>
    </row>
    <row r="1314" ht="15">
      <c r="H1314" s="272"/>
    </row>
    <row r="1315" ht="15">
      <c r="H1315" s="272"/>
    </row>
    <row r="1316" ht="15">
      <c r="H1316" s="272"/>
    </row>
    <row r="1317" ht="15">
      <c r="H1317" s="272"/>
    </row>
    <row r="1318" ht="15">
      <c r="H1318" s="272"/>
    </row>
    <row r="1319" ht="15">
      <c r="H1319" s="272"/>
    </row>
    <row r="1320" ht="15">
      <c r="H1320" s="272"/>
    </row>
    <row r="1321" ht="15">
      <c r="H1321" s="272"/>
    </row>
    <row r="1322" ht="15">
      <c r="H1322" s="272"/>
    </row>
    <row r="1323" ht="15">
      <c r="H1323" s="272"/>
    </row>
    <row r="1324" ht="15">
      <c r="H1324" s="272"/>
    </row>
    <row r="1325" ht="15">
      <c r="H1325" s="272"/>
    </row>
    <row r="1326" ht="15">
      <c r="H1326" s="272"/>
    </row>
    <row r="1327" ht="15">
      <c r="H1327" s="272"/>
    </row>
    <row r="1328" ht="15">
      <c r="H1328" s="272"/>
    </row>
    <row r="1329" ht="15">
      <c r="H1329" s="272"/>
    </row>
    <row r="1330" ht="15">
      <c r="H1330" s="272"/>
    </row>
    <row r="1331" ht="15">
      <c r="H1331" s="272"/>
    </row>
    <row r="1332" ht="15">
      <c r="H1332" s="272"/>
    </row>
    <row r="1333" ht="15">
      <c r="H1333" s="272"/>
    </row>
    <row r="1334" ht="15">
      <c r="H1334" s="272"/>
    </row>
    <row r="1335" ht="15">
      <c r="H1335" s="272"/>
    </row>
    <row r="1336" ht="15">
      <c r="H1336" s="272"/>
    </row>
    <row r="1337" ht="15">
      <c r="H1337" s="272"/>
    </row>
    <row r="1338" ht="15">
      <c r="H1338" s="272"/>
    </row>
    <row r="1339" ht="15">
      <c r="H1339" s="272"/>
    </row>
    <row r="1340" ht="15">
      <c r="H1340" s="272"/>
    </row>
    <row r="1341" ht="15">
      <c r="H1341" s="272"/>
    </row>
    <row r="1342" ht="15">
      <c r="H1342" s="272"/>
    </row>
    <row r="1343" ht="15">
      <c r="H1343" s="272"/>
    </row>
    <row r="1344" ht="15">
      <c r="H1344" s="272"/>
    </row>
    <row r="1345" ht="15">
      <c r="H1345" s="272"/>
    </row>
    <row r="1346" ht="15">
      <c r="H1346" s="272"/>
    </row>
    <row r="1347" ht="15">
      <c r="H1347" s="272"/>
    </row>
    <row r="1348" ht="15">
      <c r="H1348" s="272"/>
    </row>
    <row r="1349" ht="15">
      <c r="H1349" s="272"/>
    </row>
    <row r="1350" ht="15">
      <c r="H1350" s="272"/>
    </row>
    <row r="1351" ht="15">
      <c r="H1351" s="272"/>
    </row>
    <row r="1352" ht="15">
      <c r="H1352" s="272"/>
    </row>
    <row r="1353" ht="15">
      <c r="H1353" s="272"/>
    </row>
    <row r="1354" ht="15">
      <c r="H1354" s="272"/>
    </row>
    <row r="1355" ht="15">
      <c r="H1355" s="272"/>
    </row>
    <row r="1356" ht="15">
      <c r="H1356" s="272"/>
    </row>
    <row r="1357" ht="15">
      <c r="H1357" s="272"/>
    </row>
    <row r="1358" ht="15">
      <c r="H1358" s="272"/>
    </row>
    <row r="1359" ht="15">
      <c r="H1359" s="272"/>
    </row>
    <row r="1360" ht="15">
      <c r="H1360" s="272"/>
    </row>
    <row r="1361" ht="15">
      <c r="H1361" s="272"/>
    </row>
    <row r="1362" ht="15">
      <c r="H1362" s="272"/>
    </row>
    <row r="1363" ht="15">
      <c r="H1363" s="272"/>
    </row>
    <row r="1364" ht="15">
      <c r="H1364" s="272"/>
    </row>
    <row r="1365" ht="15">
      <c r="H1365" s="272"/>
    </row>
    <row r="1366" ht="15">
      <c r="H1366" s="272"/>
    </row>
    <row r="1367" ht="15">
      <c r="H1367" s="272"/>
    </row>
    <row r="1368" ht="15">
      <c r="H1368" s="272"/>
    </row>
    <row r="1369" ht="15">
      <c r="H1369" s="272"/>
    </row>
    <row r="1370" ht="15">
      <c r="H1370" s="272"/>
    </row>
    <row r="1371" ht="15">
      <c r="H1371" s="272"/>
    </row>
    <row r="1372" ht="15">
      <c r="H1372" s="272"/>
    </row>
    <row r="1373" ht="15">
      <c r="H1373" s="272"/>
    </row>
    <row r="1374" ht="15">
      <c r="H1374" s="272"/>
    </row>
    <row r="1375" ht="15">
      <c r="H1375" s="272"/>
    </row>
    <row r="1376" ht="15">
      <c r="H1376" s="272"/>
    </row>
    <row r="1377" ht="15">
      <c r="H1377" s="272"/>
    </row>
    <row r="1378" ht="15">
      <c r="H1378" s="272"/>
    </row>
    <row r="1379" ht="15">
      <c r="H1379" s="272"/>
    </row>
    <row r="1380" ht="15">
      <c r="H1380" s="272"/>
    </row>
    <row r="1381" ht="15">
      <c r="H1381" s="272"/>
    </row>
    <row r="1382" ht="15">
      <c r="H1382" s="272"/>
    </row>
    <row r="1383" ht="15">
      <c r="H1383" s="272"/>
    </row>
    <row r="1384" ht="15">
      <c r="H1384" s="272"/>
    </row>
    <row r="1385" ht="15">
      <c r="H1385" s="272"/>
    </row>
    <row r="1386" ht="15">
      <c r="H1386" s="272"/>
    </row>
    <row r="1387" ht="15">
      <c r="H1387" s="272"/>
    </row>
    <row r="1388" ht="15">
      <c r="H1388" s="272"/>
    </row>
    <row r="1389" ht="15">
      <c r="H1389" s="272"/>
    </row>
    <row r="1390" ht="15">
      <c r="H1390" s="272"/>
    </row>
    <row r="1391" ht="15">
      <c r="H1391" s="272"/>
    </row>
    <row r="1392" ht="15">
      <c r="H1392" s="272"/>
    </row>
    <row r="1393" ht="15">
      <c r="H1393" s="272"/>
    </row>
    <row r="1394" ht="15">
      <c r="H1394" s="272"/>
    </row>
    <row r="1395" ht="15">
      <c r="H1395" s="272"/>
    </row>
    <row r="1396" ht="15">
      <c r="H1396" s="272"/>
    </row>
    <row r="1397" ht="15">
      <c r="H1397" s="272"/>
    </row>
    <row r="1398" ht="15">
      <c r="H1398" s="272"/>
    </row>
    <row r="1399" ht="15">
      <c r="H1399" s="272"/>
    </row>
    <row r="1400" ht="15">
      <c r="H1400" s="272"/>
    </row>
    <row r="1401" ht="15">
      <c r="H1401" s="272"/>
    </row>
    <row r="1402" ht="15">
      <c r="H1402" s="272"/>
    </row>
    <row r="1403" ht="15">
      <c r="H1403" s="272"/>
    </row>
    <row r="1404" ht="15">
      <c r="H1404" s="272"/>
    </row>
    <row r="1405" ht="15">
      <c r="H1405" s="272"/>
    </row>
    <row r="1406" ht="15">
      <c r="H1406" s="272"/>
    </row>
    <row r="1407" ht="15">
      <c r="H1407" s="272"/>
    </row>
    <row r="1408" ht="15">
      <c r="H1408" s="272"/>
    </row>
    <row r="1409" ht="15">
      <c r="H1409" s="272"/>
    </row>
    <row r="1410" ht="15">
      <c r="H1410" s="272"/>
    </row>
    <row r="1411" ht="15">
      <c r="H1411" s="272"/>
    </row>
    <row r="1412" ht="15">
      <c r="H1412" s="272"/>
    </row>
    <row r="1413" ht="15">
      <c r="H1413" s="272"/>
    </row>
    <row r="1414" ht="15">
      <c r="H1414" s="272"/>
    </row>
    <row r="1415" ht="15">
      <c r="H1415" s="272"/>
    </row>
    <row r="1416" ht="15">
      <c r="H1416" s="272"/>
    </row>
    <row r="1417" ht="15">
      <c r="H1417" s="272"/>
    </row>
    <row r="1418" ht="15">
      <c r="H1418" s="272"/>
    </row>
    <row r="1419" ht="15">
      <c r="H1419" s="272"/>
    </row>
    <row r="1420" ht="15">
      <c r="H1420" s="272"/>
    </row>
    <row r="1421" ht="15">
      <c r="H1421" s="272"/>
    </row>
    <row r="1422" ht="15">
      <c r="H1422" s="272"/>
    </row>
    <row r="1423" ht="15">
      <c r="H1423" s="272"/>
    </row>
    <row r="1424" ht="15">
      <c r="H1424" s="272"/>
    </row>
    <row r="1425" ht="15">
      <c r="H1425" s="272"/>
    </row>
    <row r="1426" ht="15">
      <c r="H1426" s="272"/>
    </row>
    <row r="1427" ht="15">
      <c r="H1427" s="272"/>
    </row>
    <row r="1428" ht="15">
      <c r="H1428" s="272"/>
    </row>
    <row r="1429" ht="15">
      <c r="H1429" s="272"/>
    </row>
    <row r="1430" ht="15">
      <c r="H1430" s="272"/>
    </row>
    <row r="1431" ht="15">
      <c r="H1431" s="272"/>
    </row>
    <row r="1432" ht="15">
      <c r="H1432" s="272"/>
    </row>
    <row r="1433" ht="15">
      <c r="H1433" s="272"/>
    </row>
    <row r="1434" ht="15">
      <c r="H1434" s="272"/>
    </row>
    <row r="1435" ht="15">
      <c r="H1435" s="272"/>
    </row>
    <row r="1436" ht="15">
      <c r="H1436" s="272"/>
    </row>
    <row r="1437" ht="15">
      <c r="H1437" s="272"/>
    </row>
    <row r="1438" ht="15">
      <c r="H1438" s="272"/>
    </row>
    <row r="1439" ht="15">
      <c r="H1439" s="272"/>
    </row>
    <row r="1440" ht="15">
      <c r="H1440" s="272"/>
    </row>
    <row r="1441" ht="15">
      <c r="H1441" s="272"/>
    </row>
    <row r="1442" ht="15">
      <c r="H1442" s="272"/>
    </row>
    <row r="1443" ht="15">
      <c r="H1443" s="272"/>
    </row>
    <row r="1444" ht="15">
      <c r="H1444" s="272"/>
    </row>
    <row r="1445" ht="15">
      <c r="H1445" s="272"/>
    </row>
    <row r="1446" ht="15">
      <c r="H1446" s="272"/>
    </row>
    <row r="1447" ht="15">
      <c r="H1447" s="272"/>
    </row>
    <row r="1448" ht="15">
      <c r="H1448" s="272"/>
    </row>
    <row r="1449" ht="15">
      <c r="H1449" s="272"/>
    </row>
    <row r="1450" ht="15">
      <c r="H1450" s="272"/>
    </row>
    <row r="1451" ht="15">
      <c r="H1451" s="272"/>
    </row>
    <row r="1452" ht="15">
      <c r="H1452" s="272"/>
    </row>
    <row r="1453" ht="15">
      <c r="H1453" s="272"/>
    </row>
    <row r="1454" ht="15">
      <c r="H1454" s="272"/>
    </row>
    <row r="1455" ht="15">
      <c r="H1455" s="272"/>
    </row>
    <row r="1456" ht="15">
      <c r="H1456" s="272"/>
    </row>
    <row r="1457" ht="15">
      <c r="H1457" s="272"/>
    </row>
    <row r="1458" ht="15">
      <c r="H1458" s="272"/>
    </row>
    <row r="1459" ht="15">
      <c r="H1459" s="272"/>
    </row>
    <row r="1460" ht="15">
      <c r="H1460" s="272"/>
    </row>
    <row r="1461" ht="15">
      <c r="H1461" s="272"/>
    </row>
    <row r="1462" ht="15">
      <c r="H1462" s="272"/>
    </row>
    <row r="1463" ht="15">
      <c r="H1463" s="272"/>
    </row>
    <row r="1464" ht="15">
      <c r="H1464" s="272"/>
    </row>
    <row r="1465" ht="15">
      <c r="H1465" s="272"/>
    </row>
    <row r="1466" ht="15">
      <c r="H1466" s="272"/>
    </row>
    <row r="1467" ht="15">
      <c r="H1467" s="272"/>
    </row>
    <row r="1468" ht="15">
      <c r="H1468" s="272"/>
    </row>
    <row r="1469" ht="15">
      <c r="H1469" s="272"/>
    </row>
    <row r="1470" ht="15">
      <c r="H1470" s="272"/>
    </row>
    <row r="1471" ht="15">
      <c r="H1471" s="272"/>
    </row>
    <row r="1472" ht="15">
      <c r="H1472" s="272"/>
    </row>
    <row r="1473" ht="15">
      <c r="H1473" s="272"/>
    </row>
    <row r="1474" ht="15">
      <c r="H1474" s="272"/>
    </row>
    <row r="1475" ht="15">
      <c r="H1475" s="272"/>
    </row>
    <row r="1476" ht="15">
      <c r="H1476" s="272"/>
    </row>
    <row r="1477" ht="15">
      <c r="H1477" s="272"/>
    </row>
    <row r="1478" ht="15">
      <c r="H1478" s="272"/>
    </row>
    <row r="1479" ht="15">
      <c r="H1479" s="272"/>
    </row>
    <row r="1480" ht="15">
      <c r="H1480" s="272"/>
    </row>
    <row r="1481" ht="15">
      <c r="H1481" s="272"/>
    </row>
    <row r="1482" ht="15">
      <c r="H1482" s="272"/>
    </row>
    <row r="1483" ht="15">
      <c r="H1483" s="272"/>
    </row>
    <row r="1484" ht="15">
      <c r="H1484" s="272"/>
    </row>
    <row r="1485" ht="15">
      <c r="H1485" s="272"/>
    </row>
    <row r="1486" ht="15">
      <c r="H1486" s="272"/>
    </row>
    <row r="1487" ht="15">
      <c r="H1487" s="272"/>
    </row>
    <row r="1488" ht="15">
      <c r="H1488" s="272"/>
    </row>
    <row r="1489" ht="15">
      <c r="H1489" s="272"/>
    </row>
    <row r="1490" ht="15">
      <c r="H1490" s="272"/>
    </row>
    <row r="1491" ht="15">
      <c r="H1491" s="272"/>
    </row>
    <row r="1492" ht="15">
      <c r="H1492" s="272"/>
    </row>
    <row r="1493" ht="15">
      <c r="H1493" s="272"/>
    </row>
    <row r="1494" ht="15">
      <c r="H1494" s="272"/>
    </row>
    <row r="1495" ht="15">
      <c r="H1495" s="272"/>
    </row>
    <row r="1496" ht="15">
      <c r="H1496" s="272"/>
    </row>
    <row r="1497" ht="15">
      <c r="H1497" s="272"/>
    </row>
    <row r="1498" ht="15">
      <c r="H1498" s="272"/>
    </row>
    <row r="1499" ht="15">
      <c r="H1499" s="272"/>
    </row>
    <row r="1500" ht="15">
      <c r="H1500" s="272"/>
    </row>
    <row r="1501" ht="15">
      <c r="H1501" s="272"/>
    </row>
    <row r="1502" ht="15">
      <c r="H1502" s="272"/>
    </row>
    <row r="1503" ht="15">
      <c r="H1503" s="272"/>
    </row>
    <row r="1504" ht="15">
      <c r="H1504" s="272"/>
    </row>
    <row r="1505" ht="15">
      <c r="H1505" s="272"/>
    </row>
    <row r="1506" ht="15">
      <c r="H1506" s="272"/>
    </row>
    <row r="1507" ht="15">
      <c r="H1507" s="272"/>
    </row>
    <row r="1508" ht="15">
      <c r="H1508" s="272"/>
    </row>
    <row r="1509" ht="15">
      <c r="H1509" s="272"/>
    </row>
    <row r="1510" ht="15">
      <c r="H1510" s="272"/>
    </row>
    <row r="1511" ht="15">
      <c r="H1511" s="272"/>
    </row>
    <row r="1512" ht="15">
      <c r="H1512" s="272"/>
    </row>
    <row r="1513" ht="15">
      <c r="H1513" s="272"/>
    </row>
    <row r="1514" ht="15">
      <c r="H1514" s="272"/>
    </row>
    <row r="1515" ht="15">
      <c r="H1515" s="272"/>
    </row>
    <row r="1516" ht="15">
      <c r="H1516" s="272"/>
    </row>
    <row r="1517" ht="15">
      <c r="H1517" s="272"/>
    </row>
    <row r="1518" ht="15">
      <c r="H1518" s="272"/>
    </row>
    <row r="1519" ht="15">
      <c r="H1519" s="272"/>
    </row>
    <row r="1520" ht="15">
      <c r="H1520" s="272"/>
    </row>
    <row r="1521" ht="15">
      <c r="H1521" s="272"/>
    </row>
    <row r="1522" ht="15">
      <c r="H1522" s="272"/>
    </row>
    <row r="1523" ht="15">
      <c r="H1523" s="272"/>
    </row>
    <row r="1524" ht="15">
      <c r="H1524" s="272"/>
    </row>
    <row r="1525" ht="15">
      <c r="H1525" s="272"/>
    </row>
    <row r="1526" ht="15">
      <c r="H1526" s="272"/>
    </row>
    <row r="1527" ht="15">
      <c r="H1527" s="272"/>
    </row>
    <row r="1528" ht="15">
      <c r="H1528" s="272"/>
    </row>
    <row r="1529" ht="15">
      <c r="H1529" s="272"/>
    </row>
    <row r="1530" ht="15">
      <c r="H1530" s="272"/>
    </row>
    <row r="1531" ht="15">
      <c r="H1531" s="272"/>
    </row>
    <row r="1532" ht="15">
      <c r="H1532" s="272"/>
    </row>
    <row r="1533" ht="15">
      <c r="H1533" s="272"/>
    </row>
    <row r="1534" ht="15">
      <c r="H1534" s="272"/>
    </row>
    <row r="1535" ht="15">
      <c r="H1535" s="272"/>
    </row>
    <row r="1536" ht="15">
      <c r="H1536" s="272"/>
    </row>
    <row r="1537" ht="15">
      <c r="H1537" s="272"/>
    </row>
    <row r="1538" ht="15">
      <c r="H1538" s="272"/>
    </row>
    <row r="1539" ht="15">
      <c r="H1539" s="272"/>
    </row>
    <row r="1540" ht="15">
      <c r="H1540" s="272"/>
    </row>
    <row r="1541" ht="15">
      <c r="H1541" s="272"/>
    </row>
    <row r="1542" ht="15">
      <c r="H1542" s="272"/>
    </row>
    <row r="1543" ht="15">
      <c r="H1543" s="272"/>
    </row>
    <row r="1544" ht="15">
      <c r="H1544" s="272"/>
    </row>
    <row r="1545" ht="15">
      <c r="H1545" s="272"/>
    </row>
    <row r="1546" ht="15">
      <c r="H1546" s="272"/>
    </row>
    <row r="1547" ht="15">
      <c r="H1547" s="272"/>
    </row>
    <row r="1548" ht="15">
      <c r="H1548" s="272"/>
    </row>
    <row r="1549" ht="15">
      <c r="H1549" s="272"/>
    </row>
    <row r="1550" ht="15">
      <c r="H1550" s="272"/>
    </row>
    <row r="1551" ht="15">
      <c r="H1551" s="272"/>
    </row>
    <row r="1552" ht="15">
      <c r="H1552" s="272"/>
    </row>
    <row r="1553" ht="15">
      <c r="H1553" s="272"/>
    </row>
    <row r="1554" ht="15">
      <c r="H1554" s="272"/>
    </row>
    <row r="1555" ht="15">
      <c r="H1555" s="272"/>
    </row>
    <row r="1556" ht="15">
      <c r="H1556" s="272"/>
    </row>
    <row r="1557" ht="15">
      <c r="H1557" s="272"/>
    </row>
    <row r="1558" ht="15">
      <c r="H1558" s="272"/>
    </row>
    <row r="1559" ht="15">
      <c r="H1559" s="272"/>
    </row>
    <row r="1560" ht="15">
      <c r="H1560" s="272"/>
    </row>
    <row r="1561" ht="15">
      <c r="H1561" s="272"/>
    </row>
    <row r="1562" ht="15">
      <c r="H1562" s="272"/>
    </row>
    <row r="1563" ht="15">
      <c r="H1563" s="272"/>
    </row>
    <row r="1564" ht="15">
      <c r="H1564" s="272"/>
    </row>
    <row r="1565" ht="15">
      <c r="H1565" s="272"/>
    </row>
    <row r="1566" ht="15">
      <c r="H1566" s="272"/>
    </row>
    <row r="1567" ht="15">
      <c r="H1567" s="272"/>
    </row>
    <row r="1568" ht="15">
      <c r="H1568" s="272"/>
    </row>
    <row r="1569" ht="15">
      <c r="H1569" s="272"/>
    </row>
    <row r="1570" ht="15">
      <c r="H1570" s="272"/>
    </row>
    <row r="1571" ht="15">
      <c r="H1571" s="272"/>
    </row>
    <row r="1572" ht="15">
      <c r="H1572" s="272"/>
    </row>
    <row r="1573" ht="15">
      <c r="H1573" s="272"/>
    </row>
    <row r="1574" ht="15">
      <c r="H1574" s="272"/>
    </row>
    <row r="1575" ht="15">
      <c r="H1575" s="272"/>
    </row>
    <row r="1576" ht="15">
      <c r="H1576" s="272"/>
    </row>
    <row r="1577" ht="15">
      <c r="H1577" s="272"/>
    </row>
    <row r="1578" ht="15">
      <c r="H1578" s="272"/>
    </row>
    <row r="1579" ht="15">
      <c r="H1579" s="272"/>
    </row>
    <row r="1580" ht="15">
      <c r="H1580" s="272"/>
    </row>
    <row r="1581" ht="15">
      <c r="H1581" s="272"/>
    </row>
    <row r="1582" ht="15">
      <c r="H1582" s="272"/>
    </row>
    <row r="1583" ht="15">
      <c r="H1583" s="272"/>
    </row>
    <row r="1584" ht="15">
      <c r="H1584" s="272"/>
    </row>
    <row r="1585" ht="15">
      <c r="H1585" s="272"/>
    </row>
    <row r="1586" ht="15">
      <c r="H1586" s="272"/>
    </row>
    <row r="1587" ht="15">
      <c r="H1587" s="272"/>
    </row>
    <row r="1588" ht="15">
      <c r="H1588" s="272"/>
    </row>
    <row r="1589" ht="15">
      <c r="H1589" s="272"/>
    </row>
    <row r="1590" ht="15">
      <c r="H1590" s="272"/>
    </row>
    <row r="1591" ht="15">
      <c r="H1591" s="272"/>
    </row>
    <row r="1592" ht="15">
      <c r="H1592" s="272"/>
    </row>
    <row r="1593" ht="15">
      <c r="H1593" s="272"/>
    </row>
    <row r="1594" ht="15">
      <c r="H1594" s="272"/>
    </row>
    <row r="1595" ht="15">
      <c r="H1595" s="272"/>
    </row>
    <row r="1596" ht="15">
      <c r="H1596" s="272"/>
    </row>
    <row r="1597" ht="15">
      <c r="H1597" s="272"/>
    </row>
    <row r="1598" ht="15">
      <c r="H1598" s="272"/>
    </row>
    <row r="1599" ht="15">
      <c r="H1599" s="272"/>
    </row>
    <row r="1600" ht="15">
      <c r="H1600" s="272"/>
    </row>
    <row r="1601" ht="15">
      <c r="H1601" s="272"/>
    </row>
    <row r="1602" ht="15">
      <c r="H1602" s="272"/>
    </row>
    <row r="1603" ht="15">
      <c r="H1603" s="272"/>
    </row>
    <row r="1604" ht="15">
      <c r="H1604" s="272"/>
    </row>
    <row r="1605" ht="15">
      <c r="H1605" s="272"/>
    </row>
    <row r="1606" ht="15">
      <c r="H1606" s="272"/>
    </row>
    <row r="1607" ht="15">
      <c r="H1607" s="272"/>
    </row>
    <row r="1608" ht="15">
      <c r="H1608" s="272"/>
    </row>
    <row r="1609" ht="15">
      <c r="H1609" s="272"/>
    </row>
    <row r="1610" ht="15">
      <c r="H1610" s="272"/>
    </row>
    <row r="1611" ht="15">
      <c r="H1611" s="272"/>
    </row>
    <row r="1612" ht="15">
      <c r="H1612" s="272"/>
    </row>
    <row r="1613" ht="15">
      <c r="H1613" s="272"/>
    </row>
    <row r="1614" ht="15">
      <c r="H1614" s="272"/>
    </row>
    <row r="1615" ht="15">
      <c r="H1615" s="272"/>
    </row>
    <row r="1616" ht="15">
      <c r="H1616" s="272"/>
    </row>
    <row r="1617" ht="15">
      <c r="H1617" s="272"/>
    </row>
    <row r="1618" ht="15">
      <c r="H1618" s="272"/>
    </row>
    <row r="1619" ht="15">
      <c r="H1619" s="272"/>
    </row>
    <row r="1620" ht="15">
      <c r="H1620" s="272"/>
    </row>
    <row r="1621" ht="15">
      <c r="H1621" s="272"/>
    </row>
    <row r="1622" ht="15">
      <c r="H1622" s="272"/>
    </row>
    <row r="1623" ht="15">
      <c r="H1623" s="272"/>
    </row>
    <row r="1624" ht="15">
      <c r="H1624" s="272"/>
    </row>
    <row r="1625" ht="15">
      <c r="H1625" s="272"/>
    </row>
    <row r="1626" ht="15">
      <c r="H1626" s="272"/>
    </row>
    <row r="1627" ht="15">
      <c r="H1627" s="272"/>
    </row>
    <row r="1628" ht="15">
      <c r="H1628" s="272"/>
    </row>
    <row r="1629" ht="15">
      <c r="H1629" s="272"/>
    </row>
    <row r="1630" ht="15">
      <c r="H1630" s="272"/>
    </row>
    <row r="1631" ht="15">
      <c r="H1631" s="272"/>
    </row>
    <row r="1632" ht="15">
      <c r="H1632" s="272"/>
    </row>
    <row r="1633" ht="15">
      <c r="H1633" s="272"/>
    </row>
    <row r="1634" ht="15">
      <c r="H1634" s="272"/>
    </row>
    <row r="1635" ht="15">
      <c r="H1635" s="272"/>
    </row>
    <row r="1636" ht="15">
      <c r="H1636" s="272"/>
    </row>
    <row r="1637" ht="15">
      <c r="H1637" s="272"/>
    </row>
    <row r="1638" ht="15">
      <c r="H1638" s="272"/>
    </row>
    <row r="1639" ht="15">
      <c r="H1639" s="272"/>
    </row>
    <row r="1640" ht="15">
      <c r="H1640" s="272"/>
    </row>
    <row r="1641" ht="15">
      <c r="H1641" s="272"/>
    </row>
    <row r="1642" ht="15">
      <c r="H1642" s="272"/>
    </row>
    <row r="1643" ht="15">
      <c r="H1643" s="272"/>
    </row>
    <row r="1644" ht="15">
      <c r="H1644" s="272"/>
    </row>
    <row r="1645" ht="15">
      <c r="H1645" s="272"/>
    </row>
    <row r="1646" ht="15">
      <c r="H1646" s="272"/>
    </row>
    <row r="1647" ht="15">
      <c r="H1647" s="272"/>
    </row>
    <row r="1648" ht="15">
      <c r="H1648" s="272"/>
    </row>
    <row r="1649" ht="15">
      <c r="H1649" s="272"/>
    </row>
    <row r="1650" ht="15">
      <c r="H1650" s="272"/>
    </row>
    <row r="1651" ht="15">
      <c r="H1651" s="272"/>
    </row>
    <row r="1652" ht="15">
      <c r="H1652" s="272"/>
    </row>
    <row r="1653" ht="15">
      <c r="H1653" s="272"/>
    </row>
    <row r="1654" ht="15">
      <c r="H1654" s="272"/>
    </row>
    <row r="1655" ht="15">
      <c r="H1655" s="272"/>
    </row>
    <row r="1656" ht="15">
      <c r="H1656" s="272"/>
    </row>
    <row r="1657" ht="15">
      <c r="H1657" s="272"/>
    </row>
    <row r="1658" ht="15">
      <c r="H1658" s="272"/>
    </row>
    <row r="1659" ht="15">
      <c r="H1659" s="272"/>
    </row>
    <row r="1660" ht="15">
      <c r="H1660" s="272"/>
    </row>
    <row r="1661" ht="15">
      <c r="H1661" s="272"/>
    </row>
    <row r="1662" ht="15">
      <c r="H1662" s="272"/>
    </row>
    <row r="1663" ht="15">
      <c r="H1663" s="272"/>
    </row>
    <row r="1664" ht="15">
      <c r="H1664" s="272"/>
    </row>
    <row r="1665" ht="15">
      <c r="H1665" s="272"/>
    </row>
    <row r="1666" ht="15">
      <c r="H1666" s="272"/>
    </row>
  </sheetData>
  <sheetProtection sheet="1" objects="1" scenarios="1"/>
  <mergeCells count="65">
    <mergeCell ref="H51:H52"/>
    <mergeCell ref="H64:H65"/>
    <mergeCell ref="H72:H74"/>
    <mergeCell ref="H95:H107"/>
    <mergeCell ref="H5:H9"/>
    <mergeCell ref="H18:H23"/>
    <mergeCell ref="H26:H27"/>
    <mergeCell ref="H30:H34"/>
    <mergeCell ref="H37:H41"/>
    <mergeCell ref="F72:F74"/>
    <mergeCell ref="G72:G74"/>
    <mergeCell ref="A5:A11"/>
    <mergeCell ref="B5:B11"/>
    <mergeCell ref="C5:C9"/>
    <mergeCell ref="B26:B29"/>
    <mergeCell ref="C26:C27"/>
    <mergeCell ref="D5:D9"/>
    <mergeCell ref="E5:E9"/>
    <mergeCell ref="F5:F9"/>
    <mergeCell ref="B18:B23"/>
    <mergeCell ref="C18:C23"/>
    <mergeCell ref="D18:D23"/>
    <mergeCell ref="E18:E23"/>
    <mergeCell ref="F18:F23"/>
    <mergeCell ref="B30:B36"/>
    <mergeCell ref="C30:C34"/>
    <mergeCell ref="D30:D34"/>
    <mergeCell ref="E30:E34"/>
    <mergeCell ref="F30:F34"/>
    <mergeCell ref="B37:B43"/>
    <mergeCell ref="C37:C41"/>
    <mergeCell ref="D37:D41"/>
    <mergeCell ref="E37:E41"/>
    <mergeCell ref="F37:F41"/>
    <mergeCell ref="A47:A49"/>
    <mergeCell ref="B47:B49"/>
    <mergeCell ref="C51:C52"/>
    <mergeCell ref="D51:D52"/>
    <mergeCell ref="E51:E52"/>
    <mergeCell ref="A64:A65"/>
    <mergeCell ref="C64:C65"/>
    <mergeCell ref="D64:D65"/>
    <mergeCell ref="E64:E65"/>
    <mergeCell ref="F64:F65"/>
    <mergeCell ref="A72:A76"/>
    <mergeCell ref="B72:B76"/>
    <mergeCell ref="C72:C74"/>
    <mergeCell ref="D72:D74"/>
    <mergeCell ref="E72:E74"/>
    <mergeCell ref="C95:C107"/>
    <mergeCell ref="D95:D107"/>
    <mergeCell ref="E95:E107"/>
    <mergeCell ref="F95:F107"/>
    <mergeCell ref="G5:G9"/>
    <mergeCell ref="G18:G23"/>
    <mergeCell ref="G26:G27"/>
    <mergeCell ref="G30:G34"/>
    <mergeCell ref="G37:G41"/>
    <mergeCell ref="G51:G52"/>
    <mergeCell ref="G64:G65"/>
    <mergeCell ref="G95:G107"/>
    <mergeCell ref="F51:F52"/>
    <mergeCell ref="D26:D27"/>
    <mergeCell ref="E26:E27"/>
    <mergeCell ref="F26:F27"/>
  </mergeCells>
  <dataValidations count="6">
    <dataValidation type="list" allowBlank="1" showInputMessage="1" showErrorMessage="1" sqref="E115">
      <formula1>"'-, '+, Neutral"</formula1>
    </dataValidation>
    <dataValidation type="list" allowBlank="1" showInputMessage="1" showErrorMessage="1" sqref="F109:F110 F95:F107 F88:F89 F83 F80 F72 F76:F77 F12 F64:F69 F61:F62 F57:F59 F5:F9 F51:F55 F14:F47 F86 F114:F115">
      <formula1>"Large (there is a big impact on those assets that are affected), Moderate (there is a medium-sized impact on those assets that are affected), Small (the impact on assets affected only likely to be minor)"</formula1>
    </dataValidation>
    <dataValidation type="list" allowBlank="1" showInputMessage="1" showErrorMessage="1" sqref="E95:E107 E86 E88:E89 E83 E80 E72:E74 E76:E77 E12 E64:E69 E61:E62 E58:E59 E14:E47 E51:E55 E109:E110 E114">
      <formula1>"'-, '+, Neutral, '+ and -"</formula1>
    </dataValidation>
    <dataValidation type="list" allowBlank="1" showInputMessage="1" showErrorMessage="1" sqref="E5:E9">
      <formula1>"'-, '+, Neutral, '+ and -, Not relevant"</formula1>
    </dataValidation>
    <dataValidation type="list" allowBlank="1" showInputMessage="1" showErrorMessage="1" sqref="G5:G115">
      <formula1>"Very significant (all or almost all assets in this category are affected), Significant (the great majority of assets affected in this category are affected), Slightly significant (assets are affected in specific areas only), Not very significant (or none)"</formula1>
    </dataValidation>
    <dataValidation type="list" allowBlank="1" showInputMessage="1" showErrorMessage="1" sqref="H5:H115">
      <formula1>$H$118:$H$120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8" scale="52"/>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Y119"/>
  <sheetViews>
    <sheetView zoomScale="85" zoomScaleNormal="85" workbookViewId="0" topLeftCell="A1"/>
  </sheetViews>
  <sheetFormatPr defaultColWidth="9.140625" defaultRowHeight="15"/>
  <cols>
    <col min="1" max="1" width="18.7109375" style="14" customWidth="1"/>
    <col min="2" max="2" width="19.8515625" style="14" customWidth="1"/>
    <col min="3" max="3" width="9.140625" style="14" customWidth="1"/>
    <col min="4" max="4" width="11.28125" style="140" customWidth="1"/>
    <col min="5" max="5" width="12.8515625" style="140" customWidth="1"/>
    <col min="6" max="6" width="13.57421875" style="140" customWidth="1"/>
    <col min="7" max="7" width="13.8515625" style="140" customWidth="1"/>
    <col min="8" max="8" width="11.8515625" style="370" customWidth="1"/>
    <col min="9" max="9" width="15.7109375" style="141" customWidth="1"/>
    <col min="10" max="13" width="19.28125" style="152" hidden="1" customWidth="1"/>
    <col min="14" max="14" width="20.140625" style="14" customWidth="1"/>
    <col min="15" max="15" width="11.421875" style="14" customWidth="1"/>
    <col min="16" max="16" width="11.57421875" style="14" customWidth="1"/>
    <col min="17" max="17" width="11.8515625" style="14" customWidth="1"/>
    <col min="18" max="18" width="11.7109375" style="14" customWidth="1"/>
    <col min="19" max="19" width="11.28125" style="14" customWidth="1"/>
    <col min="20" max="20" width="11.7109375" style="14" customWidth="1"/>
    <col min="21" max="21" width="11.140625" style="14" customWidth="1"/>
    <col min="22" max="22" width="11.8515625" style="291" customWidth="1"/>
    <col min="23" max="23" width="9.140625" style="14" customWidth="1"/>
    <col min="24" max="25" width="9.140625" style="14" hidden="1" customWidth="1"/>
    <col min="26" max="16384" width="9.140625" style="14" customWidth="1"/>
  </cols>
  <sheetData>
    <row r="1" spans="1:14" ht="91.5" customHeight="1" thickBot="1">
      <c r="A1" s="14" t="s">
        <v>39</v>
      </c>
      <c r="B1" s="14">
        <f>'Summary of area'!C3</f>
        <v>0</v>
      </c>
      <c r="E1" s="14"/>
      <c r="F1" s="14"/>
      <c r="G1" s="14"/>
      <c r="I1" s="647" t="s">
        <v>787</v>
      </c>
      <c r="J1" s="648"/>
      <c r="K1" s="648"/>
      <c r="L1" s="648"/>
      <c r="M1" s="648"/>
      <c r="N1" s="649"/>
    </row>
    <row r="2" spans="1:14" ht="51.75" thickBot="1">
      <c r="A2" s="473" t="s">
        <v>17</v>
      </c>
      <c r="E2" s="14"/>
      <c r="F2" s="14"/>
      <c r="G2" s="14"/>
      <c r="I2" s="95" t="s">
        <v>898</v>
      </c>
      <c r="J2" s="153"/>
      <c r="K2" s="153"/>
      <c r="L2" s="153"/>
      <c r="M2" s="153"/>
      <c r="N2" s="144" t="s">
        <v>899</v>
      </c>
    </row>
    <row r="3" spans="1:18" ht="54" customHeight="1">
      <c r="A3" s="474"/>
      <c r="E3" s="14"/>
      <c r="F3" s="14"/>
      <c r="G3" s="14"/>
      <c r="I3" s="95">
        <f>ROUND(SUM(O:U),3-LEN(INT((SUM(O:U)))))</f>
        <v>0</v>
      </c>
      <c r="J3" s="153"/>
      <c r="K3" s="153"/>
      <c r="L3" s="153"/>
      <c r="M3" s="153"/>
      <c r="N3" s="340">
        <f>ROUND(SUM(Sheet1!$G$20:$AI$20),1-LEN(INT(Sheet1!$G$20:$AI$20)))</f>
        <v>0</v>
      </c>
      <c r="O3" s="645" t="str">
        <f>"Benefits for "&amp;'Summary of area'!C3&amp;" only.  It is not appropriate to add benefits from IDBs as this is likely to significantly under-estimate cumulative benefits"</f>
        <v>Benefits for  only.  It is not appropriate to add benefits from IDBs as this is likely to significantly under-estimate cumulative benefits</v>
      </c>
      <c r="P3" s="646"/>
      <c r="Q3" s="646"/>
      <c r="R3" s="646"/>
    </row>
    <row r="4" spans="1:22" ht="39.75" thickBot="1">
      <c r="A4" s="684" t="s">
        <v>0</v>
      </c>
      <c r="B4" s="685"/>
      <c r="D4" s="140" t="s">
        <v>140</v>
      </c>
      <c r="E4" s="140" t="s">
        <v>141</v>
      </c>
      <c r="F4" s="140" t="s">
        <v>142</v>
      </c>
      <c r="G4" s="140" t="s">
        <v>809</v>
      </c>
      <c r="H4" s="370" t="s">
        <v>810</v>
      </c>
      <c r="I4" s="141" t="s">
        <v>143</v>
      </c>
      <c r="N4" s="339" t="s">
        <v>144</v>
      </c>
      <c r="O4" s="151" t="s">
        <v>186</v>
      </c>
      <c r="P4" s="151" t="s">
        <v>187</v>
      </c>
      <c r="Q4" s="151" t="s">
        <v>192</v>
      </c>
      <c r="R4" s="151" t="s">
        <v>188</v>
      </c>
      <c r="S4" s="151" t="s">
        <v>189</v>
      </c>
      <c r="T4" s="151" t="s">
        <v>172</v>
      </c>
      <c r="U4" s="151" t="s">
        <v>191</v>
      </c>
      <c r="V4" s="291" t="s">
        <v>626</v>
      </c>
    </row>
    <row r="5" spans="1:25" ht="13.5" thickBot="1">
      <c r="A5" s="606" t="s">
        <v>1</v>
      </c>
      <c r="B5" s="608" t="s">
        <v>19</v>
      </c>
      <c r="C5" s="608" t="s">
        <v>52</v>
      </c>
      <c r="D5" s="663">
        <f>IF('Describe baseline'!E5="-","+",IF('Describe baseline'!E5="+","-",'Describe baseline'!E5))</f>
        <v>0</v>
      </c>
      <c r="E5" s="663" t="str">
        <f>IF(ISERROR(LEFT('Describe baseline'!F5,'OUTPUT-all'!J5-2)),"",LEFT('Describe baseline'!F5,'OUTPUT-all'!J5-2))</f>
        <v/>
      </c>
      <c r="F5" s="663" t="str">
        <f>IF(ISERROR(LEFT('Describe baseline'!G5,'OUTPUT-all'!K5-2)),"",LEFT('Describe baseline'!G5,'OUTPUT-all'!K5-2))</f>
        <v/>
      </c>
      <c r="G5" s="663" t="str">
        <f>IF(ISERROR(LEFT('Describe baseline'!H5,'OUTPUT-all'!L5-2)),"",LEFT('Describe baseline'!H5,'OUTPUT-all'!L5-1))</f>
        <v/>
      </c>
      <c r="H5" s="663" t="str">
        <f>IF(ISERROR(LEFT(Carbon!H33,'OUTPUT-all'!M5-2)),"",LEFT(Carbon!H33,'OUTPUT-all'!M5-1))</f>
        <v>High</v>
      </c>
      <c r="I5" s="658" t="str">
        <f>IF(Carbon!C33="Enter ha",IF(D5="Neutral","Not relevant","Qualitative"),ROUND(Carbon!F33,3-LEN(INT(Carbon!F33))))</f>
        <v>Qualitative</v>
      </c>
      <c r="J5" s="154" t="e">
        <f>FIND("(",'Describe baseline'!F5)</f>
        <v>#VALUE!</v>
      </c>
      <c r="K5" s="154" t="e">
        <f>FIND("(",'Describe baseline'!G5)</f>
        <v>#VALUE!</v>
      </c>
      <c r="L5" s="154" t="e">
        <f>FIND(":",'Describe baseline'!H5)</f>
        <v>#VALUE!</v>
      </c>
      <c r="M5" s="154">
        <f>FIND(":",Carbon!H33)</f>
        <v>5</v>
      </c>
      <c r="N5" s="61" t="s">
        <v>145</v>
      </c>
      <c r="O5" s="147" t="str">
        <f>IF('Identify beneficiaries'!E5="Y",IF(OR($I5="Qualitative",$I5="Not relevant"),$I5,ROUND($I5*'Summary of area'!$E$31/'Identify beneficiaries'!$L5,3-LEN(INT($I5*'Summary of area'!$E$31/'Identify beneficiaries'!$L5)))),"")</f>
        <v/>
      </c>
      <c r="P5" s="147" t="str">
        <f>IF('Identify beneficiaries'!F5="Y",IF(OR($I5="Qualitative",$I5="Not relevant"),$I5,ROUND($I5*'Summary of area'!$E$31/'Identify beneficiaries'!$L5,3-LEN(INT($I5*'Summary of area'!$E$31/'Identify beneficiaries'!$L5)))),"")</f>
        <v/>
      </c>
      <c r="Q5" s="147" t="str">
        <f>IF('Identify beneficiaries'!G5="Y",IF(OR($I5="Qualitative",$I5="Not relevant"),$I5,ROUND($I5*'Summary of area'!$E$31/'Identify beneficiaries'!$L5,3-LEN(INT($I5*'Summary of area'!$E$31/'Identify beneficiaries'!$L5)))),"")</f>
        <v/>
      </c>
      <c r="R5" s="147" t="str">
        <f>IF('Identify beneficiaries'!H5="Y",IF(OR($I5="Qualitative",$I5="Not relevant"),$I5,ROUND($I5*'Summary of area'!$E$31/'Identify beneficiaries'!$L5,3-LEN(INT($I5*'Summary of area'!$E$31/'Identify beneficiaries'!$L5)))),"")</f>
        <v/>
      </c>
      <c r="S5" s="147" t="str">
        <f>IF('Identify beneficiaries'!I5="Y",IF(OR($I5="Qualitative",$I5="Not relevant"),$I5,ROUND($I5*'Summary of area'!$E$31/'Identify beneficiaries'!$L5,3-LEN(INT($I5*'Summary of area'!$E$31/'Identify beneficiaries'!$L5)))),"")</f>
        <v/>
      </c>
      <c r="T5" s="147" t="str">
        <f>IF('Identify beneficiaries'!J5="Y",IF(OR($I5="Qualitative",$I5="Not relevant"),$I5,ROUND($I5*'Summary of area'!$E$31/'Identify beneficiaries'!$L5,3-LEN(INT($I5*'Summary of area'!$E$31/'Identify beneficiaries'!$L5)))),"")</f>
        <v>Qualitative</v>
      </c>
      <c r="U5" s="147" t="str">
        <f>IF('Identify beneficiaries'!K5="Y",IF(OR($I5="Qualitative",$I5="Not relevant"),$I5,ROUND($I5*'Summary of area'!$E$31/'Identify beneficiaries'!$L5,3-LEN(INT($I5*'Summary of area'!$E$31/'Identify beneficiaries'!$L5)))),"")</f>
        <v/>
      </c>
      <c r="V5" s="147" t="str">
        <f>IF(OR(I5="Qualitative",I5="Not relevant"),I5,ROUND(I5*'Summary of area'!$D$31,3-LEN(INT(I5*'Summary of area'!$D$31))))</f>
        <v>Qualitative</v>
      </c>
      <c r="X5" s="14" t="str">
        <f aca="true" t="shared" si="0" ref="X5:X42">IF(I5="Qualitative",E5,"")</f>
        <v/>
      </c>
      <c r="Y5" s="14" t="str">
        <f aca="true" t="shared" si="1" ref="Y5:Y42">IF(I5="Qualitative",F5,"")</f>
        <v/>
      </c>
    </row>
    <row r="6" spans="1:25" ht="13.5" customHeight="1" hidden="1" thickBot="1">
      <c r="A6" s="673"/>
      <c r="B6" s="675"/>
      <c r="C6" s="675"/>
      <c r="D6" s="671">
        <f>IF('Describe baseline'!E6="-","+",IF('Describe baseline'!E6="+","-",'Describe baseline'!E6))</f>
        <v>0</v>
      </c>
      <c r="E6" s="671" t="str">
        <f>IF(ISERROR(LEFT('Describe baseline'!F6,#REF!-2)),"",LEFT('Describe baseline'!F6,#REF!-2))</f>
        <v/>
      </c>
      <c r="F6" s="671" t="str">
        <f>IF(ISERROR(LEFT('Describe baseline'!G6,#REF!-2)),"",LEFT('Describe baseline'!G6,#REF!-2))</f>
        <v/>
      </c>
      <c r="G6" s="671" t="str">
        <f>IF(ISERROR(LEFT('Describe baseline'!H6,#REF!-2)),"",LEFT('Describe baseline'!H6,#REF!-2))</f>
        <v/>
      </c>
      <c r="H6" s="671" t="str">
        <f>IF(ISERROR(LEFT('Describe baseline'!I6,#REF!-2)),"",LEFT('Describe baseline'!I6,#REF!-2))</f>
        <v/>
      </c>
      <c r="I6" s="659"/>
      <c r="J6" s="154" t="e">
        <f>FIND("(",'Describe baseline'!F6)</f>
        <v>#VALUE!</v>
      </c>
      <c r="K6" s="154" t="e">
        <f>FIND("(",'Describe baseline'!G6)</f>
        <v>#VALUE!</v>
      </c>
      <c r="L6" s="154" t="e">
        <f>FIND(":",'Describe baseline'!H6)</f>
        <v>#VALUE!</v>
      </c>
      <c r="M6" s="364"/>
      <c r="N6" s="148"/>
      <c r="O6" s="148"/>
      <c r="P6" s="148"/>
      <c r="Q6" s="148"/>
      <c r="R6" s="148"/>
      <c r="S6" s="148"/>
      <c r="T6" s="148"/>
      <c r="U6" s="148"/>
      <c r="V6" s="148"/>
      <c r="X6" s="14" t="str">
        <f t="shared" si="0"/>
        <v/>
      </c>
      <c r="Y6" s="14" t="str">
        <f t="shared" si="1"/>
        <v/>
      </c>
    </row>
    <row r="7" spans="1:25" ht="13.5" customHeight="1" hidden="1" thickBot="1">
      <c r="A7" s="673"/>
      <c r="B7" s="675"/>
      <c r="C7" s="675"/>
      <c r="D7" s="671">
        <f>IF('Describe baseline'!E7="-","+",IF('Describe baseline'!E7="+","-",'Describe baseline'!E7))</f>
        <v>0</v>
      </c>
      <c r="E7" s="671" t="str">
        <f>IF(ISERROR(LEFT('Describe baseline'!F7,#REF!-2)),"",LEFT('Describe baseline'!F7,#REF!-2))</f>
        <v/>
      </c>
      <c r="F7" s="671" t="str">
        <f>IF(ISERROR(LEFT('Describe baseline'!G7,#REF!-2)),"",LEFT('Describe baseline'!G7,#REF!-2))</f>
        <v/>
      </c>
      <c r="G7" s="671" t="str">
        <f>IF(ISERROR(LEFT('Describe baseline'!H7,#REF!-2)),"",LEFT('Describe baseline'!H7,#REF!-2))</f>
        <v/>
      </c>
      <c r="H7" s="671" t="str">
        <f>IF(ISERROR(LEFT('Describe baseline'!I7,#REF!-2)),"",LEFT('Describe baseline'!I7,#REF!-2))</f>
        <v/>
      </c>
      <c r="I7" s="659"/>
      <c r="J7" s="154" t="e">
        <f>FIND("(",'Describe baseline'!F7)</f>
        <v>#VALUE!</v>
      </c>
      <c r="K7" s="154" t="e">
        <f>FIND("(",'Describe baseline'!G7)</f>
        <v>#VALUE!</v>
      </c>
      <c r="L7" s="154" t="e">
        <f>FIND(":",'Describe baseline'!H7)</f>
        <v>#VALUE!</v>
      </c>
      <c r="M7" s="364"/>
      <c r="N7" s="148"/>
      <c r="O7" s="148"/>
      <c r="P7" s="148"/>
      <c r="Q7" s="148"/>
      <c r="R7" s="148"/>
      <c r="S7" s="148"/>
      <c r="T7" s="148"/>
      <c r="U7" s="148"/>
      <c r="V7" s="148"/>
      <c r="X7" s="14" t="str">
        <f t="shared" si="0"/>
        <v/>
      </c>
      <c r="Y7" s="14" t="str">
        <f t="shared" si="1"/>
        <v/>
      </c>
    </row>
    <row r="8" spans="1:25" ht="13.5" customHeight="1" hidden="1" thickBot="1">
      <c r="A8" s="673"/>
      <c r="B8" s="675"/>
      <c r="C8" s="675"/>
      <c r="D8" s="671">
        <f>IF('Describe baseline'!E8="-","+",IF('Describe baseline'!E8="+","-",'Describe baseline'!E8))</f>
        <v>0</v>
      </c>
      <c r="E8" s="671" t="str">
        <f>IF(ISERROR(LEFT('Describe baseline'!F8,#REF!-2)),"",LEFT('Describe baseline'!F8,#REF!-2))</f>
        <v/>
      </c>
      <c r="F8" s="671" t="str">
        <f>IF(ISERROR(LEFT('Describe baseline'!G8,#REF!-2)),"",LEFT('Describe baseline'!G8,#REF!-2))</f>
        <v/>
      </c>
      <c r="G8" s="671" t="str">
        <f>IF(ISERROR(LEFT('Describe baseline'!H8,#REF!-2)),"",LEFT('Describe baseline'!H8,#REF!-2))</f>
        <v/>
      </c>
      <c r="H8" s="671" t="str">
        <f>IF(ISERROR(LEFT('Describe baseline'!I8,#REF!-2)),"",LEFT('Describe baseline'!I8,#REF!-2))</f>
        <v/>
      </c>
      <c r="I8" s="659"/>
      <c r="J8" s="154" t="e">
        <f>FIND("(",'Describe baseline'!F8)</f>
        <v>#VALUE!</v>
      </c>
      <c r="K8" s="154" t="e">
        <f>FIND("(",'Describe baseline'!G8)</f>
        <v>#VALUE!</v>
      </c>
      <c r="L8" s="154" t="e">
        <f>FIND(":",'Describe baseline'!H8)</f>
        <v>#VALUE!</v>
      </c>
      <c r="M8" s="364"/>
      <c r="N8" s="148"/>
      <c r="O8" s="148"/>
      <c r="P8" s="148"/>
      <c r="Q8" s="148"/>
      <c r="R8" s="148"/>
      <c r="S8" s="148"/>
      <c r="T8" s="148"/>
      <c r="U8" s="148"/>
      <c r="V8" s="148"/>
      <c r="X8" s="14" t="str">
        <f t="shared" si="0"/>
        <v/>
      </c>
      <c r="Y8" s="14" t="str">
        <f t="shared" si="1"/>
        <v/>
      </c>
    </row>
    <row r="9" spans="1:25" ht="13.5" customHeight="1" hidden="1" thickBot="1">
      <c r="A9" s="673"/>
      <c r="B9" s="675"/>
      <c r="C9" s="677"/>
      <c r="D9" s="672">
        <f>IF('Describe baseline'!E9="-","+",IF('Describe baseline'!E9="+","-",'Describe baseline'!E9))</f>
        <v>0</v>
      </c>
      <c r="E9" s="672" t="str">
        <f>IF(ISERROR(LEFT('Describe baseline'!F9,#REF!-2)),"",LEFT('Describe baseline'!F9,#REF!-2))</f>
        <v/>
      </c>
      <c r="F9" s="672" t="str">
        <f>IF(ISERROR(LEFT('Describe baseline'!G9,#REF!-2)),"",LEFT('Describe baseline'!G9,#REF!-2))</f>
        <v/>
      </c>
      <c r="G9" s="672" t="str">
        <f>IF(ISERROR(LEFT('Describe baseline'!H9,#REF!-2)),"",LEFT('Describe baseline'!H9,#REF!-2))</f>
        <v/>
      </c>
      <c r="H9" s="672" t="str">
        <f>IF(ISERROR(LEFT('Describe baseline'!I9,#REF!-2)),"",LEFT('Describe baseline'!I9,#REF!-2))</f>
        <v/>
      </c>
      <c r="I9" s="660"/>
      <c r="J9" s="154" t="e">
        <f>FIND("(",'Describe baseline'!F9)</f>
        <v>#VALUE!</v>
      </c>
      <c r="K9" s="154" t="e">
        <f>FIND("(",'Describe baseline'!G9)</f>
        <v>#VALUE!</v>
      </c>
      <c r="L9" s="154" t="e">
        <f>FIND(":",'Describe baseline'!H9)</f>
        <v>#VALUE!</v>
      </c>
      <c r="M9" s="364"/>
      <c r="N9" s="148"/>
      <c r="O9" s="148"/>
      <c r="P9" s="148"/>
      <c r="Q9" s="148"/>
      <c r="R9" s="148"/>
      <c r="S9" s="148"/>
      <c r="T9" s="148"/>
      <c r="U9" s="148"/>
      <c r="V9" s="148"/>
      <c r="X9" s="14" t="str">
        <f t="shared" si="0"/>
        <v/>
      </c>
      <c r="Y9" s="14" t="str">
        <f t="shared" si="1"/>
        <v/>
      </c>
    </row>
    <row r="10" spans="1:25" ht="13.5" thickBot="1">
      <c r="A10" s="673"/>
      <c r="B10" s="675"/>
      <c r="C10" s="55" t="s">
        <v>53</v>
      </c>
      <c r="D10" s="57"/>
      <c r="E10" s="57"/>
      <c r="F10" s="57"/>
      <c r="G10" s="57"/>
      <c r="H10" s="57"/>
      <c r="I10" s="97"/>
      <c r="J10" s="154" t="e">
        <f>FIND("(",'Describe baseline'!F10)</f>
        <v>#VALUE!</v>
      </c>
      <c r="K10" s="154" t="e">
        <f>FIND("(",'Describe baseline'!G10)</f>
        <v>#VALUE!</v>
      </c>
      <c r="L10" s="154" t="e">
        <f>FIND(":",'Describe baseline'!H10)</f>
        <v>#VALUE!</v>
      </c>
      <c r="M10" s="364"/>
      <c r="N10" s="97"/>
      <c r="O10" s="97"/>
      <c r="P10" s="97"/>
      <c r="Q10" s="97"/>
      <c r="R10" s="97"/>
      <c r="S10" s="97"/>
      <c r="T10" s="97"/>
      <c r="U10" s="97"/>
      <c r="V10" s="97"/>
      <c r="X10" s="14" t="str">
        <f t="shared" si="0"/>
        <v/>
      </c>
      <c r="Y10" s="14" t="str">
        <f t="shared" si="1"/>
        <v/>
      </c>
    </row>
    <row r="11" spans="1:25" ht="13.5" thickBot="1">
      <c r="A11" s="674"/>
      <c r="B11" s="676"/>
      <c r="C11" s="58" t="s">
        <v>54</v>
      </c>
      <c r="D11" s="57"/>
      <c r="E11" s="60"/>
      <c r="F11" s="60"/>
      <c r="G11" s="60"/>
      <c r="H11" s="369"/>
      <c r="I11" s="98"/>
      <c r="J11" s="154" t="e">
        <f>FIND("(",'Describe baseline'!F11)</f>
        <v>#VALUE!</v>
      </c>
      <c r="K11" s="154" t="e">
        <f>FIND("(",'Describe baseline'!G11)</f>
        <v>#VALUE!</v>
      </c>
      <c r="L11" s="154" t="e">
        <f>FIND(":",'Describe baseline'!H11)</f>
        <v>#VALUE!</v>
      </c>
      <c r="M11" s="364"/>
      <c r="N11" s="98"/>
      <c r="O11" s="98"/>
      <c r="P11" s="98"/>
      <c r="Q11" s="98"/>
      <c r="R11" s="98"/>
      <c r="S11" s="98"/>
      <c r="T11" s="98"/>
      <c r="U11" s="98"/>
      <c r="V11" s="98"/>
      <c r="X11" s="14" t="str">
        <f t="shared" si="0"/>
        <v/>
      </c>
      <c r="Y11" s="14" t="str">
        <f t="shared" si="1"/>
        <v/>
      </c>
    </row>
    <row r="12" spans="1:25" ht="13.5" thickBot="1">
      <c r="A12" s="678" t="s">
        <v>216</v>
      </c>
      <c r="B12" s="608" t="s">
        <v>20</v>
      </c>
      <c r="C12" s="26" t="s">
        <v>52</v>
      </c>
      <c r="D12" s="27">
        <f>IF('Describe baseline'!E12="-","+",IF('Describe baseline'!E12="+","-",'Describe baseline'!E12))</f>
        <v>0</v>
      </c>
      <c r="E12" s="142" t="str">
        <f>IF(ISERROR(LEFT('Describe baseline'!F12,'OUTPUT-all'!J12-2)),"",LEFT('Describe baseline'!F12,'OUTPUT-all'!J12-2))</f>
        <v/>
      </c>
      <c r="F12" s="142" t="str">
        <f>IF(ISERROR(LEFT('Describe baseline'!G12,'OUTPUT-all'!K12-2)),"",LEFT('Describe baseline'!G12,'OUTPUT-all'!K12-2))</f>
        <v/>
      </c>
      <c r="G12" s="142" t="str">
        <f>IF(ISERROR(LEFT('Describe baseline'!H12:H16,'OUTPUT-all'!L12-1)),"",LEFT('Describe baseline'!H12:H16,'OUTPUT-all'!L12-1))</f>
        <v/>
      </c>
      <c r="H12" s="371" t="str">
        <f>IF(ISERROR(LEFT('Water levels-Residential'!K64,'OUTPUT-all'!M12-2)),"",LEFT('Water levels-Residential'!K64,'OUTPUT-all'!M12-1))</f>
        <v>High</v>
      </c>
      <c r="I12" s="368" t="str">
        <f>IF('Water levels-Residential'!D64="Enter number of properties",IF(D12="Neutral","Not relevant","Qualitative"),ROUND('Water levels-Residential'!H64,3-LEN(INT('Water levels-Residential'!H64))))</f>
        <v>Qualitative</v>
      </c>
      <c r="J12" s="154" t="e">
        <f>FIND("(",'Describe baseline'!F12)</f>
        <v>#VALUE!</v>
      </c>
      <c r="K12" s="154" t="e">
        <f>FIND("(",'Describe baseline'!G12)</f>
        <v>#VALUE!</v>
      </c>
      <c r="L12" s="154" t="e">
        <f>FIND(":",'Describe baseline'!H12)</f>
        <v>#VALUE!</v>
      </c>
      <c r="M12" s="154">
        <f>FIND(":",'Water levels-Residential'!K64)</f>
        <v>5</v>
      </c>
      <c r="N12" s="61" t="s">
        <v>146</v>
      </c>
      <c r="O12" s="147" t="str">
        <f>IF('Identify beneficiaries'!E8="Y",IF(OR($I12="Qualitative",$I12="Not relevant"),$I12,ROUND($I12*'Summary of area'!$E$32/'Identify beneficiaries'!$L8,3-LEN(INT($I12*'Summary of area'!$E$32/'Identify beneficiaries'!$L8)))),"")</f>
        <v>Qualitative</v>
      </c>
      <c r="P12" s="147" t="str">
        <f>IF('Identify beneficiaries'!F8="Y",IF(OR($I12="Qualitative",$I12="Not relevant"),$I12,ROUND($I12*'Summary of area'!$E$32/'Identify beneficiaries'!$L8,3-LEN(INT($I12*'Summary of area'!$E$32/'Identify beneficiaries'!$L8)))),"")</f>
        <v/>
      </c>
      <c r="Q12" s="147" t="str">
        <f>IF('Identify beneficiaries'!G8="Y",IF(OR($I12="Qualitative",$I12="Not relevant"),$I12,ROUND($I12*'Summary of area'!$E$32/'Identify beneficiaries'!$L8,3-LEN(INT($I12*'Summary of area'!$E$32/'Identify beneficiaries'!$L8)))),"")</f>
        <v/>
      </c>
      <c r="R12" s="147" t="str">
        <f>IF('Identify beneficiaries'!H8="Y",IF(OR($I12="Qualitative",$I12="Not relevant"),$I12,ROUND($I12*'Summary of area'!$E$32/'Identify beneficiaries'!$L8,3-LEN(INT($I12*'Summary of area'!$E$32/'Identify beneficiaries'!$L8)))),"")</f>
        <v/>
      </c>
      <c r="S12" s="147" t="str">
        <f>IF('Identify beneficiaries'!I8="Y",IF(OR($I12="Qualitative",$I12="Not relevant"),$I12,ROUND($I12*'Summary of area'!$E$32/'Identify beneficiaries'!$L8,3-LEN(INT($I12*'Summary of area'!$E$32/'Identify beneficiaries'!$L8)))),"")</f>
        <v/>
      </c>
      <c r="T12" s="147" t="str">
        <f>IF('Identify beneficiaries'!J8="Y",IF(OR($I12="Qualitative",$I12="Not relevant"),$I12,ROUND($I12*'Summary of area'!$E$32/'Identify beneficiaries'!$L8,3-LEN(INT($I12*'Summary of area'!$E$32/'Identify beneficiaries'!$L8)))),"")</f>
        <v/>
      </c>
      <c r="U12" s="147" t="str">
        <f>IF('Identify beneficiaries'!K8="Y",IF(OR($I12="Qualitative",$I12="Not relevant"),$I12,ROUND($I12*'Summary of area'!$E$32/'Identify beneficiaries'!$L8,3-LEN(INT($I12*'Summary of area'!$E$32/'Identify beneficiaries'!$L8)))),"")</f>
        <v/>
      </c>
      <c r="V12" s="147" t="str">
        <f>IF(OR(I12="Qualitative",I12="Not relevant"),I12,ROUND(I12*'Summary of area'!$D$32,3-LEN(INT(I12*'Summary of area'!$D$32))))</f>
        <v>Qualitative</v>
      </c>
      <c r="X12" s="14" t="str">
        <f t="shared" si="0"/>
        <v/>
      </c>
      <c r="Y12" s="14" t="str">
        <f t="shared" si="1"/>
        <v/>
      </c>
    </row>
    <row r="13" spans="1:25" ht="13.5" thickBot="1">
      <c r="A13" s="597"/>
      <c r="B13" s="597"/>
      <c r="C13" s="55" t="s">
        <v>53</v>
      </c>
      <c r="D13" s="57"/>
      <c r="E13" s="57"/>
      <c r="F13" s="57"/>
      <c r="G13" s="57"/>
      <c r="H13" s="64"/>
      <c r="I13" s="97"/>
      <c r="J13" s="154" t="e">
        <f>FIND("(",'Describe baseline'!F13)</f>
        <v>#VALUE!</v>
      </c>
      <c r="K13" s="154" t="e">
        <f>FIND("(",'Describe baseline'!G13)</f>
        <v>#VALUE!</v>
      </c>
      <c r="L13" s="154" t="e">
        <f>FIND(":",'Describe baseline'!H13)</f>
        <v>#VALUE!</v>
      </c>
      <c r="M13" s="364"/>
      <c r="N13" s="97"/>
      <c r="O13" s="97"/>
      <c r="P13" s="97"/>
      <c r="Q13" s="97"/>
      <c r="R13" s="97"/>
      <c r="S13" s="97"/>
      <c r="T13" s="97"/>
      <c r="U13" s="97"/>
      <c r="V13" s="97"/>
      <c r="X13" s="14" t="str">
        <f t="shared" si="0"/>
        <v/>
      </c>
      <c r="Y13" s="14" t="str">
        <f t="shared" si="1"/>
        <v/>
      </c>
    </row>
    <row r="14" spans="1:25" ht="13.5" thickBot="1">
      <c r="A14" s="597"/>
      <c r="B14" s="598"/>
      <c r="C14" s="24" t="s">
        <v>54</v>
      </c>
      <c r="D14" s="138">
        <f>IF('Describe baseline'!E14="-","+",IF('Describe baseline'!E14="+","-",'Describe baseline'!E14))</f>
        <v>0</v>
      </c>
      <c r="E14" s="143" t="str">
        <f>IF(ISERROR(LEFT('Describe baseline'!F14,'OUTPUT-all'!J14-2)),"",LEFT('Describe baseline'!F14,'OUTPUT-all'!J14-2))</f>
        <v/>
      </c>
      <c r="F14" s="25" t="str">
        <f>IF(ISERROR(LEFT('Describe baseline'!G14,'OUTPUT-all'!K14-2)),"",LEFT('Describe baseline'!G14,'OUTPUT-all'!K14-2))</f>
        <v/>
      </c>
      <c r="G14" s="346" t="str">
        <f>IF(ISERROR(LEFT('Describe baseline'!H14:H18,'OUTPUT-all'!L14-1)),"",LEFT('Describe baseline'!H14:H18,'OUTPUT-all'!L14-1))</f>
        <v/>
      </c>
      <c r="H14" s="356"/>
      <c r="I14" s="94" t="str">
        <f>IF(D14="Neutral","Not relevant","Qualitative")</f>
        <v>Qualitative</v>
      </c>
      <c r="J14" s="154" t="e">
        <f>FIND("(",'Describe baseline'!F14)</f>
        <v>#VALUE!</v>
      </c>
      <c r="K14" s="154" t="e">
        <f>FIND("(",'Describe baseline'!G14)</f>
        <v>#VALUE!</v>
      </c>
      <c r="L14" s="154" t="e">
        <f>FIND(":",'Describe baseline'!H14)</f>
        <v>#VALUE!</v>
      </c>
      <c r="M14" s="364"/>
      <c r="N14" s="19" t="s">
        <v>147</v>
      </c>
      <c r="O14" s="149" t="str">
        <f>IF('Identify beneficiaries'!E10="Y",IF(OR($I14="Qualitative",$I14="Not relevant"),$I14,$I14*'Summary of area'!$C$22/'Identify beneficiaries'!$L10),"")</f>
        <v/>
      </c>
      <c r="P14" s="149" t="str">
        <f>IF('Identify beneficiaries'!F10="Y",IF(OR($I14="Qualitative",$I14="Not relevant"),$I14,$I14*'Summary of area'!$C$22/'Identify beneficiaries'!$L10),"")</f>
        <v/>
      </c>
      <c r="Q14" s="149" t="str">
        <f>IF('Identify beneficiaries'!G10="Y",IF(OR($I14="Qualitative",$I14="Not relevant"),$I14,$I14*'Summary of area'!$C$22/'Identify beneficiaries'!$L10),"")</f>
        <v/>
      </c>
      <c r="R14" s="149" t="str">
        <f>IF('Identify beneficiaries'!H10="Y",IF(OR($I14="Qualitative",$I14="Not relevant"),$I14,$I14*'Summary of area'!$C$22/'Identify beneficiaries'!$L10),"")</f>
        <v/>
      </c>
      <c r="S14" s="149" t="str">
        <f>IF('Identify beneficiaries'!I10="Y",IF(OR($I14="Qualitative",$I14="Not relevant"),$I14,$I14*'Summary of area'!$C$22/'Identify beneficiaries'!$L10),"")</f>
        <v/>
      </c>
      <c r="T14" s="149" t="str">
        <f>IF('Identify beneficiaries'!J10="Y",IF(OR($I14="Qualitative",$I14="Not relevant"),$I14,$I14*'Summary of area'!$C$22/'Identify beneficiaries'!$L10),"")</f>
        <v>Qualitative</v>
      </c>
      <c r="U14" s="149" t="str">
        <f>IF('Identify beneficiaries'!K10="Y",IF(OR($I14="Qualitative",$I14="Not relevant"),$I14,$I14*'Summary of area'!$C$22/'Identify beneficiaries'!$L10),"")</f>
        <v/>
      </c>
      <c r="V14" s="147" t="str">
        <f>IF(OR(I14="Qualitative",I14="Not relevant"),I14,ROUND(I14*'Summary of area'!$C$21,3-LEN(INT(I14*'Summary of area'!$C$21))))</f>
        <v>Qualitative</v>
      </c>
      <c r="X14" s="14" t="str">
        <f t="shared" si="0"/>
        <v/>
      </c>
      <c r="Y14" s="14" t="str">
        <f t="shared" si="1"/>
        <v/>
      </c>
    </row>
    <row r="15" spans="1:25" ht="13.5" thickBot="1">
      <c r="A15" s="597"/>
      <c r="B15" s="596" t="s">
        <v>21</v>
      </c>
      <c r="C15" s="24" t="s">
        <v>52</v>
      </c>
      <c r="D15" s="138">
        <f>IF('Describe baseline'!E15="-","+",IF('Describe baseline'!E15="+","-",'Describe baseline'!E15))</f>
        <v>0</v>
      </c>
      <c r="E15" s="143" t="str">
        <f>IF(ISERROR(LEFT('Describe baseline'!F15,'OUTPUT-all'!J15-2)),"",LEFT('Describe baseline'!F15,'OUTPUT-all'!J15-2))</f>
        <v/>
      </c>
      <c r="F15" s="25" t="str">
        <f>IF(ISERROR(LEFT('Describe baseline'!G15,'OUTPUT-all'!K15-2)),"",LEFT('Describe baseline'!G15,'OUTPUT-all'!K15-2))</f>
        <v/>
      </c>
      <c r="G15" s="346" t="str">
        <f>IF(ISERROR(LEFT('Describe baseline'!H15:H19,'OUTPUT-all'!L15-1)),"",LEFT('Describe baseline'!H15:H19,'OUTPUT-all'!L15-1))</f>
        <v/>
      </c>
      <c r="H15" s="371" t="str">
        <f>IF(ISERROR(LEFT('Water levels-Business'!K98,'OUTPUT-all'!M15-2)),"",LEFT('Water levels-Business'!K98,'OUTPUT-all'!M15-1))</f>
        <v>High</v>
      </c>
      <c r="I15" s="94" t="str">
        <f>IF('Water levels-Business'!D98="Enter number of businesses",IF(D15="Neutral","Not relevant","Qualitative"),ROUND('Water levels-Business'!H98,3-LEN(INT('Water levels-Business'!H98))))</f>
        <v>Qualitative</v>
      </c>
      <c r="J15" s="154" t="e">
        <f>FIND("(",'Describe baseline'!F15)</f>
        <v>#VALUE!</v>
      </c>
      <c r="K15" s="154" t="e">
        <f>FIND("(",'Describe baseline'!G15)</f>
        <v>#VALUE!</v>
      </c>
      <c r="L15" s="154" t="e">
        <f>FIND(":",'Describe baseline'!H15)</f>
        <v>#VALUE!</v>
      </c>
      <c r="M15" s="154">
        <f>FIND(":",'Water levels-Business'!K98)</f>
        <v>5</v>
      </c>
      <c r="N15" s="19" t="s">
        <v>148</v>
      </c>
      <c r="O15" s="149" t="str">
        <f>IF('Identify beneficiaries'!E11="Y",IF(OR($I15="Qualitative",$I15="Not relevant"),$I15,ROUND($I15*'Summary of area'!$E$33/'Identify beneficiaries'!$L11,3-LEN(INT($I15*'Summary of area'!$E$33/'Identify beneficiaries'!$L11)))),"")</f>
        <v/>
      </c>
      <c r="P15" s="149" t="str">
        <f>IF('Identify beneficiaries'!F11="Y",IF(OR($I15="Qualitative",$I15="Not relevant"),$I15,ROUND($I15*'Summary of area'!$E$33/'Identify beneficiaries'!$L11,3-LEN(INT($I15*'Summary of area'!$E$33/'Identify beneficiaries'!$L11)))),"")</f>
        <v>Qualitative</v>
      </c>
      <c r="Q15" s="149" t="str">
        <f>IF('Identify beneficiaries'!G11="Y",IF(OR($I15="Qualitative",$I15="Not relevant"),$I15,ROUND($I15*'Summary of area'!$E$33/'Identify beneficiaries'!$L11,3-LEN(INT($I15*'Summary of area'!$E$33/'Identify beneficiaries'!$L11)))),"")</f>
        <v/>
      </c>
      <c r="R15" s="149" t="str">
        <f>IF('Identify beneficiaries'!H11="Y",IF(OR($I15="Qualitative",$I15="Not relevant"),$I15,ROUND($I15*'Summary of area'!$E$33/'Identify beneficiaries'!$L11,3-LEN(INT($I15*'Summary of area'!$E$33/'Identify beneficiaries'!$L11)))),"")</f>
        <v>Qualitative</v>
      </c>
      <c r="S15" s="149" t="str">
        <f>IF('Identify beneficiaries'!I11="Y",IF(OR($I15="Qualitative",$I15="Not relevant"),$I15,ROUND($I15*'Summary of area'!$E$33/'Identify beneficiaries'!$L11,3-LEN(INT($I15*'Summary of area'!$E$33/'Identify beneficiaries'!$L11)))),"")</f>
        <v/>
      </c>
      <c r="T15" s="149" t="str">
        <f>IF('Identify beneficiaries'!J11="Y",IF(OR($I15="Qualitative",$I15="Not relevant"),$I15,ROUND($I15*'Summary of area'!$E$33/'Identify beneficiaries'!$L11,3-LEN(INT($I15*'Summary of area'!$E$33/'Identify beneficiaries'!$L11)))),"")</f>
        <v/>
      </c>
      <c r="U15" s="149" t="str">
        <f>IF('Identify beneficiaries'!K11="Y",IF(OR($I15="Qualitative",$I15="Not relevant"),$I15,ROUND($I15*'Summary of area'!$E$33/'Identify beneficiaries'!$L11,3-LEN(INT($I15*'Summary of area'!$E$33/'Identify beneficiaries'!$L11)))),"")</f>
        <v/>
      </c>
      <c r="V15" s="149" t="str">
        <f>IF(OR(I15="Qualitative",I15="Not relevant"),I15,ROUND(I15*'Summary of area'!$D$33,3-LEN(INT(I15*'Summary of area'!$D$33))))</f>
        <v>Qualitative</v>
      </c>
      <c r="X15" s="14" t="str">
        <f t="shared" si="0"/>
        <v/>
      </c>
      <c r="Y15" s="14" t="str">
        <f t="shared" si="1"/>
        <v/>
      </c>
    </row>
    <row r="16" spans="1:25" ht="39" thickBot="1">
      <c r="A16" s="597"/>
      <c r="B16" s="597"/>
      <c r="C16" s="24" t="s">
        <v>53</v>
      </c>
      <c r="D16" s="138">
        <f>IF('Describe baseline'!E16="-","+",IF('Describe baseline'!E16="+","-",'Describe baseline'!E16))</f>
        <v>0</v>
      </c>
      <c r="E16" s="143" t="str">
        <f>IF(ISERROR(LEFT('Describe baseline'!F16,'OUTPUT-all'!J16-2)),"",LEFT('Describe baseline'!F16,'OUTPUT-all'!J16-2))</f>
        <v/>
      </c>
      <c r="F16" s="25" t="str">
        <f>IF(ISERROR(LEFT('Describe baseline'!G16,'OUTPUT-all'!K16-2)),"",LEFT('Describe baseline'!G16,'OUTPUT-all'!K16-2))</f>
        <v/>
      </c>
      <c r="G16" s="346" t="str">
        <f>IF(ISERROR(LEFT('Describe baseline'!H16:H20,'OUTPUT-all'!L16-1)),"",LEFT('Describe baseline'!H16:H20,'OUTPUT-all'!L16-1))</f>
        <v/>
      </c>
      <c r="H16" s="356"/>
      <c r="I16" s="94" t="str">
        <f>IF(D16="Neutral","Not relevant","Qualitative")</f>
        <v>Qualitative</v>
      </c>
      <c r="J16" s="154" t="e">
        <f>FIND("(",'Describe baseline'!F16)</f>
        <v>#VALUE!</v>
      </c>
      <c r="K16" s="154" t="e">
        <f>FIND("(",'Describe baseline'!G16)</f>
        <v>#VALUE!</v>
      </c>
      <c r="L16" s="154" t="e">
        <f>FIND(":",'Describe baseline'!H16)</f>
        <v>#VALUE!</v>
      </c>
      <c r="M16" s="364"/>
      <c r="N16" s="19" t="s">
        <v>149</v>
      </c>
      <c r="O16" s="149" t="str">
        <f>IF('Identify beneficiaries'!E12="Y",IF(OR($I16="Qualitative",$I16="Not relevant"),$I16,$I16*'Summary of area'!$C$22/'Identify beneficiaries'!$L12),"")</f>
        <v/>
      </c>
      <c r="P16" s="149" t="str">
        <f>IF('Identify beneficiaries'!F12="Y",IF(OR($I16="Qualitative",$I16="Not relevant"),$I16,$I16*'Summary of area'!$C$22/'Identify beneficiaries'!$L12),"")</f>
        <v>Qualitative</v>
      </c>
      <c r="Q16" s="149" t="str">
        <f>IF('Identify beneficiaries'!G12="Y",IF(OR($I16="Qualitative",$I16="Not relevant"),$I16,$I16*'Summary of area'!$C$22/'Identify beneficiaries'!$L12),"")</f>
        <v/>
      </c>
      <c r="R16" s="149" t="str">
        <f>IF('Identify beneficiaries'!H12="Y",IF(OR($I16="Qualitative",$I16="Not relevant"),$I16,$I16*'Summary of area'!$C$22/'Identify beneficiaries'!$L12),"")</f>
        <v/>
      </c>
      <c r="S16" s="149" t="str">
        <f>IF('Identify beneficiaries'!I12="Y",IF(OR($I16="Qualitative",$I16="Not relevant"),$I16,$I16*'Summary of area'!$C$22/'Identify beneficiaries'!$L12),"")</f>
        <v/>
      </c>
      <c r="T16" s="149" t="str">
        <f>IF('Identify beneficiaries'!J12="Y",IF(OR($I16="Qualitative",$I16="Not relevant"),$I16,$I16*'Summary of area'!$C$22/'Identify beneficiaries'!$L12),"")</f>
        <v/>
      </c>
      <c r="U16" s="149" t="str">
        <f>IF('Identify beneficiaries'!K12="Y",IF(OR($I16="Qualitative",$I16="Not relevant"),$I16,$I16*'Summary of area'!$C$22/'Identify beneficiaries'!$L12),"")</f>
        <v>Qualitative</v>
      </c>
      <c r="V16" s="149" t="str">
        <f>IF(OR(I16="Qualitative",I16="Not relevant"),I16,ROUND(I16*'Summary of area'!$C$21,3-LEN(INT(I16*'Summary of area'!$C$21))))</f>
        <v>Qualitative</v>
      </c>
      <c r="X16" s="14" t="str">
        <f t="shared" si="0"/>
        <v/>
      </c>
      <c r="Y16" s="14" t="str">
        <f t="shared" si="1"/>
        <v/>
      </c>
    </row>
    <row r="17" spans="1:25" ht="51.75" thickBot="1">
      <c r="A17" s="597"/>
      <c r="B17" s="598"/>
      <c r="C17" s="24" t="s">
        <v>54</v>
      </c>
      <c r="D17" s="138">
        <f>IF('Describe baseline'!E17="-","+",IF('Describe baseline'!E17="+","-",'Describe baseline'!E17))</f>
        <v>0</v>
      </c>
      <c r="E17" s="143" t="str">
        <f>IF(ISERROR(LEFT('Describe baseline'!F17,'OUTPUT-all'!J17-2)),"",LEFT('Describe baseline'!F17,'OUTPUT-all'!J17-2))</f>
        <v/>
      </c>
      <c r="F17" s="25" t="str">
        <f>IF(ISERROR(LEFT('Describe baseline'!G17,'OUTPUT-all'!K17-2)),"",LEFT('Describe baseline'!G17,'OUTPUT-all'!K17-2))</f>
        <v/>
      </c>
      <c r="G17" s="346" t="str">
        <f>IF(ISERROR(LEFT('Describe baseline'!H17:H21,'OUTPUT-all'!L17-1)),"",LEFT('Describe baseline'!H17:H21,'OUTPUT-all'!L17-1))</f>
        <v/>
      </c>
      <c r="H17" s="353"/>
      <c r="I17" s="146" t="str">
        <f>IF(D17="Neutral","Not relevant","Qualitative")</f>
        <v>Qualitative</v>
      </c>
      <c r="J17" s="154" t="e">
        <f>FIND("(",'Describe baseline'!F17)</f>
        <v>#VALUE!</v>
      </c>
      <c r="K17" s="154" t="e">
        <f>FIND("(",'Describe baseline'!G17)</f>
        <v>#VALUE!</v>
      </c>
      <c r="L17" s="154" t="e">
        <f>FIND(":",'Describe baseline'!H17)</f>
        <v>#VALUE!</v>
      </c>
      <c r="M17" s="364"/>
      <c r="N17" s="19" t="s">
        <v>150</v>
      </c>
      <c r="O17" s="149" t="str">
        <f>IF('Identify beneficiaries'!E13="Y",IF(OR($I17="Qualitative",$I17="Not relevant"),$I17,$I17*'Summary of area'!$C$22/'Identify beneficiaries'!$L13),"")</f>
        <v/>
      </c>
      <c r="P17" s="149" t="str">
        <f>IF('Identify beneficiaries'!F13="Y",IF(OR($I17="Qualitative",$I17="Not relevant"),$I17,$I17*'Summary of area'!$C$22/'Identify beneficiaries'!$L13),"")</f>
        <v/>
      </c>
      <c r="Q17" s="149" t="str">
        <f>IF('Identify beneficiaries'!G13="Y",IF(OR($I17="Qualitative",$I17="Not relevant"),$I17,$I17*'Summary of area'!$C$22/'Identify beneficiaries'!$L13),"")</f>
        <v/>
      </c>
      <c r="R17" s="149" t="str">
        <f>IF('Identify beneficiaries'!H13="Y",IF(OR($I17="Qualitative",$I17="Not relevant"),$I17,$I17*'Summary of area'!$C$22/'Identify beneficiaries'!$L13),"")</f>
        <v>Qualitative</v>
      </c>
      <c r="S17" s="149" t="str">
        <f>IF('Identify beneficiaries'!I13="Y",IF(OR($I17="Qualitative",$I17="Not relevant"),$I17,$I17*'Summary of area'!$C$22/'Identify beneficiaries'!$L13),"")</f>
        <v/>
      </c>
      <c r="T17" s="149" t="str">
        <f>IF('Identify beneficiaries'!J13="Y",IF(OR($I17="Qualitative",$I17="Not relevant"),$I17,$I17*'Summary of area'!$C$22/'Identify beneficiaries'!$L13),"")</f>
        <v/>
      </c>
      <c r="U17" s="149" t="str">
        <f>IF('Identify beneficiaries'!K13="Y",IF(OR($I17="Qualitative",$I17="Not relevant"),$I17,$I17*'Summary of area'!$C$22/'Identify beneficiaries'!$L13),"")</f>
        <v>Qualitative</v>
      </c>
      <c r="V17" s="149" t="str">
        <f>IF(OR(I17="Qualitative",I17="Not relevant"),I17,ROUND(I17*'Summary of area'!$C$21,3-LEN(INT(I17*'Summary of area'!$C$21))))</f>
        <v>Qualitative</v>
      </c>
      <c r="X17" s="14" t="str">
        <f t="shared" si="0"/>
        <v/>
      </c>
      <c r="Y17" s="14" t="str">
        <f t="shared" si="1"/>
        <v/>
      </c>
    </row>
    <row r="18" spans="1:25" ht="26.25" thickBot="1">
      <c r="A18" s="597"/>
      <c r="B18" s="596" t="s">
        <v>579</v>
      </c>
      <c r="C18" s="596" t="s">
        <v>52</v>
      </c>
      <c r="D18" s="665">
        <f>IF('Describe baseline'!E18="-","+",IF('Describe baseline'!E18="+","-",'Describe baseline'!E18))</f>
        <v>0</v>
      </c>
      <c r="E18" s="668" t="str">
        <f>IF(ISERROR(LEFT('Describe baseline'!F18,'OUTPUT-all'!J18-2)),"",LEFT('Describe baseline'!F18,'OUTPUT-all'!J18-2))</f>
        <v/>
      </c>
      <c r="F18" s="665" t="str">
        <f>IF(ISERROR(LEFT('Describe baseline'!G18,'OUTPUT-all'!K18-2)),"",LEFT('Describe baseline'!G18,'OUTPUT-all'!K18-2))</f>
        <v/>
      </c>
      <c r="G18" s="665" t="str">
        <f>IF(ISERROR(LEFT('Describe baseline'!H18:H22,'OUTPUT-all'!L18-1)),"",LEFT('Describe baseline'!H18:H22,'OUTPUT-all'!L18-1))</f>
        <v/>
      </c>
      <c r="H18" s="371" t="str">
        <f>IF(ISERROR(LEFT('Water levels-Social Infra'!K180,'OUTPUT-all'!M18-2)),"",LEFT('Water levels-Social Infra'!K180,'OUTPUT-all'!M18-1))</f>
        <v>High</v>
      </c>
      <c r="I18" s="661" t="str">
        <f>IF('Water levels-Social Infra'!D180="Enter number of properties",IF(D18="Neutral","Not relevant","Qualitative"),ROUND('Water levels-Social Infra'!H180,3-LEN(INT('Water levels-Social Infra'!H180))))</f>
        <v>Qualitative</v>
      </c>
      <c r="J18" s="154" t="e">
        <f>FIND("(",'Describe baseline'!F18)</f>
        <v>#VALUE!</v>
      </c>
      <c r="K18" s="154" t="e">
        <f>FIND("(",'Describe baseline'!G18)</f>
        <v>#VALUE!</v>
      </c>
      <c r="L18" s="154" t="e">
        <f>FIND(":",'Describe baseline'!H18)</f>
        <v>#VALUE!</v>
      </c>
      <c r="M18" s="154">
        <f>FIND(":",'Water levels-Social Infra'!K180)</f>
        <v>5</v>
      </c>
      <c r="N18" s="19" t="s">
        <v>151</v>
      </c>
      <c r="O18" s="149" t="str">
        <f>IF('Identify beneficiaries'!E14="Y",IF(OR($I18="Qualitative",$I18="Not relevant"),$I18,ROUND($I18*'Summary of area'!$E$34/'Identify beneficiaries'!$L14,3-LEN(INT($I18*'Summary of area'!$E$34/'Identify beneficiaries'!$L14)))),"")</f>
        <v/>
      </c>
      <c r="P18" s="149" t="str">
        <f>IF('Identify beneficiaries'!F14="Y",IF(OR($I18="Qualitative",$I18="Not relevant"),$I18,ROUND($I18*'Summary of area'!$E$34/'Identify beneficiaries'!$L14,3-LEN(INT($I18*'Summary of area'!$E$34/'Identify beneficiaries'!$L14)))),"")</f>
        <v/>
      </c>
      <c r="Q18" s="149" t="str">
        <f>IF('Identify beneficiaries'!G14="Y",IF(OR($I18="Qualitative",$I18="Not relevant"),$I18,ROUND($I18*'Summary of area'!$E$34/'Identify beneficiaries'!$L14,3-LEN(INT($I18*'Summary of area'!$E$34/'Identify beneficiaries'!$L14)))),"")</f>
        <v/>
      </c>
      <c r="R18" s="149" t="str">
        <f>IF('Identify beneficiaries'!H14="Y",IF(OR($I18="Qualitative",$I18="Not relevant"),$I18,ROUND($I18*'Summary of area'!$E$34/'Identify beneficiaries'!$L14,3-LEN(INT($I18*'Summary of area'!$E$34/'Identify beneficiaries'!$L14)))),"")</f>
        <v>Qualitative</v>
      </c>
      <c r="S18" s="149" t="str">
        <f>IF('Identify beneficiaries'!I14="Y",IF(OR($I18="Qualitative",$I18="Not relevant"),$I18,ROUND($I18*'Summary of area'!$E$34/'Identify beneficiaries'!$L14,3-LEN(INT($I18*'Summary of area'!$E$34/'Identify beneficiaries'!$L14)))),"")</f>
        <v>Qualitative</v>
      </c>
      <c r="T18" s="149" t="str">
        <f>IF('Identify beneficiaries'!J14="Y",IF(OR($I18="Qualitative",$I18="Not relevant"),$I18,ROUND($I18*'Summary of area'!$E$34/'Identify beneficiaries'!$L14,3-LEN(INT($I18*'Summary of area'!$E$34/'Identify beneficiaries'!$L14)))),"")</f>
        <v/>
      </c>
      <c r="U18" s="149" t="str">
        <f>IF('Identify beneficiaries'!K14="Y",IF(OR($I18="Qualitative",$I18="Not relevant"),$I18,ROUND($I18*'Summary of area'!$E$34/'Identify beneficiaries'!$L14,3-LEN(INT($I18*'Summary of area'!$E$34/'Identify beneficiaries'!$L14)))),"")</f>
        <v/>
      </c>
      <c r="V18" s="149" t="str">
        <f>IF(OR(I18="Qualitative",I18="Not relevant"),I18,ROUND(I18*'Summary of area'!$D$34,3-LEN(INT(I18*'Summary of area'!$D$34))))</f>
        <v>Qualitative</v>
      </c>
      <c r="X18" s="14" t="str">
        <f t="shared" si="0"/>
        <v/>
      </c>
      <c r="Y18" s="14" t="str">
        <f t="shared" si="1"/>
        <v/>
      </c>
    </row>
    <row r="19" spans="1:25" ht="12.75" customHeight="1" hidden="1" thickBot="1">
      <c r="A19" s="597"/>
      <c r="B19" s="602"/>
      <c r="C19" s="602"/>
      <c r="D19" s="666">
        <f>IF('Describe baseline'!E19="-","+",IF('Describe baseline'!E19="+","-",'Describe baseline'!E19))</f>
        <v>0</v>
      </c>
      <c r="E19" s="668" t="str">
        <f>IF(ISERROR(LEFT('Describe baseline'!F19,'OUTPUT-all'!J19-2)),"",LEFT('Describe baseline'!F19,'OUTPUT-all'!J19-2))</f>
        <v/>
      </c>
      <c r="F19" s="666" t="str">
        <f>IF(ISERROR(LEFT('Describe baseline'!G19:G23,'OUTPUT-all'!K19-2)),"",LEFT('Describe baseline'!G19:G23,'OUTPUT-all'!K19-2))</f>
        <v/>
      </c>
      <c r="G19" s="666" t="str">
        <f>IF(ISERROR(LEFT('Describe baseline'!H19:H23,'OUTPUT-all'!L19-2)),"",LEFT('Describe baseline'!H19:H23,'OUTPUT-all'!L19-2))</f>
        <v/>
      </c>
      <c r="H19" s="352"/>
      <c r="I19" s="662" t="e">
        <f>IF(D19="-",ROUND(#REF!,2-LEN(INT(#REF!)))*-1,ROUND(#REF!,2-LEN(INT(#REF!))))</f>
        <v>#REF!</v>
      </c>
      <c r="J19" s="154" t="e">
        <f>FIND("(",'Describe baseline'!F19)</f>
        <v>#VALUE!</v>
      </c>
      <c r="K19" s="154" t="e">
        <f>FIND("(",'Describe baseline'!G19)</f>
        <v>#VALUE!</v>
      </c>
      <c r="L19" s="154" t="e">
        <f>FIND(":",'Describe baseline'!H19)</f>
        <v>#VALUE!</v>
      </c>
      <c r="M19" s="364"/>
      <c r="N19" s="148"/>
      <c r="O19" s="149"/>
      <c r="P19" s="149"/>
      <c r="Q19" s="149"/>
      <c r="R19" s="149"/>
      <c r="S19" s="149"/>
      <c r="T19" s="149"/>
      <c r="U19" s="149"/>
      <c r="V19" s="149"/>
      <c r="X19" s="14" t="e">
        <f t="shared" si="0"/>
        <v>#REF!</v>
      </c>
      <c r="Y19" s="14" t="e">
        <f t="shared" si="1"/>
        <v>#REF!</v>
      </c>
    </row>
    <row r="20" spans="1:25" ht="12.75" customHeight="1" hidden="1" thickBot="1">
      <c r="A20" s="597"/>
      <c r="B20" s="615"/>
      <c r="C20" s="615"/>
      <c r="D20" s="654">
        <f>IF('Describe baseline'!E20="-","+",IF('Describe baseline'!E20="+","-",'Describe baseline'!E20))</f>
        <v>0</v>
      </c>
      <c r="E20" s="668" t="str">
        <f>IF(ISERROR(LEFT('Describe baseline'!F20,'OUTPUT-all'!J20-2)),"",LEFT('Describe baseline'!F20,'OUTPUT-all'!J20-2))</f>
        <v/>
      </c>
      <c r="F20" s="654" t="str">
        <f>IF(ISERROR(LEFT('Describe baseline'!G20:G24,'OUTPUT-all'!K20-2)),"",LEFT('Describe baseline'!G20:G24,'OUTPUT-all'!K20-2))</f>
        <v/>
      </c>
      <c r="G20" s="654" t="str">
        <f>IF(ISERROR(LEFT('Describe baseline'!H20:H24,'OUTPUT-all'!L20-2)),"",LEFT('Describe baseline'!H20:H24,'OUTPUT-all'!L20-2))</f>
        <v/>
      </c>
      <c r="H20" s="354"/>
      <c r="I20" s="651" t="e">
        <f>IF(D20="-",ROUND(#REF!,2-LEN(INT(#REF!)))*-1,ROUND(#REF!,2-LEN(INT(#REF!))))</f>
        <v>#REF!</v>
      </c>
      <c r="J20" s="154" t="e">
        <f>FIND("(",'Describe baseline'!F20)</f>
        <v>#VALUE!</v>
      </c>
      <c r="K20" s="154" t="e">
        <f>FIND("(",'Describe baseline'!G20)</f>
        <v>#VALUE!</v>
      </c>
      <c r="L20" s="154" t="e">
        <f>FIND(":",'Describe baseline'!H20)</f>
        <v>#VALUE!</v>
      </c>
      <c r="M20" s="364"/>
      <c r="N20" s="148"/>
      <c r="O20" s="149"/>
      <c r="P20" s="149"/>
      <c r="Q20" s="149"/>
      <c r="R20" s="149"/>
      <c r="S20" s="149"/>
      <c r="T20" s="149"/>
      <c r="U20" s="149"/>
      <c r="V20" s="149"/>
      <c r="X20" s="14" t="e">
        <f t="shared" si="0"/>
        <v>#REF!</v>
      </c>
      <c r="Y20" s="14" t="e">
        <f t="shared" si="1"/>
        <v>#REF!</v>
      </c>
    </row>
    <row r="21" spans="1:25" ht="12.75" customHeight="1" hidden="1" thickBot="1">
      <c r="A21" s="597"/>
      <c r="B21" s="615"/>
      <c r="C21" s="615"/>
      <c r="D21" s="654">
        <f>IF('Describe baseline'!E21="-","+",IF('Describe baseline'!E21="+","-",'Describe baseline'!E21))</f>
        <v>0</v>
      </c>
      <c r="E21" s="668" t="str">
        <f>IF(ISERROR(LEFT('Describe baseline'!F21,'OUTPUT-all'!J21-2)),"",LEFT('Describe baseline'!F21,'OUTPUT-all'!J21-2))</f>
        <v/>
      </c>
      <c r="F21" s="654" t="str">
        <f>IF(ISERROR(LEFT('Describe baseline'!G21:G25,'OUTPUT-all'!K21-2)),"",LEFT('Describe baseline'!G21:G25,'OUTPUT-all'!K21-2))</f>
        <v/>
      </c>
      <c r="G21" s="654" t="str">
        <f>IF(ISERROR(LEFT('Describe baseline'!H21:H25,'OUTPUT-all'!L21-2)),"",LEFT('Describe baseline'!H21:H25,'OUTPUT-all'!L21-2))</f>
        <v/>
      </c>
      <c r="H21" s="354"/>
      <c r="I21" s="651" t="e">
        <f>IF(D21="-",ROUND(#REF!,2-LEN(INT(#REF!)))*-1,ROUND(#REF!,2-LEN(INT(#REF!))))</f>
        <v>#REF!</v>
      </c>
      <c r="J21" s="154" t="e">
        <f>FIND("(",'Describe baseline'!F21)</f>
        <v>#VALUE!</v>
      </c>
      <c r="K21" s="154" t="e">
        <f>FIND("(",'Describe baseline'!G21)</f>
        <v>#VALUE!</v>
      </c>
      <c r="L21" s="154" t="e">
        <f>FIND(":",'Describe baseline'!H21)</f>
        <v>#VALUE!</v>
      </c>
      <c r="M21" s="364"/>
      <c r="N21" s="148"/>
      <c r="O21" s="149"/>
      <c r="P21" s="149"/>
      <c r="Q21" s="149"/>
      <c r="R21" s="149"/>
      <c r="S21" s="149"/>
      <c r="T21" s="149"/>
      <c r="U21" s="149"/>
      <c r="V21" s="149"/>
      <c r="X21" s="14" t="e">
        <f t="shared" si="0"/>
        <v>#REF!</v>
      </c>
      <c r="Y21" s="14" t="e">
        <f t="shared" si="1"/>
        <v>#REF!</v>
      </c>
    </row>
    <row r="22" spans="1:25" ht="12.75" customHeight="1" hidden="1" thickBot="1">
      <c r="A22" s="597"/>
      <c r="B22" s="615"/>
      <c r="C22" s="615"/>
      <c r="D22" s="654">
        <f>IF('Describe baseline'!E22="-","+",IF('Describe baseline'!E22="+","-",'Describe baseline'!E22))</f>
        <v>0</v>
      </c>
      <c r="E22" s="668" t="str">
        <f>IF(ISERROR(LEFT('Describe baseline'!F22,'OUTPUT-all'!J22-2)),"",LEFT('Describe baseline'!F22,'OUTPUT-all'!J22-2))</f>
        <v/>
      </c>
      <c r="F22" s="654" t="str">
        <f>IF(ISERROR(LEFT('Describe baseline'!G22:G26,'OUTPUT-all'!K22-2)),"",LEFT('Describe baseline'!G22:G26,'OUTPUT-all'!K22-2))</f>
        <v/>
      </c>
      <c r="G22" s="654" t="str">
        <f>IF(ISERROR(LEFT('Describe baseline'!H22:H26,'OUTPUT-all'!L22-2)),"",LEFT('Describe baseline'!H22:H26,'OUTPUT-all'!L22-2))</f>
        <v/>
      </c>
      <c r="H22" s="354"/>
      <c r="I22" s="651" t="e">
        <f>IF(D22="-",ROUND(#REF!,2-LEN(INT(#REF!)))*-1,ROUND(#REF!,2-LEN(INT(#REF!))))</f>
        <v>#REF!</v>
      </c>
      <c r="J22" s="154" t="e">
        <f>FIND("(",'Describe baseline'!F22)</f>
        <v>#VALUE!</v>
      </c>
      <c r="K22" s="154" t="e">
        <f>FIND("(",'Describe baseline'!G22)</f>
        <v>#VALUE!</v>
      </c>
      <c r="L22" s="154" t="e">
        <f>FIND(":",'Describe baseline'!H22)</f>
        <v>#VALUE!</v>
      </c>
      <c r="M22" s="364"/>
      <c r="N22" s="148"/>
      <c r="O22" s="149"/>
      <c r="P22" s="149"/>
      <c r="Q22" s="149"/>
      <c r="R22" s="149"/>
      <c r="S22" s="149"/>
      <c r="T22" s="149"/>
      <c r="U22" s="149"/>
      <c r="V22" s="149"/>
      <c r="X22" s="14" t="e">
        <f t="shared" si="0"/>
        <v>#REF!</v>
      </c>
      <c r="Y22" s="14" t="e">
        <f t="shared" si="1"/>
        <v>#REF!</v>
      </c>
    </row>
    <row r="23" spans="1:25" ht="12.75" customHeight="1" hidden="1" thickBot="1">
      <c r="A23" s="597"/>
      <c r="B23" s="615"/>
      <c r="C23" s="669"/>
      <c r="D23" s="655">
        <f>IF('Describe baseline'!E23="-","+",IF('Describe baseline'!E23="+","-",'Describe baseline'!E23))</f>
        <v>0</v>
      </c>
      <c r="E23" s="668" t="str">
        <f>IF(ISERROR(LEFT('Describe baseline'!F23,'OUTPUT-all'!J23-2)),"",LEFT('Describe baseline'!F23,'OUTPUT-all'!J23-2))</f>
        <v/>
      </c>
      <c r="F23" s="655" t="str">
        <f>IF(ISERROR(LEFT('Describe baseline'!G23:G27,'OUTPUT-all'!K23-2)),"",LEFT('Describe baseline'!G23:G27,'OUTPUT-all'!K23-2))</f>
        <v/>
      </c>
      <c r="G23" s="655" t="str">
        <f>IF(ISERROR(LEFT('Describe baseline'!H23:H27,'OUTPUT-all'!L23-2)),"",LEFT('Describe baseline'!H23:H27,'OUTPUT-all'!L23-2))</f>
        <v/>
      </c>
      <c r="H23" s="355"/>
      <c r="I23" s="652" t="e">
        <f>IF(D23="-",ROUND(#REF!,2-LEN(INT(#REF!)))*-1,ROUND(#REF!,2-LEN(INT(#REF!))))</f>
        <v>#REF!</v>
      </c>
      <c r="J23" s="154" t="e">
        <f>FIND("(",'Describe baseline'!F23)</f>
        <v>#VALUE!</v>
      </c>
      <c r="K23" s="154" t="e">
        <f>FIND("(",'Describe baseline'!G23)</f>
        <v>#VALUE!</v>
      </c>
      <c r="L23" s="154" t="e">
        <f>FIND(":",'Describe baseline'!H23)</f>
        <v>#VALUE!</v>
      </c>
      <c r="M23" s="364"/>
      <c r="N23" s="148"/>
      <c r="O23" s="149"/>
      <c r="P23" s="149"/>
      <c r="Q23" s="149"/>
      <c r="R23" s="149"/>
      <c r="S23" s="149"/>
      <c r="T23" s="149"/>
      <c r="U23" s="149"/>
      <c r="V23" s="149"/>
      <c r="X23" s="14" t="e">
        <f t="shared" si="0"/>
        <v>#REF!</v>
      </c>
      <c r="Y23" s="14" t="e">
        <f t="shared" si="1"/>
        <v>#REF!</v>
      </c>
    </row>
    <row r="24" spans="1:25" ht="26.25" thickBot="1">
      <c r="A24" s="597"/>
      <c r="B24" s="597"/>
      <c r="C24" s="24" t="s">
        <v>53</v>
      </c>
      <c r="D24" s="138">
        <f>IF('Describe baseline'!E24="-","+",IF('Describe baseline'!E24="+","-",'Describe baseline'!E24))</f>
        <v>0</v>
      </c>
      <c r="E24" s="25" t="str">
        <f>IF(ISERROR(LEFT('Describe baseline'!F24,'OUTPUT-all'!J24-2)),"",LEFT('Describe baseline'!F24,'OUTPUT-all'!J24-2))</f>
        <v/>
      </c>
      <c r="F24" s="25" t="str">
        <f>IF(ISERROR(LEFT('Describe baseline'!G24,'OUTPUT-all'!K24-2)),"",LEFT('Describe baseline'!G24,'OUTPUT-all'!K24-2))</f>
        <v/>
      </c>
      <c r="G24" s="346" t="str">
        <f>IF(ISERROR(LEFT('Describe baseline'!H24:H28,'OUTPUT-all'!L24-1)),"",LEFT('Describe baseline'!H24:H28,'OUTPUT-all'!L24-1))</f>
        <v/>
      </c>
      <c r="H24" s="356"/>
      <c r="I24" s="94" t="str">
        <f>IF(D24="Neutral","Not relevant","Qualitative")</f>
        <v>Qualitative</v>
      </c>
      <c r="J24" s="154" t="e">
        <f>FIND("(",'Describe baseline'!F24)</f>
        <v>#VALUE!</v>
      </c>
      <c r="K24" s="154" t="e">
        <f>FIND("(",'Describe baseline'!G24)</f>
        <v>#VALUE!</v>
      </c>
      <c r="L24" s="154" t="e">
        <f>FIND(":",'Describe baseline'!H24)</f>
        <v>#VALUE!</v>
      </c>
      <c r="M24" s="364"/>
      <c r="N24" s="19" t="s">
        <v>152</v>
      </c>
      <c r="O24" s="149" t="str">
        <f>IF('Identify beneficiaries'!E15="Y",IF(OR($I24="Qualitative",$I24="Not relevant"),$I24,$I24*'Summary of area'!$C$22/'Identify beneficiaries'!$L15),"")</f>
        <v>Qualitative</v>
      </c>
      <c r="P24" s="149" t="str">
        <f>IF('Identify beneficiaries'!F15="Y",IF(OR($I24="Qualitative",$I24="Not relevant"),$I24,$I24*'Summary of area'!$C$22/'Identify beneficiaries'!$L15),"")</f>
        <v/>
      </c>
      <c r="Q24" s="149" t="str">
        <f>IF('Identify beneficiaries'!G15="Y",IF(OR($I24="Qualitative",$I24="Not relevant"),$I24,$I24*'Summary of area'!$C$22/'Identify beneficiaries'!$L15),"")</f>
        <v/>
      </c>
      <c r="R24" s="149" t="str">
        <f>IF('Identify beneficiaries'!H15="Y",IF(OR($I24="Qualitative",$I24="Not relevant"),$I24,$I24*'Summary of area'!$C$22/'Identify beneficiaries'!$L15),"")</f>
        <v/>
      </c>
      <c r="S24" s="149" t="str">
        <f>IF('Identify beneficiaries'!I15="Y",IF(OR($I24="Qualitative",$I24="Not relevant"),$I24,$I24*'Summary of area'!$C$22/'Identify beneficiaries'!$L15),"")</f>
        <v/>
      </c>
      <c r="T24" s="149" t="str">
        <f>IF('Identify beneficiaries'!J15="Y",IF(OR($I24="Qualitative",$I24="Not relevant"),$I24,$I24*'Summary of area'!$C$22/'Identify beneficiaries'!$L15),"")</f>
        <v/>
      </c>
      <c r="U24" s="149" t="str">
        <f>IF('Identify beneficiaries'!K15="Y",IF(OR($I24="Qualitative",$I24="Not relevant"),$I24,$I24*'Summary of area'!$C$22/'Identify beneficiaries'!$L15),"")</f>
        <v/>
      </c>
      <c r="V24" s="149" t="str">
        <f>IF(OR(I24="Qualitative",I24="Not relevant"),I24,ROUND(I24*'Summary of area'!$C$21,3-LEN(INT(I24*'Summary of area'!$C$21))))</f>
        <v>Qualitative</v>
      </c>
      <c r="X24" s="14" t="str">
        <f t="shared" si="0"/>
        <v/>
      </c>
      <c r="Y24" s="14" t="str">
        <f t="shared" si="1"/>
        <v/>
      </c>
    </row>
    <row r="25" spans="1:25" ht="26.25" thickBot="1">
      <c r="A25" s="597"/>
      <c r="B25" s="598"/>
      <c r="C25" s="24" t="s">
        <v>54</v>
      </c>
      <c r="D25" s="138">
        <f>IF('Describe baseline'!E25="-","+",IF('Describe baseline'!E25="+","-",'Describe baseline'!E25))</f>
        <v>0</v>
      </c>
      <c r="E25" s="25" t="str">
        <f>IF(ISERROR(LEFT('Describe baseline'!F25,'OUTPUT-all'!J25-2)),"",LEFT('Describe baseline'!F25,'OUTPUT-all'!J25-2))</f>
        <v/>
      </c>
      <c r="F25" s="25" t="str">
        <f>IF(ISERROR(LEFT('Describe baseline'!G25,'OUTPUT-all'!K25-2)),"",LEFT('Describe baseline'!G25,'OUTPUT-all'!K25-2))</f>
        <v/>
      </c>
      <c r="G25" s="346" t="str">
        <f>IF(ISERROR(LEFT('Describe baseline'!H25:H29,'OUTPUT-all'!L25-1)),"",LEFT('Describe baseline'!H25:H29,'OUTPUT-all'!L25-1))</f>
        <v/>
      </c>
      <c r="H25" s="356"/>
      <c r="I25" s="94" t="str">
        <f>IF(D25="Neutral","Not relevant","Qualitative")</f>
        <v>Qualitative</v>
      </c>
      <c r="J25" s="154" t="e">
        <f>FIND("(",'Describe baseline'!F25)</f>
        <v>#VALUE!</v>
      </c>
      <c r="K25" s="154" t="e">
        <f>FIND("(",'Describe baseline'!G25)</f>
        <v>#VALUE!</v>
      </c>
      <c r="L25" s="154" t="e">
        <f>FIND(":",'Describe baseline'!H25)</f>
        <v>#VALUE!</v>
      </c>
      <c r="M25" s="364"/>
      <c r="N25" s="19" t="s">
        <v>153</v>
      </c>
      <c r="O25" s="149" t="str">
        <f>IF('Identify beneficiaries'!E16="Y",IF(OR($I25="Qualitative",$I25="Not relevant"),$I25,$I25*'Summary of area'!$C$22/'Identify beneficiaries'!$L16),"")</f>
        <v/>
      </c>
      <c r="P25" s="149" t="str">
        <f>IF('Identify beneficiaries'!F16="Y",IF(OR($I25="Qualitative",$I25="Not relevant"),$I25,$I25*'Summary of area'!$C$22/'Identify beneficiaries'!$L16),"")</f>
        <v/>
      </c>
      <c r="Q25" s="149" t="str">
        <f>IF('Identify beneficiaries'!G16="Y",IF(OR($I25="Qualitative",$I25="Not relevant"),$I25,$I25*'Summary of area'!$C$22/'Identify beneficiaries'!$L16),"")</f>
        <v/>
      </c>
      <c r="R25" s="149" t="str">
        <f>IF('Identify beneficiaries'!H16="Y",IF(OR($I25="Qualitative",$I25="Not relevant"),$I25,$I25*'Summary of area'!$C$22/'Identify beneficiaries'!$L16),"")</f>
        <v/>
      </c>
      <c r="S25" s="149" t="str">
        <f>IF('Identify beneficiaries'!I16="Y",IF(OR($I25="Qualitative",$I25="Not relevant"),$I25,$I25*'Summary of area'!$C$22/'Identify beneficiaries'!$L16),"")</f>
        <v/>
      </c>
      <c r="T25" s="149" t="str">
        <f>IF('Identify beneficiaries'!J16="Y",IF(OR($I25="Qualitative",$I25="Not relevant"),$I25,$I25*'Summary of area'!$C$22/'Identify beneficiaries'!$L16),"")</f>
        <v>Qualitative</v>
      </c>
      <c r="U25" s="149" t="str">
        <f>IF('Identify beneficiaries'!K16="Y",IF(OR($I25="Qualitative",$I25="Not relevant"),$I25,$I25*'Summary of area'!$C$22/'Identify beneficiaries'!$L16),"")</f>
        <v/>
      </c>
      <c r="V25" s="149" t="str">
        <f>IF(OR(I25="Qualitative",I25="Not relevant"),I25,ROUND(I25*'Summary of area'!$C$21,3-LEN(INT(I25*'Summary of area'!$C$21))))</f>
        <v>Qualitative</v>
      </c>
      <c r="X25" s="14" t="str">
        <f t="shared" si="0"/>
        <v/>
      </c>
      <c r="Y25" s="14" t="str">
        <f t="shared" si="1"/>
        <v/>
      </c>
    </row>
    <row r="26" spans="1:25" ht="24.75" customHeight="1" thickBot="1">
      <c r="A26" s="597"/>
      <c r="B26" s="596" t="s">
        <v>23</v>
      </c>
      <c r="C26" s="596" t="s">
        <v>52</v>
      </c>
      <c r="D26" s="665">
        <f>IF('Describe baseline'!E26="-","+",IF('Describe baseline'!E26="+","-",'Describe baseline'!E26))</f>
        <v>0</v>
      </c>
      <c r="E26" s="668" t="str">
        <f>IF(ISERROR(LEFT('Describe baseline'!F26,'OUTPUT-all'!J26-2)),"",LEFT('Describe baseline'!F26,'OUTPUT-all'!J26-2))</f>
        <v/>
      </c>
      <c r="F26" s="665" t="str">
        <f>IF(ISERROR(LEFT('Describe baseline'!G26,'OUTPUT-all'!K26-2)),"",LEFT('Describe baseline'!G26,'OUTPUT-all'!K26-2))</f>
        <v/>
      </c>
      <c r="G26" s="665" t="str">
        <f>IF(ISERROR(LEFT('Describe baseline'!H26:H30,'OUTPUT-all'!L26-1)),"",LEFT('Describe baseline'!H26:H30,'OUTPUT-all'!L26-1))</f>
        <v/>
      </c>
      <c r="H26" s="371" t="str">
        <f>IF(ISERROR(LEFT('Water levels-Emergency'!K163,'OUTPUT-all'!M26-2)),"",LEFT('Water levels-Emergency'!K163,'OUTPUT-all'!M26-1))</f>
        <v>High</v>
      </c>
      <c r="I26" s="661" t="str">
        <f>IF('Water levels-Emergency'!D163="Enter number of stations",IF(D26="Neutral","Not relevant","Qualitative"),ROUND('Water levels-Emergency'!H163,3-LEN(INT('Water levels-Emergency'!H163))))</f>
        <v>Qualitative</v>
      </c>
      <c r="J26" s="154" t="e">
        <f>FIND("(",'Describe baseline'!F26)</f>
        <v>#VALUE!</v>
      </c>
      <c r="K26" s="154" t="e">
        <f>FIND("(",'Describe baseline'!G26)</f>
        <v>#VALUE!</v>
      </c>
      <c r="L26" s="154" t="e">
        <f>FIND(":",'Describe baseline'!H26)</f>
        <v>#VALUE!</v>
      </c>
      <c r="M26" s="154">
        <f>FIND(":",'Water levels-Emergency'!K163)</f>
        <v>5</v>
      </c>
      <c r="N26" s="19" t="s">
        <v>157</v>
      </c>
      <c r="O26" s="149" t="str">
        <f>IF('Identify beneficiaries'!E17="Y",IF(OR($I26="Qualitative",$I26="Not relevant"),$I26,ROUND($I26*'Summary of area'!$E$35/'Identify beneficiaries'!$L17,3-LEN(INT($I26*'Summary of area'!$E$35/'Identify beneficiaries'!$L17)))),"")</f>
        <v/>
      </c>
      <c r="P26" s="149" t="str">
        <f>IF('Identify beneficiaries'!F17="Y",IF(OR($I26="Qualitative",$I26="Not relevant"),$I26,ROUND($I26*'Summary of area'!$E$35/'Identify beneficiaries'!$L17,3-LEN(INT($I26*'Summary of area'!$E$35/'Identify beneficiaries'!$L17)))),"")</f>
        <v/>
      </c>
      <c r="Q26" s="149" t="str">
        <f>IF('Identify beneficiaries'!G17="Y",IF(OR($I26="Qualitative",$I26="Not relevant"),$I26,ROUND($I26*'Summary of area'!$E$35/'Identify beneficiaries'!$L17,3-LEN(INT($I26*'Summary of area'!$E$35/'Identify beneficiaries'!$L17)))),"")</f>
        <v/>
      </c>
      <c r="R26" s="149" t="str">
        <f>IF('Identify beneficiaries'!H17="Y",IF(OR($I26="Qualitative",$I26="Not relevant"),$I26,ROUND($I26*'Summary of area'!$E$35/'Identify beneficiaries'!$L17,3-LEN(INT($I26*'Summary of area'!$E$35/'Identify beneficiaries'!$L17)))),"")</f>
        <v>Qualitative</v>
      </c>
      <c r="S26" s="149" t="str">
        <f>IF('Identify beneficiaries'!I17="Y",IF(OR($I26="Qualitative",$I26="Not relevant"),$I26,ROUND($I26*'Summary of area'!$E$35/'Identify beneficiaries'!$L17,3-LEN(INT($I26*'Summary of area'!$E$35/'Identify beneficiaries'!$L17)))),"")</f>
        <v>Qualitative</v>
      </c>
      <c r="T26" s="149" t="str">
        <f>IF('Identify beneficiaries'!J17="Y",IF(OR($I26="Qualitative",$I26="Not relevant"),$I26,ROUND($I26*'Summary of area'!$E$35/'Identify beneficiaries'!$L17,3-LEN(INT($I26*'Summary of area'!$E$35/'Identify beneficiaries'!$L17)))),"")</f>
        <v/>
      </c>
      <c r="U26" s="149" t="str">
        <f>IF('Identify beneficiaries'!K17="Y",IF(OR($I26="Qualitative",$I26="Not relevant"),$I26,ROUND($I26*'Summary of area'!$E$35/'Identify beneficiaries'!$L17,3-LEN(INT($I26*'Summary of area'!$E$35/'Identify beneficiaries'!$L17)))),"")</f>
        <v/>
      </c>
      <c r="V26" s="149" t="str">
        <f>IF(OR(I26="Qualitative",I26="Not relevant"),I26,ROUND(I26*'Summary of area'!$D$35,3-LEN(INT(I26*'Summary of area'!$D$35))))</f>
        <v>Qualitative</v>
      </c>
      <c r="X26" s="14" t="str">
        <f t="shared" si="0"/>
        <v/>
      </c>
      <c r="Y26" s="14" t="str">
        <f t="shared" si="1"/>
        <v/>
      </c>
    </row>
    <row r="27" spans="1:25" ht="13.5" hidden="1" thickBot="1">
      <c r="A27" s="597"/>
      <c r="B27" s="615"/>
      <c r="C27" s="669"/>
      <c r="D27" s="655">
        <f>IF('Describe baseline'!E27="-","+",IF('Describe baseline'!E27="+","-",'Describe baseline'!E27))</f>
        <v>0</v>
      </c>
      <c r="E27" s="668" t="str">
        <f>IF(ISERROR(LEFT('Describe baseline'!F27,'OUTPUT-all'!J27-2)),"",LEFT('Describe baseline'!F27,'OUTPUT-all'!J27-2))</f>
        <v/>
      </c>
      <c r="F27" s="655" t="str">
        <f>IF(ISERROR(LEFT('Describe baseline'!G27:G31,'OUTPUT-all'!K27-2)),"",LEFT('Describe baseline'!G27:G31,'OUTPUT-all'!K27-2))</f>
        <v/>
      </c>
      <c r="G27" s="655" t="str">
        <f>IF(ISERROR(LEFT('Describe baseline'!H27:H31,'OUTPUT-all'!L27-2)),"",LEFT('Describe baseline'!H27:H31,'OUTPUT-all'!L27-2))</f>
        <v/>
      </c>
      <c r="H27" s="355"/>
      <c r="I27" s="652" t="e">
        <f>IF(D27="-",ROUND(#REF!,2-LEN(INT(#REF!)))*-1,ROUND(#REF!,2-LEN(INT(#REF!))))</f>
        <v>#REF!</v>
      </c>
      <c r="J27" s="154" t="e">
        <f>FIND("(",'Describe baseline'!F27)</f>
        <v>#VALUE!</v>
      </c>
      <c r="K27" s="154" t="e">
        <f>FIND("(",'Describe baseline'!G27)</f>
        <v>#VALUE!</v>
      </c>
      <c r="L27" s="154" t="e">
        <f>FIND(":",'Describe baseline'!H27)</f>
        <v>#VALUE!</v>
      </c>
      <c r="M27" s="364"/>
      <c r="N27" s="148"/>
      <c r="O27" s="149"/>
      <c r="P27" s="149"/>
      <c r="Q27" s="149"/>
      <c r="R27" s="149"/>
      <c r="S27" s="149"/>
      <c r="T27" s="149"/>
      <c r="U27" s="149"/>
      <c r="V27" s="149"/>
      <c r="X27" s="14" t="e">
        <f t="shared" si="0"/>
        <v>#REF!</v>
      </c>
      <c r="Y27" s="14" t="e">
        <f t="shared" si="1"/>
        <v>#REF!</v>
      </c>
    </row>
    <row r="28" spans="1:25" ht="26.25" thickBot="1">
      <c r="A28" s="597"/>
      <c r="B28" s="615"/>
      <c r="C28" s="24" t="s">
        <v>53</v>
      </c>
      <c r="D28" s="138">
        <f>IF('Describe baseline'!E28="-","+",IF('Describe baseline'!E28="+","-",'Describe baseline'!E28))</f>
        <v>0</v>
      </c>
      <c r="E28" s="25" t="str">
        <f>IF(ISERROR(LEFT('Describe baseline'!F28,'OUTPUT-all'!J28-2)),"",LEFT('Describe baseline'!F28,'OUTPUT-all'!J28-2))</f>
        <v/>
      </c>
      <c r="F28" s="25" t="str">
        <f>IF(ISERROR(LEFT('Describe baseline'!G28,'OUTPUT-all'!K28-2)),"",LEFT('Describe baseline'!G28,'OUTPUT-all'!K28-2))</f>
        <v/>
      </c>
      <c r="G28" s="346" t="str">
        <f>IF(ISERROR(LEFT('Describe baseline'!H28:H32,'OUTPUT-all'!L28-1)),"",LEFT('Describe baseline'!H28:H32,'OUTPUT-all'!L28-1))</f>
        <v/>
      </c>
      <c r="H28" s="356"/>
      <c r="I28" s="94" t="str">
        <f>IF(D28="Neutral","Not relevant","Qualitative")</f>
        <v>Qualitative</v>
      </c>
      <c r="J28" s="154" t="e">
        <f>FIND("(",'Describe baseline'!F28)</f>
        <v>#VALUE!</v>
      </c>
      <c r="K28" s="154" t="e">
        <f>FIND("(",'Describe baseline'!G28)</f>
        <v>#VALUE!</v>
      </c>
      <c r="L28" s="154" t="e">
        <f>FIND(":",'Describe baseline'!H28)</f>
        <v>#VALUE!</v>
      </c>
      <c r="M28" s="364"/>
      <c r="N28" s="19" t="s">
        <v>158</v>
      </c>
      <c r="O28" s="149" t="str">
        <f>IF('Identify beneficiaries'!E18="Y",IF(OR($I28="Qualitative",$I28="Not relevant"),$I28,$I28*'Summary of area'!$C$22/'Identify beneficiaries'!$L18),"")</f>
        <v>Qualitative</v>
      </c>
      <c r="P28" s="149" t="str">
        <f>IF('Identify beneficiaries'!F18="Y",IF(OR($I28="Qualitative",$I28="Not relevant"),$I28,$I28*'Summary of area'!$C$22/'Identify beneficiaries'!$L18),"")</f>
        <v>Qualitative</v>
      </c>
      <c r="Q28" s="149" t="str">
        <f>IF('Identify beneficiaries'!G18="Y",IF(OR($I28="Qualitative",$I28="Not relevant"),$I28,$I28*'Summary of area'!$C$22/'Identify beneficiaries'!$L18),"")</f>
        <v>Qualitative</v>
      </c>
      <c r="R28" s="149" t="str">
        <f>IF('Identify beneficiaries'!H18="Y",IF(OR($I28="Qualitative",$I28="Not relevant"),$I28,$I28*'Summary of area'!$C$22/'Identify beneficiaries'!$L18),"")</f>
        <v>Qualitative</v>
      </c>
      <c r="S28" s="149" t="str">
        <f>IF('Identify beneficiaries'!I18="Y",IF(OR($I28="Qualitative",$I28="Not relevant"),$I28,$I28*'Summary of area'!$C$22/'Identify beneficiaries'!$L18),"")</f>
        <v/>
      </c>
      <c r="T28" s="149" t="str">
        <f>IF('Identify beneficiaries'!J18="Y",IF(OR($I28="Qualitative",$I28="Not relevant"),$I28,$I28*'Summary of area'!$C$22/'Identify beneficiaries'!$L18),"")</f>
        <v/>
      </c>
      <c r="U28" s="149" t="str">
        <f>IF('Identify beneficiaries'!K18="Y",IF(OR($I28="Qualitative",$I28="Not relevant"),$I28,$I28*'Summary of area'!$C$22/'Identify beneficiaries'!$L18),"")</f>
        <v/>
      </c>
      <c r="V28" s="149" t="str">
        <f>IF(OR(I28="Qualitative",I28="Not relevant"),I28,ROUND(I28*'Summary of area'!$C$21,3-LEN(INT(I28*'Summary of area'!$C$21))))</f>
        <v>Qualitative</v>
      </c>
      <c r="X28" s="14" t="str">
        <f t="shared" si="0"/>
        <v/>
      </c>
      <c r="Y28" s="14" t="str">
        <f t="shared" si="1"/>
        <v/>
      </c>
    </row>
    <row r="29" spans="1:25" ht="26.25" thickBot="1">
      <c r="A29" s="597"/>
      <c r="B29" s="669"/>
      <c r="C29" s="24" t="s">
        <v>54</v>
      </c>
      <c r="D29" s="138">
        <f>IF('Describe baseline'!E29="-","+",IF('Describe baseline'!E29="+","-",'Describe baseline'!E29))</f>
        <v>0</v>
      </c>
      <c r="E29" s="25" t="str">
        <f>IF(ISERROR(LEFT('Describe baseline'!F29,'OUTPUT-all'!J29-2)),"",LEFT('Describe baseline'!F29,'OUTPUT-all'!J29-2))</f>
        <v/>
      </c>
      <c r="F29" s="25" t="str">
        <f>IF(ISERROR(LEFT('Describe baseline'!G29,'OUTPUT-all'!K29-2)),"",LEFT('Describe baseline'!G29,'OUTPUT-all'!K29-2))</f>
        <v/>
      </c>
      <c r="G29" s="346" t="str">
        <f>IF(ISERROR(LEFT('Describe baseline'!H29:H33,'OUTPUT-all'!L29-1)),"",LEFT('Describe baseline'!H29:H33,'OUTPUT-all'!L29-1))</f>
        <v/>
      </c>
      <c r="H29" s="356"/>
      <c r="I29" s="94" t="str">
        <f>IF(D29="Neutral","Not relevant","Qualitative")</f>
        <v>Qualitative</v>
      </c>
      <c r="J29" s="154" t="e">
        <f>FIND("(",'Describe baseline'!F29)</f>
        <v>#VALUE!</v>
      </c>
      <c r="K29" s="154" t="e">
        <f>FIND("(",'Describe baseline'!G29)</f>
        <v>#VALUE!</v>
      </c>
      <c r="L29" s="154" t="e">
        <f>FIND(":",'Describe baseline'!H29)</f>
        <v>#VALUE!</v>
      </c>
      <c r="M29" s="364"/>
      <c r="N29" s="19" t="s">
        <v>159</v>
      </c>
      <c r="O29" s="149" t="str">
        <f>IF('Identify beneficiaries'!E19="Y",IF(OR($I29="Qualitative",$I29="Not relevant"),$I29,$I29*'Summary of area'!$C$22/'Identify beneficiaries'!$L19),"")</f>
        <v/>
      </c>
      <c r="P29" s="149" t="str">
        <f>IF('Identify beneficiaries'!F19="Y",IF(OR($I29="Qualitative",$I29="Not relevant"),$I29,$I29*'Summary of area'!$C$22/'Identify beneficiaries'!$L19),"")</f>
        <v/>
      </c>
      <c r="Q29" s="149" t="str">
        <f>IF('Identify beneficiaries'!G19="Y",IF(OR($I29="Qualitative",$I29="Not relevant"),$I29,$I29*'Summary of area'!$C$22/'Identify beneficiaries'!$L19),"")</f>
        <v/>
      </c>
      <c r="R29" s="149" t="str">
        <f>IF('Identify beneficiaries'!H19="Y",IF(OR($I29="Qualitative",$I29="Not relevant"),$I29,$I29*'Summary of area'!$C$22/'Identify beneficiaries'!$L19),"")</f>
        <v/>
      </c>
      <c r="S29" s="149" t="str">
        <f>IF('Identify beneficiaries'!I19="Y",IF(OR($I29="Qualitative",$I29="Not relevant"),$I29,$I29*'Summary of area'!$C$22/'Identify beneficiaries'!$L19),"")</f>
        <v/>
      </c>
      <c r="T29" s="149" t="str">
        <f>IF('Identify beneficiaries'!J19="Y",IF(OR($I29="Qualitative",$I29="Not relevant"),$I29,$I29*'Summary of area'!$C$22/'Identify beneficiaries'!$L19),"")</f>
        <v>Qualitative</v>
      </c>
      <c r="U29" s="149" t="str">
        <f>IF('Identify beneficiaries'!K19="Y",IF(OR($I29="Qualitative",$I29="Not relevant"),$I29,$I29*'Summary of area'!$C$22/'Identify beneficiaries'!$L19),"")</f>
        <v>Qualitative</v>
      </c>
      <c r="V29" s="149" t="str">
        <f>IF(OR(I29="Qualitative",I29="Not relevant"),I29,ROUND(I29*'Summary of area'!$C$21,3-LEN(INT(I29*'Summary of area'!$C$21))))</f>
        <v>Qualitative</v>
      </c>
      <c r="X29" s="14" t="str">
        <f t="shared" si="0"/>
        <v/>
      </c>
      <c r="Y29" s="14" t="str">
        <f t="shared" si="1"/>
        <v/>
      </c>
    </row>
    <row r="30" spans="1:25" ht="41.25" customHeight="1" thickBot="1">
      <c r="A30" s="597"/>
      <c r="B30" s="596" t="s">
        <v>71</v>
      </c>
      <c r="C30" s="596" t="s">
        <v>52</v>
      </c>
      <c r="D30" s="665">
        <f>IF('Describe baseline'!E30="-","+",IF('Describe baseline'!E30="+","-",'Describe baseline'!E30))</f>
        <v>0</v>
      </c>
      <c r="E30" s="668" t="str">
        <f>IF(ISERROR(LEFT('Describe baseline'!F30,'OUTPUT-all'!J30-2)),"",LEFT('Describe baseline'!F30,'OUTPUT-all'!J30-2))</f>
        <v/>
      </c>
      <c r="F30" s="665" t="str">
        <f>IF(ISERROR(LEFT('Describe baseline'!G30,'OUTPUT-all'!K30-2)),"",LEFT('Describe baseline'!G30,'OUTPUT-all'!K30-2))</f>
        <v/>
      </c>
      <c r="G30" s="665" t="str">
        <f>IF(ISERROR(LEFT('Describe baseline'!H30:H34,'OUTPUT-all'!L30-1)),"",LEFT('Describe baseline'!H30:H34,'OUTPUT-all'!L30-1))</f>
        <v/>
      </c>
      <c r="H30" s="371" t="str">
        <f>IF(ISERROR(LEFT('Water levels-Utilities'!K200,'OUTPUT-all'!M30-2)),"",LEFT('Water levels-Utilities'!K200,'OUTPUT-all'!M30-1))</f>
        <v>High</v>
      </c>
      <c r="I30" s="661" t="str">
        <f>IF('Water levels-Utilities'!D200="Enter number of utilities/stations",IF(D30="Neutral","Not relevant","Qualitative"),ROUND('Water levels-Utilities'!H200,3-LEN(INT('Water levels-Utilities'!H200))))</f>
        <v>Qualitative</v>
      </c>
      <c r="J30" s="154" t="e">
        <f>FIND("(",'Describe baseline'!F30)</f>
        <v>#VALUE!</v>
      </c>
      <c r="K30" s="154" t="e">
        <f>FIND("(",'Describe baseline'!G30)</f>
        <v>#VALUE!</v>
      </c>
      <c r="L30" s="154" t="e">
        <f>FIND(":",'Describe baseline'!H30)</f>
        <v>#VALUE!</v>
      </c>
      <c r="M30" s="154">
        <f>FIND(":",'Water levels-Utilities'!K200)</f>
        <v>5</v>
      </c>
      <c r="N30" s="19" t="s">
        <v>154</v>
      </c>
      <c r="O30" s="149" t="str">
        <f>IF('Identify beneficiaries'!E20="Y",IF(OR($I30="Qualitative",$I30="Not relevant"),$I30,ROUND($I30*'Summary of area'!$E$36/'Identify beneficiaries'!$L20,3-LEN(INT($I30*'Summary of area'!$E$36/'Identify beneficiaries'!$L20)))),"")</f>
        <v/>
      </c>
      <c r="P30" s="149" t="str">
        <f>IF('Identify beneficiaries'!F20="Y",IF(OR($I30="Qualitative",$I30="Not relevant"),$I30,ROUND($I30*'Summary of area'!$E$36/'Identify beneficiaries'!$L20,3-LEN(INT($I30*'Summary of area'!$E$36/'Identify beneficiaries'!$L20)))),"")</f>
        <v/>
      </c>
      <c r="Q30" s="149" t="str">
        <f>IF('Identify beneficiaries'!G20="Y",IF(OR($I30="Qualitative",$I30="Not relevant"),$I30,ROUND($I30*'Summary of area'!$E$36/'Identify beneficiaries'!$L20,3-LEN(INT($I30*'Summary of area'!$E$36/'Identify beneficiaries'!$L20)))),"")</f>
        <v/>
      </c>
      <c r="R30" s="149" t="str">
        <f>IF('Identify beneficiaries'!H20="Y",IF(OR($I30="Qualitative",$I30="Not relevant"),$I30,ROUND($I30*'Summary of area'!$E$36/'Identify beneficiaries'!$L20,3-LEN(INT($I30*'Summary of area'!$E$36/'Identify beneficiaries'!$L20)))),"")</f>
        <v/>
      </c>
      <c r="S30" s="149" t="str">
        <f>IF('Identify beneficiaries'!I20="Y",IF(OR($I30="Qualitative",$I30="Not relevant"),$I30,ROUND($I30*'Summary of area'!$E$36/'Identify beneficiaries'!$L20,3-LEN(INT($I30*'Summary of area'!$E$36/'Identify beneficiaries'!$L20)))),"")</f>
        <v>Qualitative</v>
      </c>
      <c r="T30" s="149" t="str">
        <f>IF('Identify beneficiaries'!J20="Y",IF(OR($I30="Qualitative",$I30="Not relevant"),$I30,ROUND($I30*'Summary of area'!$E$36/'Identify beneficiaries'!$L20,3-LEN(INT($I30*'Summary of area'!$E$36/'Identify beneficiaries'!$L20)))),"")</f>
        <v/>
      </c>
      <c r="U30" s="149" t="str">
        <f>IF('Identify beneficiaries'!K20="Y",IF(OR($I30="Qualitative",$I30="Not relevant"),$I30,ROUND($I30*'Summary of area'!$E$36/'Identify beneficiaries'!$L20,3-LEN(INT($I30*'Summary of area'!$E$36/'Identify beneficiaries'!$L20)))),"")</f>
        <v/>
      </c>
      <c r="V30" s="149" t="str">
        <f>IF(OR(I30="Qualitative",I30="Not relevant"),I30,ROUND(I30*'Summary of area'!$D$36,3-LEN(INT(I30*'Summary of area'!$D$36))))</f>
        <v>Qualitative</v>
      </c>
      <c r="X30" s="14" t="str">
        <f t="shared" si="0"/>
        <v/>
      </c>
      <c r="Y30" s="14" t="str">
        <f t="shared" si="1"/>
        <v/>
      </c>
    </row>
    <row r="31" spans="1:25" ht="12.75" customHeight="1" hidden="1" thickBot="1">
      <c r="A31" s="597"/>
      <c r="B31" s="615"/>
      <c r="C31" s="615"/>
      <c r="D31" s="654">
        <f>IF('Describe baseline'!E31="-","+",IF('Describe baseline'!E31="+","-",'Describe baseline'!E31))</f>
        <v>0</v>
      </c>
      <c r="E31" s="668" t="str">
        <f>IF(ISERROR(LEFT('Describe baseline'!F31,'OUTPUT-all'!J31-2)),"",LEFT('Describe baseline'!F31,'OUTPUT-all'!J31-2))</f>
        <v/>
      </c>
      <c r="F31" s="654" t="str">
        <f>IF(ISERROR(LEFT('Describe baseline'!G31:G35,'OUTPUT-all'!K31-2)),"",LEFT('Describe baseline'!G31:G35,'OUTPUT-all'!K31-2))</f>
        <v/>
      </c>
      <c r="G31" s="654" t="str">
        <f>IF(ISERROR(LEFT('Describe baseline'!H31:H35,'OUTPUT-all'!L31-2)),"",LEFT('Describe baseline'!H31:H35,'OUTPUT-all'!L31-2))</f>
        <v/>
      </c>
      <c r="H31" s="354"/>
      <c r="I31" s="651" t="e">
        <f>IF(D31="-",ROUND(#REF!,2-LEN(INT(#REF!)))*-1,ROUND(#REF!,2-LEN(INT(#REF!))))</f>
        <v>#REF!</v>
      </c>
      <c r="J31" s="154" t="e">
        <f>FIND("(",'Describe baseline'!F31)</f>
        <v>#VALUE!</v>
      </c>
      <c r="K31" s="154" t="e">
        <f>FIND("(",'Describe baseline'!G31)</f>
        <v>#VALUE!</v>
      </c>
      <c r="L31" s="154" t="e">
        <f>FIND(":",'Describe baseline'!H31)</f>
        <v>#VALUE!</v>
      </c>
      <c r="M31" s="364"/>
      <c r="N31" s="148"/>
      <c r="O31" s="149"/>
      <c r="P31" s="149"/>
      <c r="Q31" s="149"/>
      <c r="R31" s="149"/>
      <c r="S31" s="149"/>
      <c r="T31" s="149"/>
      <c r="U31" s="149"/>
      <c r="V31" s="149"/>
      <c r="X31" s="14" t="e">
        <f t="shared" si="0"/>
        <v>#REF!</v>
      </c>
      <c r="Y31" s="14" t="e">
        <f t="shared" si="1"/>
        <v>#REF!</v>
      </c>
    </row>
    <row r="32" spans="1:25" ht="12.75" customHeight="1" hidden="1" thickBot="1">
      <c r="A32" s="597"/>
      <c r="B32" s="615"/>
      <c r="C32" s="615"/>
      <c r="D32" s="654">
        <f>IF('Describe baseline'!E32="-","+",IF('Describe baseline'!E32="+","-",'Describe baseline'!E32))</f>
        <v>0</v>
      </c>
      <c r="E32" s="668" t="str">
        <f>IF(ISERROR(LEFT('Describe baseline'!F32,'OUTPUT-all'!J32-2)),"",LEFT('Describe baseline'!F32,'OUTPUT-all'!J32-2))</f>
        <v/>
      </c>
      <c r="F32" s="654" t="str">
        <f>IF(ISERROR(LEFT('Describe baseline'!G32:G36,'OUTPUT-all'!K32-2)),"",LEFT('Describe baseline'!G32:G36,'OUTPUT-all'!K32-2))</f>
        <v/>
      </c>
      <c r="G32" s="654" t="str">
        <f>IF(ISERROR(LEFT('Describe baseline'!H32:H36,'OUTPUT-all'!L32-2)),"",LEFT('Describe baseline'!H32:H36,'OUTPUT-all'!L32-2))</f>
        <v/>
      </c>
      <c r="H32" s="354"/>
      <c r="I32" s="651" t="e">
        <f>IF(D32="-",ROUND(#REF!,2-LEN(INT(#REF!)))*-1,ROUND(#REF!,2-LEN(INT(#REF!))))</f>
        <v>#REF!</v>
      </c>
      <c r="J32" s="154" t="e">
        <f>FIND("(",'Describe baseline'!F32)</f>
        <v>#VALUE!</v>
      </c>
      <c r="K32" s="154" t="e">
        <f>FIND("(",'Describe baseline'!G32)</f>
        <v>#VALUE!</v>
      </c>
      <c r="L32" s="154" t="e">
        <f>FIND(":",'Describe baseline'!H32)</f>
        <v>#VALUE!</v>
      </c>
      <c r="M32" s="364"/>
      <c r="N32" s="148"/>
      <c r="O32" s="149"/>
      <c r="P32" s="149"/>
      <c r="Q32" s="149"/>
      <c r="R32" s="149"/>
      <c r="S32" s="149"/>
      <c r="T32" s="149"/>
      <c r="U32" s="149"/>
      <c r="V32" s="149"/>
      <c r="X32" s="14" t="e">
        <f t="shared" si="0"/>
        <v>#REF!</v>
      </c>
      <c r="Y32" s="14" t="e">
        <f t="shared" si="1"/>
        <v>#REF!</v>
      </c>
    </row>
    <row r="33" spans="1:25" ht="12.75" customHeight="1" hidden="1" thickBot="1">
      <c r="A33" s="597"/>
      <c r="B33" s="615"/>
      <c r="C33" s="615"/>
      <c r="D33" s="654">
        <f>IF('Describe baseline'!E33="-","+",IF('Describe baseline'!E33="+","-",'Describe baseline'!E33))</f>
        <v>0</v>
      </c>
      <c r="E33" s="668" t="str">
        <f>IF(ISERROR(LEFT('Describe baseline'!F33,'OUTPUT-all'!J33-2)),"",LEFT('Describe baseline'!F33,'OUTPUT-all'!J33-2))</f>
        <v/>
      </c>
      <c r="F33" s="654" t="str">
        <f>IF(ISERROR(LEFT('Describe baseline'!G33:G37,'OUTPUT-all'!K33-2)),"",LEFT('Describe baseline'!G33:G37,'OUTPUT-all'!K33-2))</f>
        <v/>
      </c>
      <c r="G33" s="654" t="str">
        <f>IF(ISERROR(LEFT('Describe baseline'!H33:H37,'OUTPUT-all'!L33-2)),"",LEFT('Describe baseline'!H33:H37,'OUTPUT-all'!L33-2))</f>
        <v/>
      </c>
      <c r="H33" s="354"/>
      <c r="I33" s="651" t="e">
        <f>IF(D33="-",ROUND(#REF!,2-LEN(INT(#REF!)))*-1,ROUND(#REF!,2-LEN(INT(#REF!))))</f>
        <v>#REF!</v>
      </c>
      <c r="J33" s="154" t="e">
        <f>FIND("(",'Describe baseline'!F33)</f>
        <v>#VALUE!</v>
      </c>
      <c r="K33" s="154" t="e">
        <f>FIND("(",'Describe baseline'!G33)</f>
        <v>#VALUE!</v>
      </c>
      <c r="L33" s="154" t="e">
        <f>FIND(":",'Describe baseline'!H33)</f>
        <v>#VALUE!</v>
      </c>
      <c r="M33" s="364"/>
      <c r="N33" s="148"/>
      <c r="O33" s="149"/>
      <c r="P33" s="149"/>
      <c r="Q33" s="149"/>
      <c r="R33" s="149"/>
      <c r="S33" s="149"/>
      <c r="T33" s="149"/>
      <c r="U33" s="149"/>
      <c r="V33" s="149"/>
      <c r="X33" s="14" t="e">
        <f t="shared" si="0"/>
        <v>#REF!</v>
      </c>
      <c r="Y33" s="14" t="e">
        <f t="shared" si="1"/>
        <v>#REF!</v>
      </c>
    </row>
    <row r="34" spans="1:25" ht="12.75" customHeight="1" hidden="1" thickBot="1">
      <c r="A34" s="597"/>
      <c r="B34" s="615"/>
      <c r="C34" s="669"/>
      <c r="D34" s="655">
        <f>IF('Describe baseline'!E34="-","+",IF('Describe baseline'!E34="+","-",'Describe baseline'!E34))</f>
        <v>0</v>
      </c>
      <c r="E34" s="668" t="str">
        <f>IF(ISERROR(LEFT('Describe baseline'!F34,'OUTPUT-all'!J34-2)),"",LEFT('Describe baseline'!F34,'OUTPUT-all'!J34-2))</f>
        <v/>
      </c>
      <c r="F34" s="655" t="str">
        <f>IF(ISERROR(LEFT('Describe baseline'!G34:G38,'OUTPUT-all'!K34-2)),"",LEFT('Describe baseline'!G34:G38,'OUTPUT-all'!K34-2))</f>
        <v/>
      </c>
      <c r="G34" s="655" t="str">
        <f>IF(ISERROR(LEFT('Describe baseline'!H34:H38,'OUTPUT-all'!L34-2)),"",LEFT('Describe baseline'!H34:H38,'OUTPUT-all'!L34-2))</f>
        <v/>
      </c>
      <c r="H34" s="355"/>
      <c r="I34" s="652" t="e">
        <f>IF(D34="-",ROUND(#REF!,2-LEN(INT(#REF!)))*-1,ROUND(#REF!,2-LEN(INT(#REF!))))</f>
        <v>#REF!</v>
      </c>
      <c r="J34" s="154" t="e">
        <f>FIND("(",'Describe baseline'!F34)</f>
        <v>#VALUE!</v>
      </c>
      <c r="K34" s="154" t="e">
        <f>FIND("(",'Describe baseline'!G34)</f>
        <v>#VALUE!</v>
      </c>
      <c r="L34" s="154" t="e">
        <f>FIND(":",'Describe baseline'!H34)</f>
        <v>#VALUE!</v>
      </c>
      <c r="M34" s="364"/>
      <c r="N34" s="148"/>
      <c r="O34" s="149"/>
      <c r="P34" s="149"/>
      <c r="Q34" s="149"/>
      <c r="R34" s="149"/>
      <c r="S34" s="149"/>
      <c r="T34" s="149"/>
      <c r="U34" s="149"/>
      <c r="V34" s="149"/>
      <c r="X34" s="14" t="e">
        <f t="shared" si="0"/>
        <v>#REF!</v>
      </c>
      <c r="Y34" s="14" t="e">
        <f t="shared" si="1"/>
        <v>#REF!</v>
      </c>
    </row>
    <row r="35" spans="1:25" ht="22.5" customHeight="1" thickBot="1">
      <c r="A35" s="597"/>
      <c r="B35" s="615"/>
      <c r="C35" s="24" t="s">
        <v>53</v>
      </c>
      <c r="D35" s="138">
        <f>IF('Describe baseline'!E35="-","+",IF('Describe baseline'!E35="+","-",'Describe baseline'!E35))</f>
        <v>0</v>
      </c>
      <c r="E35" s="25" t="str">
        <f>IF(ISERROR(LEFT('Describe baseline'!F35,'OUTPUT-all'!J35-2)),"",LEFT('Describe baseline'!F35,'OUTPUT-all'!J35-2))</f>
        <v/>
      </c>
      <c r="F35" s="25" t="str">
        <f>IF(ISERROR(LEFT('Describe baseline'!G35,'OUTPUT-all'!K35-2)),"",LEFT('Describe baseline'!G35,'OUTPUT-all'!K35-2))</f>
        <v/>
      </c>
      <c r="G35" s="346" t="str">
        <f>IF(ISERROR(LEFT('Describe baseline'!H35:H39,'OUTPUT-all'!L35-1)),"",LEFT('Describe baseline'!H35:H39,'OUTPUT-all'!L35-1))</f>
        <v/>
      </c>
      <c r="H35" s="356"/>
      <c r="I35" s="94" t="str">
        <f>IF(D35="Neutral","Not relevant","Qualitative")</f>
        <v>Qualitative</v>
      </c>
      <c r="J35" s="154" t="e">
        <f>FIND("(",'Describe baseline'!F35)</f>
        <v>#VALUE!</v>
      </c>
      <c r="K35" s="154" t="e">
        <f>FIND("(",'Describe baseline'!G35)</f>
        <v>#VALUE!</v>
      </c>
      <c r="L35" s="154" t="e">
        <f>FIND(":",'Describe baseline'!H35)</f>
        <v>#VALUE!</v>
      </c>
      <c r="M35" s="364"/>
      <c r="N35" s="19" t="s">
        <v>155</v>
      </c>
      <c r="O35" s="149" t="str">
        <f>IF('Identify beneficiaries'!E21="Y",IF(OR($I35="Qualitative",$I35="Not relevant"),$I35,$I35*'Summary of area'!$C$22/'Identify beneficiaries'!$L21),"")</f>
        <v>Qualitative</v>
      </c>
      <c r="P35" s="149" t="str">
        <f>IF('Identify beneficiaries'!F21="Y",IF(OR($I35="Qualitative",$I35="Not relevant"),$I35,$I35*'Summary of area'!$C$22/'Identify beneficiaries'!$L21),"")</f>
        <v>Qualitative</v>
      </c>
      <c r="Q35" s="149" t="str">
        <f>IF('Identify beneficiaries'!G21="Y",IF(OR($I35="Qualitative",$I35="Not relevant"),$I35,$I35*'Summary of area'!$C$22/'Identify beneficiaries'!$L21),"")</f>
        <v>Qualitative</v>
      </c>
      <c r="R35" s="149" t="str">
        <f>IF('Identify beneficiaries'!H21="Y",IF(OR($I35="Qualitative",$I35="Not relevant"),$I35,$I35*'Summary of area'!$C$22/'Identify beneficiaries'!$L21),"")</f>
        <v>Qualitative</v>
      </c>
      <c r="S35" s="149" t="str">
        <f>IF('Identify beneficiaries'!I21="Y",IF(OR($I35="Qualitative",$I35="Not relevant"),$I35,$I35*'Summary of area'!$C$22/'Identify beneficiaries'!$L21),"")</f>
        <v/>
      </c>
      <c r="T35" s="149" t="str">
        <f>IF('Identify beneficiaries'!J21="Y",IF(OR($I35="Qualitative",$I35="Not relevant"),$I35,$I35*'Summary of area'!$C$22/'Identify beneficiaries'!$L21),"")</f>
        <v/>
      </c>
      <c r="U35" s="149" t="str">
        <f>IF('Identify beneficiaries'!K21="Y",IF(OR($I35="Qualitative",$I35="Not relevant"),$I35,$I35*'Summary of area'!$C$22/'Identify beneficiaries'!$L21),"")</f>
        <v/>
      </c>
      <c r="V35" s="149" t="str">
        <f>IF(OR(I35="Qualitative",I35="Not relevant"),I35,ROUND(I35*'Summary of area'!$C$21,3-LEN(INT(I35*'Summary of area'!$C$21))))</f>
        <v>Qualitative</v>
      </c>
      <c r="X35" s="14" t="str">
        <f t="shared" si="0"/>
        <v/>
      </c>
      <c r="Y35" s="14" t="str">
        <f t="shared" si="1"/>
        <v/>
      </c>
    </row>
    <row r="36" spans="1:25" ht="26.25" thickBot="1">
      <c r="A36" s="597"/>
      <c r="B36" s="669"/>
      <c r="C36" s="24" t="s">
        <v>54</v>
      </c>
      <c r="D36" s="138">
        <f>IF('Describe baseline'!E36="-","+",IF('Describe baseline'!E36="+","-",'Describe baseline'!E36))</f>
        <v>0</v>
      </c>
      <c r="E36" s="25" t="str">
        <f>IF(ISERROR(LEFT('Describe baseline'!F36,'OUTPUT-all'!J36-2)),"",LEFT('Describe baseline'!F36,'OUTPUT-all'!J36-2))</f>
        <v/>
      </c>
      <c r="F36" s="25" t="str">
        <f>IF(ISERROR(LEFT('Describe baseline'!G36,'OUTPUT-all'!K36-2)),"",LEFT('Describe baseline'!G36,'OUTPUT-all'!K36-2))</f>
        <v/>
      </c>
      <c r="G36" s="346" t="str">
        <f>IF(ISERROR(LEFT('Describe baseline'!H36:H40,'OUTPUT-all'!L36-1)),"",LEFT('Describe baseline'!H36:H40,'OUTPUT-all'!L36-1))</f>
        <v/>
      </c>
      <c r="H36" s="356"/>
      <c r="I36" s="94" t="str">
        <f>IF(D36="Neutral","Not relevant","Qualitative")</f>
        <v>Qualitative</v>
      </c>
      <c r="J36" s="154" t="e">
        <f>FIND("(",'Describe baseline'!F36)</f>
        <v>#VALUE!</v>
      </c>
      <c r="K36" s="154" t="e">
        <f>FIND("(",'Describe baseline'!G36)</f>
        <v>#VALUE!</v>
      </c>
      <c r="L36" s="154" t="e">
        <f>FIND(":",'Describe baseline'!H36)</f>
        <v>#VALUE!</v>
      </c>
      <c r="M36" s="364"/>
      <c r="N36" s="19" t="s">
        <v>156</v>
      </c>
      <c r="O36" s="149" t="str">
        <f>IF('Identify beneficiaries'!E22="Y",IF(OR($I36="Qualitative",$I36="Not relevant"),$I36,$I36*'Summary of area'!$C$22/'Identify beneficiaries'!$L22),"")</f>
        <v/>
      </c>
      <c r="P36" s="149" t="str">
        <f>IF('Identify beneficiaries'!F22="Y",IF(OR($I36="Qualitative",$I36="Not relevant"),$I36,$I36*'Summary of area'!$C$22/'Identify beneficiaries'!$L22),"")</f>
        <v/>
      </c>
      <c r="Q36" s="149" t="str">
        <f>IF('Identify beneficiaries'!G22="Y",IF(OR($I36="Qualitative",$I36="Not relevant"),$I36,$I36*'Summary of area'!$C$22/'Identify beneficiaries'!$L22),"")</f>
        <v/>
      </c>
      <c r="R36" s="149" t="str">
        <f>IF('Identify beneficiaries'!H22="Y",IF(OR($I36="Qualitative",$I36="Not relevant"),$I36,$I36*'Summary of area'!$C$22/'Identify beneficiaries'!$L22),"")</f>
        <v/>
      </c>
      <c r="S36" s="149" t="str">
        <f>IF('Identify beneficiaries'!I22="Y",IF(OR($I36="Qualitative",$I36="Not relevant"),$I36,$I36*'Summary of area'!$C$22/'Identify beneficiaries'!$L22),"")</f>
        <v/>
      </c>
      <c r="T36" s="149" t="str">
        <f>IF('Identify beneficiaries'!J22="Y",IF(OR($I36="Qualitative",$I36="Not relevant"),$I36,$I36*'Summary of area'!$C$22/'Identify beneficiaries'!$L22),"")</f>
        <v>Qualitative</v>
      </c>
      <c r="U36" s="149" t="str">
        <f>IF('Identify beneficiaries'!K22="Y",IF(OR($I36="Qualitative",$I36="Not relevant"),$I36,$I36*'Summary of area'!$C$22/'Identify beneficiaries'!$L22),"")</f>
        <v>Qualitative</v>
      </c>
      <c r="V36" s="149" t="str">
        <f>IF(OR(I36="Qualitative",I36="Not relevant"),I36,ROUND(I36*'Summary of area'!$C$21,3-LEN(INT(I36*'Summary of area'!$C$21))))</f>
        <v>Qualitative</v>
      </c>
      <c r="X36" s="14" t="str">
        <f t="shared" si="0"/>
        <v/>
      </c>
      <c r="Y36" s="14" t="str">
        <f t="shared" si="1"/>
        <v/>
      </c>
    </row>
    <row r="37" spans="1:25" ht="25.5" customHeight="1" thickBot="1">
      <c r="A37" s="597"/>
      <c r="B37" s="596" t="s">
        <v>815</v>
      </c>
      <c r="C37" s="596" t="s">
        <v>52</v>
      </c>
      <c r="D37" s="665">
        <f>IF('Describe baseline'!E37="-","+",IF('Describe baseline'!E37="+","-",'Describe baseline'!E37))</f>
        <v>0</v>
      </c>
      <c r="E37" s="668" t="str">
        <f>IF(ISERROR(LEFT('Describe baseline'!F37,'OUTPUT-all'!J37-2)),"",LEFT('Describe baseline'!F37,'OUTPUT-all'!J37-2))</f>
        <v/>
      </c>
      <c r="F37" s="665" t="str">
        <f>IF(ISERROR(LEFT('Describe baseline'!G37,'OUTPUT-all'!K37-2)),"",LEFT('Describe baseline'!G37,'OUTPUT-all'!K37-2))</f>
        <v/>
      </c>
      <c r="G37" s="665" t="str">
        <f>IF(ISERROR(LEFT('Describe baseline'!H37:H41,'OUTPUT-all'!L37-1)),"",LEFT('Describe baseline'!H37:H41,'OUTPUT-all'!L37-1))</f>
        <v/>
      </c>
      <c r="H37" s="371" t="str">
        <f>"Road: "&amp;IF(ISERROR(LEFT('Water levels-Transport (road)'!K224,'OUTPUT-all'!M37-2)),"",LEFT('Water levels-Transport (road)'!K225,'OUTPUT-all'!M37-1))</f>
        <v>Road: High</v>
      </c>
      <c r="I37" s="384" t="str">
        <f>IF('Water levels-Transport (road)'!D224="Enter delay",IF(D37="Neutral","Not relevant","Qualitative"),ROUND('Water levels-Transport (road)'!H224,3-LEN(INT('Water levels-Transport (road)'!H224))))</f>
        <v>Qualitative</v>
      </c>
      <c r="J37" s="154" t="e">
        <f>FIND("(",'Describe baseline'!F37)</f>
        <v>#VALUE!</v>
      </c>
      <c r="K37" s="154" t="e">
        <f>FIND("(",'Describe baseline'!G37)</f>
        <v>#VALUE!</v>
      </c>
      <c r="L37" s="154" t="e">
        <f>FIND(":",'Describe baseline'!H37)</f>
        <v>#VALUE!</v>
      </c>
      <c r="M37" s="154">
        <f>FIND(":",'Water levels-Transport (road)'!K224)</f>
        <v>5</v>
      </c>
      <c r="N37" s="19" t="s">
        <v>160</v>
      </c>
      <c r="O37" s="149" t="str">
        <f>IF('Identify beneficiaries'!E23="Y",IF(OR($I37="Qualitative",$I37="Not relevant"),$I37,ROUND($I37*'Summary of area'!$E$37/'Identify beneficiaries'!$L23,3-LEN(INT($I37*'Summary of area'!$E$37/'Identify beneficiaries'!$L23)))),"")</f>
        <v/>
      </c>
      <c r="P37" s="149" t="str">
        <f>IF('Identify beneficiaries'!F23="Y",IF(OR($I37="Qualitative",$I37="Not relevant"),$I37,ROUND($I37*'Summary of area'!$E$37/'Identify beneficiaries'!$L23,3-LEN(INT($I37*'Summary of area'!$E$37/'Identify beneficiaries'!$L23)))),"")</f>
        <v/>
      </c>
      <c r="Q37" s="149" t="str">
        <f>IF('Identify beneficiaries'!G23="Y",IF(OR($I37="Qualitative",$I37="Not relevant"),$I37,ROUND($I37*'Summary of area'!$E$37/'Identify beneficiaries'!$L23,3-LEN(INT($I37*'Summary of area'!$E$37/'Identify beneficiaries'!$L23)))),"")</f>
        <v/>
      </c>
      <c r="R37" s="149" t="str">
        <f>IF('Identify beneficiaries'!H23="Y",IF(OR($I37="Qualitative",$I37="Not relevant"),$I37,ROUND($I37*'Summary of area'!$E$37/'Identify beneficiaries'!$L23,3-LEN(INT($I37*'Summary of area'!$E$37/'Identify beneficiaries'!$L23)))),"")</f>
        <v>Qualitative</v>
      </c>
      <c r="S37" s="149" t="str">
        <f>IF('Identify beneficiaries'!I23="Y",IF(OR($I37="Qualitative",$I37="Not relevant"),$I37,ROUND($I37*'Summary of area'!$E$37/'Identify beneficiaries'!$L23,3-LEN(INT($I37*'Summary of area'!$E$37/'Identify beneficiaries'!$L23)))),"")</f>
        <v>Qualitative</v>
      </c>
      <c r="T37" s="149" t="str">
        <f>IF('Identify beneficiaries'!J23="Y",IF(OR($I37="Qualitative",$I37="Not relevant"),$I37,ROUND($I37*'Summary of area'!$E$37/'Identify beneficiaries'!$L23,3-LEN(INT($I37*'Summary of area'!$E$37/'Identify beneficiaries'!$L23)))),"")</f>
        <v/>
      </c>
      <c r="U37" s="149" t="str">
        <f>IF('Identify beneficiaries'!K23="Y",IF(OR($I37="Qualitative",$I37="Not relevant"),$I37,ROUND($I37*'Summary of area'!$E$37/'Identify beneficiaries'!$L23,3-LEN(INT($I37*'Summary of area'!$E$37/'Identify beneficiaries'!$L23)))),"")</f>
        <v/>
      </c>
      <c r="V37" s="149" t="str">
        <f>IF(OR(I37="Qualitative",I37="Not relevant"),I37,ROUND(I37*'Summary of area'!$D$37,3-LEN(INT(I37*'Summary of area'!$D$37))))</f>
        <v>Qualitative</v>
      </c>
      <c r="X37" s="14" t="str">
        <f t="shared" si="0"/>
        <v/>
      </c>
      <c r="Y37" s="14" t="str">
        <f t="shared" si="1"/>
        <v/>
      </c>
    </row>
    <row r="38" spans="1:25" ht="25.5" customHeight="1" thickBot="1">
      <c r="A38" s="597"/>
      <c r="B38" s="602"/>
      <c r="C38" s="602"/>
      <c r="D38" s="666">
        <f>IF('Describe baseline'!E38="-","+",IF('Describe baseline'!E38="+","-",'Describe baseline'!E38))</f>
        <v>0</v>
      </c>
      <c r="E38" s="668" t="str">
        <f>IF(ISERROR(LEFT('Describe baseline'!F38,'OUTPUT-all'!J38-2)),"",LEFT('Describe baseline'!F38,'OUTPUT-all'!J38-2))</f>
        <v/>
      </c>
      <c r="F38" s="666" t="str">
        <f>IF(ISERROR(LEFT('Describe baseline'!G38:G42,'OUTPUT-all'!K38-2)),"",LEFT('Describe baseline'!G38:G42,'OUTPUT-all'!K38-2))</f>
        <v/>
      </c>
      <c r="G38" s="666" t="str">
        <f>IF(ISERROR(LEFT('Describe baseline'!H38:H42,'OUTPUT-all'!L38-2)),"",LEFT('Describe baseline'!H38:H42,'OUTPUT-all'!L38-2))</f>
        <v/>
      </c>
      <c r="H38" s="371" t="str">
        <f>"Rail: "&amp;IF(ISERROR(LEFT('Water levels-Transport (rail)'!K175,'OUTPUT-all'!M38-2)),"",LEFT('Water levels-Transport (rail)'!K175,'OUTPUT-all'!M38-1))</f>
        <v xml:space="preserve">Rail: </v>
      </c>
      <c r="I38" s="384">
        <f>IF('Water levels-Transport (rail)'!D173="Enter delay",IF(D38="Neutral","Not relevant","Qualitative"),ROUND('Water levels-Transport (rail)'!H173,3-LEN(INT('Water levels-Transport (rail)'!H173))))</f>
        <v>0</v>
      </c>
      <c r="J38" s="154" t="e">
        <f>FIND("(",'Describe baseline'!F38)</f>
        <v>#VALUE!</v>
      </c>
      <c r="K38" s="154" t="e">
        <f>FIND("(",'Describe baseline'!G38)</f>
        <v>#VALUE!</v>
      </c>
      <c r="L38" s="154" t="e">
        <f>FIND(":",'Describe baseline'!H38)</f>
        <v>#VALUE!</v>
      </c>
      <c r="M38" s="154" t="e">
        <f>FIND(":",'Water levels-Transport (rail)'!K173)</f>
        <v>#VALUE!</v>
      </c>
      <c r="N38" s="19" t="s">
        <v>160</v>
      </c>
      <c r="O38" s="149" t="str">
        <f>IF('Identify beneficiaries'!E24="Y",IF(OR($I38="Qualitative",$I38="Not relevant"),$I38,ROUND($I38*'Summary of area'!$E$38/'Identify beneficiaries'!$L24,3-LEN(INT($I38*'Summary of area'!$E$38/'Identify beneficiaries'!$L24)))),"")</f>
        <v/>
      </c>
      <c r="P38" s="149" t="str">
        <f>IF('Identify beneficiaries'!F24="Y",IF(OR($I38="Qualitative",$I38="Not relevant"),$I38,ROUND($I38*'Summary of area'!$E$38/'Identify beneficiaries'!$L24,3-LEN(INT($I38*'Summary of area'!$E$38/'Identify beneficiaries'!$L24)))),"")</f>
        <v/>
      </c>
      <c r="Q38" s="149" t="str">
        <f>IF('Identify beneficiaries'!G24="Y",IF(OR($I38="Qualitative",$I38="Not relevant"),$I38,ROUND($I38*'Summary of area'!$E$38/'Identify beneficiaries'!$L24,3-LEN(INT($I38*'Summary of area'!$E$38/'Identify beneficiaries'!$L24)))),"")</f>
        <v/>
      </c>
      <c r="R38" s="149" t="str">
        <f>IF('Identify beneficiaries'!H24="Y",IF(OR($I38="Qualitative",$I38="Not relevant"),$I38,ROUND($I38*'Summary of area'!$E$38/'Identify beneficiaries'!$L24,3-LEN(INT($I38*'Summary of area'!$E$38/'Identify beneficiaries'!$L24)))),"")</f>
        <v/>
      </c>
      <c r="S38" s="149">
        <f>IF('Identify beneficiaries'!I24="Y",IF(OR($I38="Qualitative",$I38="Not relevant"),$I38,ROUND($I38*'Summary of area'!$E$38/'Identify beneficiaries'!$L24,3-LEN(INT($I38*'Summary of area'!$E$38/'Identify beneficiaries'!$L24)))),"")</f>
        <v>0</v>
      </c>
      <c r="T38" s="149" t="str">
        <f>IF('Identify beneficiaries'!J24="Y",IF(OR($I38="Qualitative",$I38="Not relevant"),$I38,ROUND($I38*'Summary of area'!$E$38/'Identify beneficiaries'!$L24,3-LEN(INT($I38*'Summary of area'!$E$38/'Identify beneficiaries'!$L24)))),"")</f>
        <v/>
      </c>
      <c r="U38" s="149" t="str">
        <f>IF('Identify beneficiaries'!K24="Y",IF(OR($I38="Qualitative",$I38="Not relevant"),$I38,ROUND($I38*'Summary of area'!$E$38/'Identify beneficiaries'!$L24,3-LEN(INT($I38*'Summary of area'!$E$38/'Identify beneficiaries'!$L24)))),"")</f>
        <v/>
      </c>
      <c r="V38" s="149">
        <f>IF(OR(I38="Qualitative",I38="Not relevant"),I38,ROUND(I38*'Summary of area'!$D$38,3-LEN(INT(I38*'Summary of area'!$D$38))))</f>
        <v>0</v>
      </c>
      <c r="X38" s="14" t="str">
        <f t="shared" si="0"/>
        <v/>
      </c>
      <c r="Y38" s="14" t="str">
        <f t="shared" si="1"/>
        <v/>
      </c>
    </row>
    <row r="39" spans="1:25" ht="12.75" customHeight="1" hidden="1" thickBot="1">
      <c r="A39" s="597"/>
      <c r="B39" s="602"/>
      <c r="C39" s="602"/>
      <c r="D39" s="666">
        <f>IF('Describe baseline'!E39="-","+",IF('Describe baseline'!E39="+","-",'Describe baseline'!E39))</f>
        <v>0</v>
      </c>
      <c r="E39" s="668" t="str">
        <f>IF(ISERROR(LEFT('Describe baseline'!F39,'OUTPUT-all'!J39-2)),"",LEFT('Describe baseline'!F39,'OUTPUT-all'!J39-2))</f>
        <v/>
      </c>
      <c r="F39" s="666" t="str">
        <f>IF(ISERROR(LEFT('Describe baseline'!G39:G43,'OUTPUT-all'!K39-2)),"",LEFT('Describe baseline'!G39:G43,'OUTPUT-all'!K39-2))</f>
        <v/>
      </c>
      <c r="G39" s="666" t="str">
        <f>IF(ISERROR(LEFT('Describe baseline'!H39:H43,'OUTPUT-all'!L39-2)),"",LEFT('Describe baseline'!H39:H43,'OUTPUT-all'!L39-2))</f>
        <v/>
      </c>
      <c r="H39" s="352"/>
      <c r="I39" s="348" t="e">
        <f>IF(D39="-",ROUND(#REF!,3-LEN(INT(#REF!)))*-1,ROUND(#REF!,3-LEN(INT(#REF!))))</f>
        <v>#REF!</v>
      </c>
      <c r="J39" s="154" t="e">
        <f>FIND("(",'Describe baseline'!F39)</f>
        <v>#VALUE!</v>
      </c>
      <c r="K39" s="154" t="e">
        <f>FIND("(",'Describe baseline'!G39)</f>
        <v>#VALUE!</v>
      </c>
      <c r="L39" s="154" t="e">
        <f>FIND(":",'Describe baseline'!H39)</f>
        <v>#VALUE!</v>
      </c>
      <c r="M39" s="154">
        <f>FIND(":",'Water levels-Transport (rail)'!K175)</f>
        <v>5</v>
      </c>
      <c r="N39" s="148"/>
      <c r="O39" s="149"/>
      <c r="P39" s="149"/>
      <c r="Q39" s="149"/>
      <c r="R39" s="149"/>
      <c r="S39" s="149"/>
      <c r="T39" s="149"/>
      <c r="U39" s="149"/>
      <c r="V39" s="149"/>
      <c r="X39" s="14" t="e">
        <f t="shared" si="0"/>
        <v>#REF!</v>
      </c>
      <c r="Y39" s="14" t="e">
        <f t="shared" si="1"/>
        <v>#REF!</v>
      </c>
    </row>
    <row r="40" spans="1:25" ht="12.75" customHeight="1" hidden="1" thickBot="1">
      <c r="A40" s="597"/>
      <c r="B40" s="615"/>
      <c r="C40" s="615"/>
      <c r="D40" s="654">
        <f>IF('Describe baseline'!E40="-","+",IF('Describe baseline'!E40="+","-",'Describe baseline'!E40))</f>
        <v>0</v>
      </c>
      <c r="E40" s="668" t="str">
        <f>IF(ISERROR(LEFT('Describe baseline'!F40,'OUTPUT-all'!J40-2)),"",LEFT('Describe baseline'!F40,'OUTPUT-all'!J40-2))</f>
        <v/>
      </c>
      <c r="F40" s="654" t="str">
        <f>IF(ISERROR(LEFT('Describe baseline'!G40:G44,'OUTPUT-all'!K40-2)),"",LEFT('Describe baseline'!G40:G44,'OUTPUT-all'!K40-2))</f>
        <v/>
      </c>
      <c r="G40" s="654" t="str">
        <f>IF(ISERROR(LEFT('Describe baseline'!H40:H44,'OUTPUT-all'!L40-2)),"",LEFT('Describe baseline'!H40:H44,'OUTPUT-all'!L40-2))</f>
        <v/>
      </c>
      <c r="H40" s="354"/>
      <c r="I40" s="347" t="e">
        <f>IF(D40="-",ROUND(#REF!,3-LEN(INT(#REF!)))*-1,ROUND(#REF!,3-LEN(INT(#REF!))))</f>
        <v>#REF!</v>
      </c>
      <c r="J40" s="154" t="e">
        <f>FIND("(",'Describe baseline'!F40)</f>
        <v>#VALUE!</v>
      </c>
      <c r="K40" s="154" t="e">
        <f>FIND("(",'Describe baseline'!G40)</f>
        <v>#VALUE!</v>
      </c>
      <c r="L40" s="154" t="e">
        <f>FIND(":",'Describe baseline'!H40)</f>
        <v>#VALUE!</v>
      </c>
      <c r="M40" s="154" t="e">
        <f>FIND(":",'Water levels-Transport (rail)'!K176)</f>
        <v>#VALUE!</v>
      </c>
      <c r="N40" s="148"/>
      <c r="O40" s="149"/>
      <c r="P40" s="149"/>
      <c r="Q40" s="149"/>
      <c r="R40" s="149"/>
      <c r="S40" s="149"/>
      <c r="T40" s="149"/>
      <c r="U40" s="149"/>
      <c r="V40" s="149"/>
      <c r="X40" s="14" t="e">
        <f t="shared" si="0"/>
        <v>#REF!</v>
      </c>
      <c r="Y40" s="14" t="e">
        <f t="shared" si="1"/>
        <v>#REF!</v>
      </c>
    </row>
    <row r="41" spans="1:25" ht="12.75" customHeight="1" hidden="1" thickBot="1">
      <c r="A41" s="597"/>
      <c r="B41" s="615"/>
      <c r="C41" s="679"/>
      <c r="D41" s="667">
        <f>IF('Describe baseline'!E41="-","+",IF('Describe baseline'!E41="+","-",'Describe baseline'!E41))</f>
        <v>0</v>
      </c>
      <c r="E41" s="668" t="str">
        <f>IF(ISERROR(LEFT('Describe baseline'!F41,'OUTPUT-all'!J41-2)),"",LEFT('Describe baseline'!F41,'OUTPUT-all'!J41-2))</f>
        <v/>
      </c>
      <c r="F41" s="667" t="str">
        <f>IF(ISERROR(LEFT('Describe baseline'!G41:G45,'OUTPUT-all'!K41-2)),"",LEFT('Describe baseline'!G41:G45,'OUTPUT-all'!K41-2))</f>
        <v/>
      </c>
      <c r="G41" s="667" t="str">
        <f>IF(ISERROR(LEFT('Describe baseline'!H41:H45,'OUTPUT-all'!L41-2)),"",LEFT('Describe baseline'!H41:H45,'OUTPUT-all'!L41-2))</f>
        <v/>
      </c>
      <c r="H41" s="355"/>
      <c r="I41" s="349" t="e">
        <f>IF(D41="-",ROUND(#REF!,3-LEN(INT(#REF!)))*-1,ROUND(#REF!,3-LEN(INT(#REF!))))</f>
        <v>#REF!</v>
      </c>
      <c r="J41" s="154" t="e">
        <f>FIND("(",'Describe baseline'!F41)</f>
        <v>#VALUE!</v>
      </c>
      <c r="K41" s="154" t="e">
        <f>FIND("(",'Describe baseline'!G41)</f>
        <v>#VALUE!</v>
      </c>
      <c r="L41" s="154" t="e">
        <f>FIND(":",'Describe baseline'!H41)</f>
        <v>#VALUE!</v>
      </c>
      <c r="M41" s="154" t="e">
        <f>FIND(":",'Water levels-Transport (rail)'!K177)</f>
        <v>#VALUE!</v>
      </c>
      <c r="N41" s="148"/>
      <c r="O41" s="149"/>
      <c r="P41" s="149"/>
      <c r="Q41" s="149"/>
      <c r="R41" s="149"/>
      <c r="S41" s="149"/>
      <c r="T41" s="149"/>
      <c r="U41" s="149"/>
      <c r="V41" s="149"/>
      <c r="X41" s="14" t="e">
        <f t="shared" si="0"/>
        <v>#REF!</v>
      </c>
      <c r="Y41" s="14" t="e">
        <f t="shared" si="1"/>
        <v>#REF!</v>
      </c>
    </row>
    <row r="42" spans="1:25" ht="39" customHeight="1" thickBot="1">
      <c r="A42" s="597"/>
      <c r="B42" s="615"/>
      <c r="C42" s="596" t="s">
        <v>53</v>
      </c>
      <c r="D42" s="665">
        <f>IF('Describe baseline'!E42="-","+",IF('Describe baseline'!E42="+","-",'Describe baseline'!E42))</f>
        <v>0</v>
      </c>
      <c r="E42" s="665" t="str">
        <f>IF(ISERROR(LEFT('Describe baseline'!F42,'OUTPUT-all'!J42-2)),"",LEFT('Describe baseline'!F42,'OUTPUT-all'!J42-2))</f>
        <v/>
      </c>
      <c r="F42" s="665" t="str">
        <f>IF(ISERROR(LEFT('Describe baseline'!G42,'OUTPUT-all'!K42-2)),"",LEFT('Describe baseline'!G42,'OUTPUT-all'!K42-2))</f>
        <v/>
      </c>
      <c r="G42" s="665" t="str">
        <f>IF(ISERROR(LEFT('Describe baseline'!H42:H46,'OUTPUT-all'!L42-1)),"",LEFT('Describe baseline'!H42:H46,'OUTPUT-all'!L42-1))</f>
        <v/>
      </c>
      <c r="H42" s="371" t="str">
        <f>"Road: "&amp;IF(ISERROR(LEFT('Water levels-Transport (road)'!K225,'OUTPUT-all'!M42-2)),"",LEFT('Water levels-Transport (road)'!K225,'OUTPUT-all'!M42-1))</f>
        <v>Road: High</v>
      </c>
      <c r="I42" s="385" t="str">
        <f>IF('Water levels-Transport (road)'!D225="Enter delay",IF(D37="Neutral","Not relevant","Qualitative"),ROUND('Water levels-Transport (road)'!H225,3-LEN(INT('Water levels-Transport (road)'!H225))))</f>
        <v>Qualitative</v>
      </c>
      <c r="J42" s="154" t="e">
        <f>FIND("(",'Describe baseline'!F42)</f>
        <v>#VALUE!</v>
      </c>
      <c r="K42" s="154" t="e">
        <f>FIND("(",'Describe baseline'!G42)</f>
        <v>#VALUE!</v>
      </c>
      <c r="L42" s="154" t="e">
        <f>FIND(":",'Describe baseline'!H42)</f>
        <v>#VALUE!</v>
      </c>
      <c r="M42" s="154">
        <f>FIND(":",'Water levels-Transport (road)'!K225)</f>
        <v>5</v>
      </c>
      <c r="N42" s="19" t="s">
        <v>829</v>
      </c>
      <c r="O42" s="149" t="str">
        <f>IF('Identify beneficiaries'!E25="Y",IF(OR($I42="Qualitative",$I42="Not relevant"),$I42,$I42*'Summary of area'!$E$37/'Identify beneficiaries'!$L25),"")</f>
        <v>Qualitative</v>
      </c>
      <c r="P42" s="149" t="str">
        <f>IF('Identify beneficiaries'!F25="Y",IF(OR($I42="Qualitative",$I42="Not relevant"),$I42,$I42*'Summary of area'!$E$37/'Identify beneficiaries'!$L25),"")</f>
        <v>Qualitative</v>
      </c>
      <c r="Q42" s="149" t="str">
        <f>IF('Identify beneficiaries'!G25="Y",IF(OR($I42="Qualitative",$I42="Not relevant"),$I42,$I42*'Summary of area'!$E$37/'Identify beneficiaries'!$L25),"")</f>
        <v>Qualitative</v>
      </c>
      <c r="R42" s="149" t="str">
        <f>IF('Identify beneficiaries'!H25="Y",IF(OR($I42="Qualitative",$I42="Not relevant"),$I42,$I42*'Summary of area'!$E$37/'Identify beneficiaries'!$L25),"")</f>
        <v>Qualitative</v>
      </c>
      <c r="S42" s="149" t="str">
        <f>IF('Identify beneficiaries'!I25="Y",IF(OR($I42="Qualitative",$I42="Not relevant"),$I42,$I42*'Summary of area'!$E$37/'Identify beneficiaries'!$L25),"")</f>
        <v/>
      </c>
      <c r="T42" s="149" t="str">
        <f>IF('Identify beneficiaries'!J25="Y",IF(OR($I42="Qualitative",$I42="Not relevant"),$I42,$I42*'Summary of area'!$E$37/'Identify beneficiaries'!$L25),"")</f>
        <v>Qualitative</v>
      </c>
      <c r="U42" s="149" t="str">
        <f>IF('Identify beneficiaries'!K25="Y",IF(OR($I42="Qualitative",$I42="Not relevant"),$I42,$I42*'Summary of area'!$E$37/'Identify beneficiaries'!$L25),"")</f>
        <v/>
      </c>
      <c r="V42" s="149" t="str">
        <f>IF(OR(I42="Qualitative",I42="Not relevant"),I42,ROUND(I42*'Summary of area'!$D$37,3-LEN(INT(I42*'Summary of area'!$D$37))))</f>
        <v>Qualitative</v>
      </c>
      <c r="X42" s="14" t="str">
        <f t="shared" si="0"/>
        <v/>
      </c>
      <c r="Y42" s="14" t="str">
        <f t="shared" si="1"/>
        <v/>
      </c>
    </row>
    <row r="43" spans="1:22" ht="39" customHeight="1" thickBot="1">
      <c r="A43" s="597"/>
      <c r="B43" s="615"/>
      <c r="C43" s="598"/>
      <c r="D43" s="689"/>
      <c r="E43" s="689"/>
      <c r="F43" s="689"/>
      <c r="G43" s="689"/>
      <c r="H43" s="371" t="str">
        <f>"Rail: "&amp;IF(ISERROR(LEFT('Water levels-Transport (rail)'!K175,'OUTPUT-all'!M43-2)),"",LEFT('Water levels-Transport (rail)'!K175,'OUTPUT-all'!M43-1))</f>
        <v>Rail: High</v>
      </c>
      <c r="I43" s="385" t="str">
        <f>IF('Water levels-Transport (rail)'!D175="Enter delay",IF(D38="Neutral","Not relevant","Qualitative"),ROUND('Water levels-Transport (rail)'!H175,3-LEN(INT('Water levels-Transport (rail)'!H175))))</f>
        <v>Qualitative</v>
      </c>
      <c r="J43" s="154" t="e">
        <f>FIND("(",'Describe baseline'!F42)</f>
        <v>#VALUE!</v>
      </c>
      <c r="K43" s="154" t="e">
        <f>FIND("(",'Describe baseline'!G42)</f>
        <v>#VALUE!</v>
      </c>
      <c r="L43" s="154" t="e">
        <f>FIND(":",'Describe baseline'!H42)</f>
        <v>#VALUE!</v>
      </c>
      <c r="M43" s="154">
        <f>FIND(":",'Water levels-Transport (rail)'!K175)</f>
        <v>5</v>
      </c>
      <c r="N43" s="19" t="s">
        <v>830</v>
      </c>
      <c r="O43" s="149" t="str">
        <f>IF('Identify beneficiaries'!E26="Y",IF(OR($I43="Qualitative",$I43="Not relevant"),$I43,$I43*'Summary of area'!$E$38/'Identify beneficiaries'!$L26),"")</f>
        <v>Qualitative</v>
      </c>
      <c r="P43" s="149" t="str">
        <f>IF('Identify beneficiaries'!F26="Y",IF(OR($I43="Qualitative",$I43="Not relevant"),$I43,$I43*'Summary of area'!$E$38/'Identify beneficiaries'!$L26),"")</f>
        <v>Qualitative</v>
      </c>
      <c r="Q43" s="149" t="str">
        <f>IF('Identify beneficiaries'!G26="Y",IF(OR($I43="Qualitative",$I43="Not relevant"),$I43,$I43*'Summary of area'!$E$38/'Identify beneficiaries'!$L26),"")</f>
        <v>Qualitative</v>
      </c>
      <c r="R43" s="149" t="str">
        <f>IF('Identify beneficiaries'!H26="Y",IF(OR($I43="Qualitative",$I43="Not relevant"),$I43,$I43*'Summary of area'!$E$38/'Identify beneficiaries'!$L26),"")</f>
        <v>Qualitative</v>
      </c>
      <c r="S43" s="149" t="str">
        <f>IF('Identify beneficiaries'!I26="Y",IF(OR($I43="Qualitative",$I43="Not relevant"),$I43,$I43*'Summary of area'!$E$38/'Identify beneficiaries'!$L26),"")</f>
        <v/>
      </c>
      <c r="T43" s="149" t="str">
        <f>IF('Identify beneficiaries'!J26="Y",IF(OR($I43="Qualitative",$I43="Not relevant"),$I43,$I43*'Summary of area'!$E$38/'Identify beneficiaries'!$L26),"")</f>
        <v>Qualitative</v>
      </c>
      <c r="U43" s="149" t="str">
        <f>IF('Identify beneficiaries'!K26="Y",IF(OR($I43="Qualitative",$I43="Not relevant"),$I43,$I43*'Summary of area'!$E$38/'Identify beneficiaries'!$L26),"")</f>
        <v/>
      </c>
      <c r="V43" s="149" t="str">
        <f>IF(OR(I43="Qualitative",I43="Not relevant"),I43,ROUND(I43*'Summary of area'!$D$38,3-LEN(INT(I43*'Summary of area'!$D$38))))</f>
        <v>Qualitative</v>
      </c>
    </row>
    <row r="44" spans="1:25" ht="26.25" thickBot="1">
      <c r="A44" s="609"/>
      <c r="B44" s="616"/>
      <c r="C44" s="28" t="s">
        <v>54</v>
      </c>
      <c r="D44" s="29">
        <f>IF('Describe baseline'!E43="-","+",IF('Describe baseline'!E43="+","-",'Describe baseline'!E43))</f>
        <v>0</v>
      </c>
      <c r="E44" s="29" t="str">
        <f>IF(ISERROR(LEFT('Describe baseline'!F43,'OUTPUT-all'!J44-2)),"",LEFT('Describe baseline'!F43,'OUTPUT-all'!J44-2))</f>
        <v/>
      </c>
      <c r="F44" s="29" t="str">
        <f>IF(ISERROR(LEFT('Describe baseline'!G43,'OUTPUT-all'!K44-2)),"",LEFT('Describe baseline'!G43,'OUTPUT-all'!K44-2))</f>
        <v/>
      </c>
      <c r="G44" s="29" t="str">
        <f>IF(ISERROR(LEFT('Describe baseline'!H43:H47,'OUTPUT-all'!L44-1)),"",LEFT('Describe baseline'!H43:H47,'OUTPUT-all'!L44-1))</f>
        <v/>
      </c>
      <c r="H44" s="29"/>
      <c r="I44" s="99" t="str">
        <f>IF(D44="Neutral","Not relevant","Qualitative")</f>
        <v>Qualitative</v>
      </c>
      <c r="J44" s="154" t="e">
        <f>FIND("(",'Describe baseline'!F43)</f>
        <v>#VALUE!</v>
      </c>
      <c r="K44" s="154" t="e">
        <f>FIND("(",'Describe baseline'!G43)</f>
        <v>#VALUE!</v>
      </c>
      <c r="L44" s="154" t="e">
        <f>FIND(":",'Describe baseline'!H43)</f>
        <v>#VALUE!</v>
      </c>
      <c r="M44" s="364"/>
      <c r="N44" s="62" t="s">
        <v>161</v>
      </c>
      <c r="O44" s="150" t="str">
        <f>IF('Identify beneficiaries'!E27="Y",IF(OR($I44="Qualitative",$I44="Not relevant"),$I44,$I44*'Summary of area'!$C$22/'Identify beneficiaries'!$L27),"")</f>
        <v/>
      </c>
      <c r="P44" s="150" t="str">
        <f>IF('Identify beneficiaries'!F27="Y",IF(OR($I44="Qualitative",$I44="Not relevant"),$I44,$I44*'Summary of area'!$C$22/'Identify beneficiaries'!$L27),"")</f>
        <v/>
      </c>
      <c r="Q44" s="150" t="str">
        <f>IF('Identify beneficiaries'!G27="Y",IF(OR($I44="Qualitative",$I44="Not relevant"),$I44,$I44*'Summary of area'!$C$22/'Identify beneficiaries'!$L27),"")</f>
        <v/>
      </c>
      <c r="R44" s="150" t="str">
        <f>IF('Identify beneficiaries'!H27="Y",IF(OR($I44="Qualitative",$I44="Not relevant"),$I44,$I44*'Summary of area'!$C$22/'Identify beneficiaries'!$L27),"")</f>
        <v/>
      </c>
      <c r="S44" s="150" t="str">
        <f>IF('Identify beneficiaries'!I27="Y",IF(OR($I44="Qualitative",$I44="Not relevant"),$I44,$I44*'Summary of area'!$C$22/'Identify beneficiaries'!$L27),"")</f>
        <v/>
      </c>
      <c r="T44" s="150" t="str">
        <f>IF('Identify beneficiaries'!J27="Y",IF(OR($I44="Qualitative",$I44="Not relevant"),$I44,$I44*'Summary of area'!$C$22/'Identify beneficiaries'!$L27),"")</f>
        <v>Qualitative</v>
      </c>
      <c r="U44" s="150" t="str">
        <f>IF('Identify beneficiaries'!K27="Y",IF(OR($I44="Qualitative",$I44="Not relevant"),$I44,$I44*'Summary of area'!$C$22/'Identify beneficiaries'!$L27),"")</f>
        <v>Qualitative</v>
      </c>
      <c r="V44" s="149" t="str">
        <f>IF(OR(I44="Qualitative",I44="Not relevant"),I44,ROUND(I44*'Summary of area'!$C$21,3-LEN(INT(I44*'Summary of area'!$C$21))))</f>
        <v>Qualitative</v>
      </c>
      <c r="X44" s="14" t="str">
        <f aca="true" t="shared" si="2" ref="X44:X75">IF(I44="Qualitative",E44,"")</f>
        <v/>
      </c>
      <c r="Y44" s="14" t="str">
        <f aca="true" t="shared" si="3" ref="Y44:Y75">IF(I44="Qualitative",F44,"")</f>
        <v/>
      </c>
    </row>
    <row r="45" spans="1:25" ht="39" customHeight="1" thickBot="1">
      <c r="A45" s="670" t="s">
        <v>40</v>
      </c>
      <c r="B45" s="614" t="s">
        <v>25</v>
      </c>
      <c r="C45" s="30" t="s">
        <v>52</v>
      </c>
      <c r="D45" s="31">
        <f>IF('Describe baseline'!E44="-","+",IF('Describe baseline'!E44="+","-",'Describe baseline'!E44))</f>
        <v>0</v>
      </c>
      <c r="E45" s="31" t="str">
        <f>IF(ISERROR(LEFT('Describe baseline'!F44,'OUTPUT-all'!J45-2)),"",LEFT('Describe baseline'!F44,'OUTPUT-all'!J45-2))</f>
        <v/>
      </c>
      <c r="F45" s="31" t="str">
        <f>IF(ISERROR(LEFT('Describe baseline'!G44,'OUTPUT-all'!K45-2)),"",LEFT('Describe baseline'!G44,'OUTPUT-all'!K45-2))</f>
        <v/>
      </c>
      <c r="G45" s="31" t="str">
        <f>IF(ISERROR(LEFT('Describe baseline'!H44:H48,'OUTPUT-all'!L45-1)),"",LEFT('Describe baseline'!H44:H48,'OUTPUT-all'!L45-1))</f>
        <v/>
      </c>
      <c r="H45" s="31"/>
      <c r="I45" s="100" t="str">
        <f>IF(D45="Neutral","Not relevant","Qualitative")</f>
        <v>Qualitative</v>
      </c>
      <c r="J45" s="154" t="e">
        <f>FIND("(",'Describe baseline'!F44)</f>
        <v>#VALUE!</v>
      </c>
      <c r="K45" s="154" t="e">
        <f>FIND("(",'Describe baseline'!G44)</f>
        <v>#VALUE!</v>
      </c>
      <c r="L45" s="154" t="e">
        <f>FIND(":",'Describe baseline'!H44)</f>
        <v>#VALUE!</v>
      </c>
      <c r="M45" s="154"/>
      <c r="N45" s="61" t="s">
        <v>162</v>
      </c>
      <c r="O45" s="147" t="str">
        <f>IF('Identify beneficiaries'!E28="Y",IF(OR($I45="Qualitative",$I45="Not relevant"),$I45,$I45*'Summary of area'!$C$22/'Identify beneficiaries'!$L28),"")</f>
        <v>Qualitative</v>
      </c>
      <c r="P45" s="147" t="str">
        <f>IF('Identify beneficiaries'!F28="Y",IF(OR($I45="Qualitative",$I45="Not relevant"),$I45,$I45*'Summary of area'!$C$22/'Identify beneficiaries'!$L28),"")</f>
        <v/>
      </c>
      <c r="Q45" s="147" t="str">
        <f>IF('Identify beneficiaries'!G28="Y",IF(OR($I45="Qualitative",$I45="Not relevant"),$I45,$I45*'Summary of area'!$C$22/'Identify beneficiaries'!$L28),"")</f>
        <v/>
      </c>
      <c r="R45" s="147" t="str">
        <f>IF('Identify beneficiaries'!H28="Y",IF(OR($I45="Qualitative",$I45="Not relevant"),$I45,$I45*'Summary of area'!$C$22/'Identify beneficiaries'!$L28),"")</f>
        <v/>
      </c>
      <c r="S45" s="147" t="str">
        <f>IF('Identify beneficiaries'!I28="Y",IF(OR($I45="Qualitative",$I45="Not relevant"),$I45,$I45*'Summary of area'!$C$22/'Identify beneficiaries'!$L28),"")</f>
        <v/>
      </c>
      <c r="T45" s="147" t="str">
        <f>IF('Identify beneficiaries'!J28="Y",IF(OR($I45="Qualitative",$I45="Not relevant"),$I45,$I45*'Summary of area'!$C$22/'Identify beneficiaries'!$L28),"")</f>
        <v>Qualitative</v>
      </c>
      <c r="U45" s="147" t="str">
        <f>IF('Identify beneficiaries'!K28="Y",IF(OR($I45="Qualitative",$I45="Not relevant"),$I45,$I45*'Summary of area'!$C$22/'Identify beneficiaries'!$L28),"")</f>
        <v/>
      </c>
      <c r="V45" s="147" t="str">
        <f>IF(OR(I45="Qualitative",I45="Not relevant"),I45,ROUND(I45*'Summary of area'!$C$21,3-LEN(INT(I45*'Summary of area'!$C$21))))</f>
        <v>Qualitative</v>
      </c>
      <c r="X45" s="14" t="str">
        <f t="shared" si="2"/>
        <v/>
      </c>
      <c r="Y45" s="14" t="str">
        <f t="shared" si="3"/>
        <v/>
      </c>
    </row>
    <row r="46" spans="1:25" ht="39" customHeight="1" thickBot="1">
      <c r="A46" s="607"/>
      <c r="B46" s="597"/>
      <c r="C46" s="20" t="s">
        <v>53</v>
      </c>
      <c r="D46" s="21">
        <f>IF('Describe baseline'!E45="-","+",IF('Describe baseline'!E45="+","-",'Describe baseline'!E45))</f>
        <v>0</v>
      </c>
      <c r="E46" s="21" t="str">
        <f>IF(ISERROR(LEFT('Describe baseline'!F45,'OUTPUT-all'!J46-2)),"",LEFT('Describe baseline'!F45,'OUTPUT-all'!J46-2))</f>
        <v/>
      </c>
      <c r="F46" s="21" t="str">
        <f>IF(ISERROR(LEFT('Describe baseline'!G45,'OUTPUT-all'!K46-2)),"",LEFT('Describe baseline'!G45,'OUTPUT-all'!K46-2))</f>
        <v/>
      </c>
      <c r="G46" s="21" t="str">
        <f>IF(ISERROR(LEFT('Describe baseline'!H45:H49,'OUTPUT-all'!L46-1)),"",LEFT('Describe baseline'!H45:H49,'OUTPUT-all'!L46-1))</f>
        <v/>
      </c>
      <c r="H46" s="21"/>
      <c r="I46" s="101" t="str">
        <f>IF(D46="Neutral","Not relevant","Qualitative")</f>
        <v>Qualitative</v>
      </c>
      <c r="J46" s="154" t="e">
        <f>FIND("(",'Describe baseline'!F45)</f>
        <v>#VALUE!</v>
      </c>
      <c r="K46" s="154" t="e">
        <f>FIND("(",'Describe baseline'!G45)</f>
        <v>#VALUE!</v>
      </c>
      <c r="L46" s="154" t="e">
        <f>FIND(":",'Describe baseline'!H45)</f>
        <v>#VALUE!</v>
      </c>
      <c r="M46" s="364"/>
      <c r="N46" s="19" t="s">
        <v>163</v>
      </c>
      <c r="O46" s="149" t="str">
        <f>IF('Identify beneficiaries'!E29="Y",IF(OR($I46="Qualitative",$I46="Not relevant"),$I46,$I46*'Summary of area'!$C$22/'Identify beneficiaries'!$L29),"")</f>
        <v/>
      </c>
      <c r="P46" s="149" t="str">
        <f>IF('Identify beneficiaries'!F29="Y",IF(OR($I46="Qualitative",$I46="Not relevant"),$I46,$I46*'Summary of area'!$C$22/'Identify beneficiaries'!$L29),"")</f>
        <v/>
      </c>
      <c r="Q46" s="149" t="str">
        <f>IF('Identify beneficiaries'!G29="Y",IF(OR($I46="Qualitative",$I46="Not relevant"),$I46,$I46*'Summary of area'!$C$22/'Identify beneficiaries'!$L29),"")</f>
        <v>Qualitative</v>
      </c>
      <c r="R46" s="149" t="str">
        <f>IF('Identify beneficiaries'!H29="Y",IF(OR($I46="Qualitative",$I46="Not relevant"),$I46,$I46*'Summary of area'!$C$22/'Identify beneficiaries'!$L29),"")</f>
        <v/>
      </c>
      <c r="S46" s="149" t="str">
        <f>IF('Identify beneficiaries'!I29="Y",IF(OR($I46="Qualitative",$I46="Not relevant"),$I46,$I46*'Summary of area'!$C$22/'Identify beneficiaries'!$L29),"")</f>
        <v/>
      </c>
      <c r="T46" s="149" t="str">
        <f>IF('Identify beneficiaries'!J29="Y",IF(OR($I46="Qualitative",$I46="Not relevant"),$I46,$I46*'Summary of area'!$C$22/'Identify beneficiaries'!$L29),"")</f>
        <v/>
      </c>
      <c r="U46" s="149" t="str">
        <f>IF('Identify beneficiaries'!K29="Y",IF(OR($I46="Qualitative",$I46="Not relevant"),$I46,$I46*'Summary of area'!$C$22/'Identify beneficiaries'!$L29),"")</f>
        <v/>
      </c>
      <c r="V46" s="149" t="str">
        <f>IF(OR(I46="Qualitative",I46="Not relevant"),I46,ROUND(I46*'Summary of area'!$C$21,3-LEN(INT(I46*'Summary of area'!$C$21))))</f>
        <v>Qualitative</v>
      </c>
      <c r="X46" s="14" t="str">
        <f t="shared" si="2"/>
        <v/>
      </c>
      <c r="Y46" s="14" t="str">
        <f t="shared" si="3"/>
        <v/>
      </c>
    </row>
    <row r="47" spans="1:25" ht="51.75" thickBot="1">
      <c r="A47" s="617"/>
      <c r="B47" s="609"/>
      <c r="C47" s="32" t="s">
        <v>54</v>
      </c>
      <c r="D47" s="33">
        <f>IF('Describe baseline'!E46="-","+",IF('Describe baseline'!E46="+","-",'Describe baseline'!E46))</f>
        <v>0</v>
      </c>
      <c r="E47" s="33" t="str">
        <f>IF(ISERROR(LEFT('Describe baseline'!F46,'OUTPUT-all'!J47-2)),"",LEFT('Describe baseline'!F46,'OUTPUT-all'!J47-2))</f>
        <v/>
      </c>
      <c r="F47" s="33" t="str">
        <f>IF(ISERROR(LEFT('Describe baseline'!G46,'OUTPUT-all'!K47-2)),"",LEFT('Describe baseline'!G46,'OUTPUT-all'!K47-2))</f>
        <v/>
      </c>
      <c r="G47" s="33" t="str">
        <f>IF(ISERROR(LEFT('Describe baseline'!H46:H50,'OUTPUT-all'!L47-1)),"",LEFT('Describe baseline'!H46:H50,'OUTPUT-all'!L47-1))</f>
        <v/>
      </c>
      <c r="H47" s="33"/>
      <c r="I47" s="102" t="str">
        <f>IF(D47="Neutral","Not relevant","Qualitative")</f>
        <v>Qualitative</v>
      </c>
      <c r="J47" s="154" t="e">
        <f>FIND("(",'Describe baseline'!F46)</f>
        <v>#VALUE!</v>
      </c>
      <c r="K47" s="154" t="e">
        <f>FIND("(",'Describe baseline'!G46)</f>
        <v>#VALUE!</v>
      </c>
      <c r="L47" s="154" t="e">
        <f>FIND(":",'Describe baseline'!H46)</f>
        <v>#VALUE!</v>
      </c>
      <c r="M47" s="364"/>
      <c r="N47" s="62" t="s">
        <v>164</v>
      </c>
      <c r="O47" s="150" t="str">
        <f>IF('Identify beneficiaries'!E30="Y",IF(OR($I47="Qualitative",$I47="Not relevant"),$I47,$I47*'Summary of area'!$C$22/'Identify beneficiaries'!$L30),"")</f>
        <v/>
      </c>
      <c r="P47" s="150" t="str">
        <f>IF('Identify beneficiaries'!F30="Y",IF(OR($I47="Qualitative",$I47="Not relevant"),$I47,$I47*'Summary of area'!$C$22/'Identify beneficiaries'!$L30),"")</f>
        <v/>
      </c>
      <c r="Q47" s="150" t="str">
        <f>IF('Identify beneficiaries'!G30="Y",IF(OR($I47="Qualitative",$I47="Not relevant"),$I47,$I47*'Summary of area'!$C$22/'Identify beneficiaries'!$L30),"")</f>
        <v/>
      </c>
      <c r="R47" s="150" t="str">
        <f>IF('Identify beneficiaries'!H30="Y",IF(OR($I47="Qualitative",$I47="Not relevant"),$I47,$I47*'Summary of area'!$C$22/'Identify beneficiaries'!$L30),"")</f>
        <v>Qualitative</v>
      </c>
      <c r="S47" s="150" t="str">
        <f>IF('Identify beneficiaries'!I30="Y",IF(OR($I47="Qualitative",$I47="Not relevant"),$I47,$I47*'Summary of area'!$C$22/'Identify beneficiaries'!$L30),"")</f>
        <v/>
      </c>
      <c r="T47" s="150" t="str">
        <f>IF('Identify beneficiaries'!J30="Y",IF(OR($I47="Qualitative",$I47="Not relevant"),$I47,$I47*'Summary of area'!$C$22/'Identify beneficiaries'!$L30),"")</f>
        <v>Qualitative</v>
      </c>
      <c r="U47" s="150" t="str">
        <f>IF('Identify beneficiaries'!K30="Y",IF(OR($I47="Qualitative",$I47="Not relevant"),$I47,$I47*'Summary of area'!$C$22/'Identify beneficiaries'!$L30),"")</f>
        <v/>
      </c>
      <c r="V47" s="150" t="str">
        <f>IF(OR(I47="Qualitative",I47="Not relevant"),I47,ROUND(I47*'Summary of area'!$C$21,3-LEN(INT(I47*'Summary of area'!$C$21))))</f>
        <v>Qualitative</v>
      </c>
      <c r="X47" s="14" t="str">
        <f t="shared" si="2"/>
        <v/>
      </c>
      <c r="Y47" s="14" t="str">
        <f t="shared" si="3"/>
        <v/>
      </c>
    </row>
    <row r="48" spans="1:25" ht="39" thickBot="1">
      <c r="A48" s="611" t="s">
        <v>3</v>
      </c>
      <c r="B48" s="614" t="s">
        <v>26</v>
      </c>
      <c r="C48" s="30" t="s">
        <v>52</v>
      </c>
      <c r="D48" s="31">
        <f>IF('Describe baseline'!E47="-","+",IF('Describe baseline'!E47="+","-",'Describe baseline'!E47))</f>
        <v>0</v>
      </c>
      <c r="E48" s="31" t="str">
        <f>IF(ISERROR(LEFT('Describe baseline'!F47,'OUTPUT-all'!J48-2)),"",LEFT('Describe baseline'!F47,'OUTPUT-all'!J48-2))</f>
        <v/>
      </c>
      <c r="F48" s="31" t="str">
        <f>IF(ISERROR(LEFT('Describe baseline'!G47,'OUTPUT-all'!K48-2)),"",LEFT('Describe baseline'!G47,'OUTPUT-all'!K48-2))</f>
        <v/>
      </c>
      <c r="G48" s="31" t="str">
        <f>IF(ISERROR(LEFT('Describe baseline'!H47,'OUTPUT-all'!L48-1)),"",LEFT('Describe baseline'!H47,'OUTPUT-all'!L48-1))</f>
        <v/>
      </c>
      <c r="H48" s="31"/>
      <c r="I48" s="100" t="str">
        <f>IF(D48="Neutral","Not relevant","Qualitative")</f>
        <v>Qualitative</v>
      </c>
      <c r="J48" s="154" t="e">
        <f>FIND("(",'Describe baseline'!F47)</f>
        <v>#VALUE!</v>
      </c>
      <c r="K48" s="154" t="e">
        <f>FIND("(",'Describe baseline'!G47)</f>
        <v>#VALUE!</v>
      </c>
      <c r="L48" s="154" t="e">
        <f>FIND(":",'Describe baseline'!H47)</f>
        <v>#VALUE!</v>
      </c>
      <c r="M48" s="154"/>
      <c r="N48" s="61" t="s">
        <v>165</v>
      </c>
      <c r="O48" s="147" t="str">
        <f>IF('Identify beneficiaries'!E31="Y",IF(OR($I48="Qualitative",$I48="Not relevant"),$I48,$I48*'Summary of area'!$C$22/'Identify beneficiaries'!$L31),"")</f>
        <v>Qualitative</v>
      </c>
      <c r="P48" s="147" t="str">
        <f>IF('Identify beneficiaries'!F31="Y",IF(OR($I48="Qualitative",$I48="Not relevant"),$I48,$I48*'Summary of area'!$C$22/'Identify beneficiaries'!$L31),"")</f>
        <v>Qualitative</v>
      </c>
      <c r="Q48" s="147" t="str">
        <f>IF('Identify beneficiaries'!G31="Y",IF(OR($I48="Qualitative",$I48="Not relevant"),$I48,$I48*'Summary of area'!$C$22/'Identify beneficiaries'!$L31),"")</f>
        <v>Qualitative</v>
      </c>
      <c r="R48" s="147" t="str">
        <f>IF('Identify beneficiaries'!H31="Y",IF(OR($I48="Qualitative",$I48="Not relevant"),$I48,$I48*'Summary of area'!$C$22/'Identify beneficiaries'!$L31),"")</f>
        <v>Qualitative</v>
      </c>
      <c r="S48" s="147" t="str">
        <f>IF('Identify beneficiaries'!I31="Y",IF(OR($I48="Qualitative",$I48="Not relevant"),$I48,$I48*'Summary of area'!$C$22/'Identify beneficiaries'!$L31),"")</f>
        <v/>
      </c>
      <c r="T48" s="147" t="str">
        <f>IF('Identify beneficiaries'!J31="Y",IF(OR($I48="Qualitative",$I48="Not relevant"),$I48,$I48*'Summary of area'!$C$22/'Identify beneficiaries'!$L31),"")</f>
        <v/>
      </c>
      <c r="U48" s="147" t="str">
        <f>IF('Identify beneficiaries'!K31="Y",IF(OR($I48="Qualitative",$I48="Not relevant"),$I48,$I48*'Summary of area'!$C$22/'Identify beneficiaries'!$L31),"")</f>
        <v/>
      </c>
      <c r="V48" s="147" t="str">
        <f>IF(OR(I48="Qualitative",I48="Not relevant"),I48,ROUND(I48*'Summary of area'!$C$21,3-LEN(INT(I48*'Summary of area'!$C$21))))</f>
        <v>Qualitative</v>
      </c>
      <c r="X48" s="14" t="str">
        <f t="shared" si="2"/>
        <v/>
      </c>
      <c r="Y48" s="14" t="str">
        <f t="shared" si="3"/>
        <v/>
      </c>
    </row>
    <row r="49" spans="1:25" ht="13.5" thickBot="1">
      <c r="A49" s="612"/>
      <c r="B49" s="615"/>
      <c r="C49" s="55" t="s">
        <v>53</v>
      </c>
      <c r="D49" s="57"/>
      <c r="E49" s="57"/>
      <c r="F49" s="57"/>
      <c r="G49" s="57"/>
      <c r="H49" s="57"/>
      <c r="I49" s="97"/>
      <c r="J49" s="154" t="e">
        <f>FIND("(",'Describe baseline'!F48)</f>
        <v>#VALUE!</v>
      </c>
      <c r="K49" s="154" t="e">
        <f>FIND("(",'Describe baseline'!G48)</f>
        <v>#VALUE!</v>
      </c>
      <c r="L49" s="154" t="e">
        <f>FIND(":",'Describe baseline'!H48)</f>
        <v>#VALUE!</v>
      </c>
      <c r="M49" s="364"/>
      <c r="N49" s="97"/>
      <c r="O49" s="97"/>
      <c r="P49" s="97"/>
      <c r="Q49" s="97"/>
      <c r="R49" s="97"/>
      <c r="S49" s="97"/>
      <c r="T49" s="97"/>
      <c r="U49" s="97"/>
      <c r="V49" s="97"/>
      <c r="X49" s="14" t="str">
        <f t="shared" si="2"/>
        <v/>
      </c>
      <c r="Y49" s="14" t="str">
        <f t="shared" si="3"/>
        <v/>
      </c>
    </row>
    <row r="50" spans="1:25" ht="13.5" thickBot="1">
      <c r="A50" s="613"/>
      <c r="B50" s="616"/>
      <c r="C50" s="58" t="s">
        <v>54</v>
      </c>
      <c r="D50" s="60"/>
      <c r="E50" s="60"/>
      <c r="F50" s="60"/>
      <c r="G50" s="60"/>
      <c r="H50" s="60"/>
      <c r="I50" s="98"/>
      <c r="J50" s="154" t="e">
        <f>FIND("(",'Describe baseline'!F49)</f>
        <v>#VALUE!</v>
      </c>
      <c r="K50" s="154" t="e">
        <f>FIND("(",'Describe baseline'!G49)</f>
        <v>#VALUE!</v>
      </c>
      <c r="L50" s="154" t="e">
        <f>FIND(":",'Describe baseline'!H49)</f>
        <v>#VALUE!</v>
      </c>
      <c r="M50" s="364"/>
      <c r="N50" s="98"/>
      <c r="O50" s="98"/>
      <c r="P50" s="98"/>
      <c r="Q50" s="98"/>
      <c r="R50" s="98"/>
      <c r="S50" s="98"/>
      <c r="T50" s="98"/>
      <c r="U50" s="98"/>
      <c r="V50" s="98"/>
      <c r="X50" s="14" t="str">
        <f t="shared" si="2"/>
        <v/>
      </c>
      <c r="Y50" s="14" t="str">
        <f t="shared" si="3"/>
        <v/>
      </c>
    </row>
    <row r="51" spans="1:25" ht="15.75" thickBot="1">
      <c r="A51" s="686" t="s">
        <v>4</v>
      </c>
      <c r="B51" s="687"/>
      <c r="C51" s="4"/>
      <c r="D51" s="96"/>
      <c r="E51" s="96"/>
      <c r="F51" s="96"/>
      <c r="G51" s="96"/>
      <c r="H51" s="96"/>
      <c r="I51" s="103"/>
      <c r="J51" s="154" t="e">
        <f>FIND("(",'Describe baseline'!F50)</f>
        <v>#VALUE!</v>
      </c>
      <c r="K51" s="154" t="e">
        <f>FIND("(",'Describe baseline'!G50)</f>
        <v>#VALUE!</v>
      </c>
      <c r="L51" s="154" t="e">
        <f>FIND(":",'Describe baseline'!H50)</f>
        <v>#VALUE!</v>
      </c>
      <c r="M51" s="365"/>
      <c r="O51" s="147"/>
      <c r="P51" s="147"/>
      <c r="Q51" s="147"/>
      <c r="R51" s="147"/>
      <c r="S51" s="147"/>
      <c r="T51" s="147"/>
      <c r="U51" s="147"/>
      <c r="V51" s="147"/>
      <c r="X51" s="14" t="str">
        <f t="shared" si="2"/>
        <v/>
      </c>
      <c r="Y51" s="14" t="str">
        <f t="shared" si="3"/>
        <v/>
      </c>
    </row>
    <row r="52" spans="1:25" ht="15" customHeight="1" thickBot="1">
      <c r="A52" s="606" t="s">
        <v>5</v>
      </c>
      <c r="B52" s="608" t="s">
        <v>27</v>
      </c>
      <c r="C52" s="608" t="s">
        <v>52</v>
      </c>
      <c r="D52" s="663">
        <f>IF('Describe baseline'!E51="-","+",IF('Describe baseline'!E51="+","-",'Describe baseline'!E51))</f>
        <v>0</v>
      </c>
      <c r="E52" s="663" t="str">
        <f>IF(ISERROR(LEFT('Describe baseline'!F51,'OUTPUT-all'!J52-2)),"",LEFT('Describe baseline'!F51,'OUTPUT-all'!J52-2))</f>
        <v/>
      </c>
      <c r="F52" s="663" t="str">
        <f>IF(ISERROR(LEFT('Describe baseline'!G51,'OUTPUT-all'!K52-2)),"",LEFT('Describe baseline'!G51,'OUTPUT-all'!K52-2))</f>
        <v/>
      </c>
      <c r="G52" s="663" t="str">
        <f>IF(ISERROR(LEFT('Describe baseline'!H51,'OUTPUT-all'!L52-1)),"",LEFT('Describe baseline'!H51,'OUTPUT-all'!L52-1))</f>
        <v/>
      </c>
      <c r="H52" s="371" t="str">
        <f>IF(ISERROR(LEFT('Food production'!K267,'OUTPUT-all'!M52-1)),"",LEFT('Food production'!K267,'OUTPUT-all'!M52-1))</f>
        <v>High</v>
      </c>
      <c r="I52" s="658">
        <f>IF('Food production'!D267="Enter number of hecatres",IF(D52="Neutral","Not relevant","Qualitative"),ROUND('Food production'!H267,3-LEN(INT('Food production'!H267))))</f>
        <v>0</v>
      </c>
      <c r="J52" s="154" t="e">
        <f>FIND("(",'Describe baseline'!F51)</f>
        <v>#VALUE!</v>
      </c>
      <c r="K52" s="154" t="e">
        <f>FIND("(",'Describe baseline'!G51)</f>
        <v>#VALUE!</v>
      </c>
      <c r="L52" s="154" t="e">
        <f>FIND(":",'Describe baseline'!H51)</f>
        <v>#VALUE!</v>
      </c>
      <c r="M52" s="154">
        <f>FIND(":",'Food production'!K267)</f>
        <v>5</v>
      </c>
      <c r="N52" s="61" t="s">
        <v>163</v>
      </c>
      <c r="O52" s="147" t="str">
        <f>IF('Identify beneficiaries'!E35="Y",IF(OR($I52="Qualitative",$I52="Not relevant"),$I52,ROUND($I52*'Summary of area'!$E$39/'Identify beneficiaries'!$L35,3-LEN(INT($I52*'Summary of area'!$E$39/'Identify beneficiaries'!$L35)))),"")</f>
        <v/>
      </c>
      <c r="P52" s="147" t="str">
        <f>IF('Identify beneficiaries'!F35="Y",IF(OR($I52="Qualitative",$I52="Not relevant"),$I52,ROUND($I52*'Summary of area'!$E$39/'Identify beneficiaries'!$L35,3-LEN(INT($I52*'Summary of area'!$E$39/'Identify beneficiaries'!$L35)))),"")</f>
        <v/>
      </c>
      <c r="Q52" s="147">
        <f>IF('Identify beneficiaries'!G35="Y",IF(OR($I52="Qualitative",$I52="Not relevant"),$I52,ROUND($I52*'Summary of area'!$E$39/'Identify beneficiaries'!$L35,3-LEN(INT($I52*'Summary of area'!$E$39/'Identify beneficiaries'!$L35)))),"")</f>
        <v>0</v>
      </c>
      <c r="R52" s="147" t="str">
        <f>IF('Identify beneficiaries'!H35="Y",IF(OR($I52="Qualitative",$I52="Not relevant"),$I52,ROUND($I52*'Summary of area'!$E$39/'Identify beneficiaries'!$L35,3-LEN(INT($I52*'Summary of area'!$E$39/'Identify beneficiaries'!$L35)))),"")</f>
        <v/>
      </c>
      <c r="S52" s="147" t="str">
        <f>IF('Identify beneficiaries'!I35="Y",IF(OR($I52="Qualitative",$I52="Not relevant"),$I52,ROUND($I52*'Summary of area'!$E$39/'Identify beneficiaries'!$L35,3-LEN(INT($I52*'Summary of area'!$E$39/'Identify beneficiaries'!$L35)))),"")</f>
        <v/>
      </c>
      <c r="T52" s="147" t="str">
        <f>IF('Identify beneficiaries'!J35="Y",IF(OR($I52="Qualitative",$I52="Not relevant"),$I52,ROUND($I52*'Summary of area'!$E$39/'Identify beneficiaries'!$L35,3-LEN(INT($I52*'Summary of area'!$E$39/'Identify beneficiaries'!$L35)))),"")</f>
        <v/>
      </c>
      <c r="U52" s="147" t="str">
        <f>IF('Identify beneficiaries'!K35="Y",IF(OR($I52="Qualitative",$I52="Not relevant"),$I52,ROUND($I52*'Summary of area'!$E$39/'Identify beneficiaries'!$L35,3-LEN(INT($I52*'Summary of area'!$E$39/'Identify beneficiaries'!$L35)))),"")</f>
        <v/>
      </c>
      <c r="V52" s="147">
        <f>IF(OR(I52="Qualitative",I52="Not relevant"),I52,ROUND(I52*'Summary of area'!$D$39,3-LEN(INT(I52*'Summary of area'!$D$39))))</f>
        <v>0</v>
      </c>
      <c r="X52" s="14" t="str">
        <f t="shared" si="2"/>
        <v/>
      </c>
      <c r="Y52" s="14" t="str">
        <f t="shared" si="3"/>
        <v/>
      </c>
    </row>
    <row r="53" spans="1:25" ht="13.5" hidden="1" thickBot="1">
      <c r="A53" s="607"/>
      <c r="B53" s="597"/>
      <c r="C53" s="669"/>
      <c r="D53" s="655">
        <f>IF('Describe baseline'!E52="-","+",IF('Describe baseline'!E52="+","-",'Describe baseline'!E52))</f>
        <v>0</v>
      </c>
      <c r="E53" s="664" t="str">
        <f>IF(ISERROR(LEFT('Describe baseline'!F52,'OUTPUT-all'!J53-2)),"",LEFT('Describe baseline'!F52,'OUTPUT-all'!J53-2))</f>
        <v/>
      </c>
      <c r="F53" s="655" t="str">
        <f>IF(ISERROR(LEFT('Describe baseline'!G52:G56,'OUTPUT-all'!K53-2)),"",LEFT('Describe baseline'!G52:G56,'OUTPUT-all'!K53-2))</f>
        <v/>
      </c>
      <c r="G53" s="655" t="str">
        <f>IF(ISERROR(LEFT('Describe baseline'!H52:H56,'OUTPUT-all'!L53-2)),"",LEFT('Describe baseline'!H52:H56,'OUTPUT-all'!L53-2))</f>
        <v/>
      </c>
      <c r="H53" s="355"/>
      <c r="I53" s="652" t="e">
        <f>ROUND(#REF!,2-LEN(INT(#REF!)))</f>
        <v>#REF!</v>
      </c>
      <c r="J53" s="154" t="e">
        <f>FIND("(",'Describe baseline'!F52)</f>
        <v>#VALUE!</v>
      </c>
      <c r="K53" s="154" t="e">
        <f>FIND("(",'Describe baseline'!G52)</f>
        <v>#VALUE!</v>
      </c>
      <c r="L53" s="154" t="e">
        <f>FIND(":",'Describe baseline'!H52)</f>
        <v>#VALUE!</v>
      </c>
      <c r="M53" s="364"/>
      <c r="N53" s="148"/>
      <c r="O53" s="149"/>
      <c r="P53" s="149"/>
      <c r="Q53" s="149"/>
      <c r="R53" s="149"/>
      <c r="S53" s="149"/>
      <c r="T53" s="149"/>
      <c r="U53" s="149"/>
      <c r="V53" s="149" t="e">
        <f>IF(OR(I53="Qualitative",I53="Not relevant"),I53,ROUND(I53*'Summary of area'!$C$21,3-LEN(INT(I53*'Summary of area'!$C$21))))</f>
        <v>#REF!</v>
      </c>
      <c r="X53" s="14" t="e">
        <f t="shared" si="2"/>
        <v>#REF!</v>
      </c>
      <c r="Y53" s="14" t="e">
        <f t="shared" si="3"/>
        <v>#REF!</v>
      </c>
    </row>
    <row r="54" spans="1:25" ht="13.5" thickBot="1">
      <c r="A54" s="607"/>
      <c r="B54" s="597"/>
      <c r="C54" s="24" t="s">
        <v>53</v>
      </c>
      <c r="D54" s="138">
        <f>IF('Describe baseline'!E53="-","+",IF('Describe baseline'!E53="+","-",'Describe baseline'!E53))</f>
        <v>0</v>
      </c>
      <c r="E54" s="25" t="str">
        <f>IF(ISERROR(LEFT('Describe baseline'!F53,'OUTPUT-all'!J54-2)),"",LEFT('Describe baseline'!F53,'OUTPUT-all'!J54-2))</f>
        <v/>
      </c>
      <c r="F54" s="25" t="str">
        <f>IF(ISERROR(LEFT('Describe baseline'!G53,'OUTPUT-all'!K54-2)),"",LEFT('Describe baseline'!G53,'OUTPUT-all'!K54-2))</f>
        <v/>
      </c>
      <c r="G54" s="346" t="str">
        <f>IF(ISERROR(LEFT('Describe baseline'!H53,'OUTPUT-all'!L54-1)),"",LEFT('Describe baseline'!H53,'OUTPUT-all'!L54-1))</f>
        <v/>
      </c>
      <c r="H54" s="356"/>
      <c r="I54" s="94" t="str">
        <f>IF(D54="Neutral","Not relevant","Qualitative")</f>
        <v>Qualitative</v>
      </c>
      <c r="J54" s="154" t="e">
        <f>FIND("(",'Describe baseline'!F53)</f>
        <v>#VALUE!</v>
      </c>
      <c r="K54" s="154" t="e">
        <f>FIND("(",'Describe baseline'!G53)</f>
        <v>#VALUE!</v>
      </c>
      <c r="L54" s="154" t="e">
        <f>FIND(":",'Describe baseline'!H53)</f>
        <v>#VALUE!</v>
      </c>
      <c r="M54" s="364"/>
      <c r="N54" s="19" t="s">
        <v>166</v>
      </c>
      <c r="O54" s="149" t="str">
        <f>IF('Identify beneficiaries'!E36="Y",IF(OR($I54="Qualitative",$I54="Not relevant"),$I54,$I54*'Summary of area'!$C$22/'Identify beneficiaries'!$L36),"")</f>
        <v>Qualitative</v>
      </c>
      <c r="P54" s="149" t="str">
        <f>IF('Identify beneficiaries'!F36="Y",IF(OR($I54="Qualitative",$I54="Not relevant"),$I54,$I54*'Summary of area'!$C$22/'Identify beneficiaries'!$L36),"")</f>
        <v/>
      </c>
      <c r="Q54" s="149" t="str">
        <f>IF('Identify beneficiaries'!G36="Y",IF(OR($I54="Qualitative",$I54="Not relevant"),$I54,$I54*'Summary of area'!$C$22/'Identify beneficiaries'!$L36),"")</f>
        <v/>
      </c>
      <c r="R54" s="149" t="str">
        <f>IF('Identify beneficiaries'!H36="Y",IF(OR($I54="Qualitative",$I54="Not relevant"),$I54,$I54*'Summary of area'!$C$22/'Identify beneficiaries'!$L36),"")</f>
        <v/>
      </c>
      <c r="S54" s="149" t="str">
        <f>IF('Identify beneficiaries'!I36="Y",IF(OR($I54="Qualitative",$I54="Not relevant"),$I54,$I54*'Summary of area'!$C$22/'Identify beneficiaries'!$L36),"")</f>
        <v/>
      </c>
      <c r="T54" s="149" t="str">
        <f>IF('Identify beneficiaries'!J36="Y",IF(OR($I54="Qualitative",$I54="Not relevant"),$I54,$I54*'Summary of area'!$C$22/'Identify beneficiaries'!$L36),"")</f>
        <v>Qualitative</v>
      </c>
      <c r="U54" s="149" t="str">
        <f>IF('Identify beneficiaries'!K36="Y",IF(OR($I54="Qualitative",$I54="Not relevant"),$I54,$I54*'Summary of area'!$C$22/'Identify beneficiaries'!$L36),"")</f>
        <v/>
      </c>
      <c r="V54" s="149" t="str">
        <f>IF(OR(I54="Qualitative",I54="Not relevant"),I54,ROUND(I54*'Summary of area'!$C$21,3-LEN(INT(I54*'Summary of area'!$C$21))))</f>
        <v>Qualitative</v>
      </c>
      <c r="X54" s="14" t="str">
        <f t="shared" si="2"/>
        <v/>
      </c>
      <c r="Y54" s="14" t="str">
        <f t="shared" si="3"/>
        <v/>
      </c>
    </row>
    <row r="55" spans="1:25" ht="19.5" customHeight="1" thickBot="1">
      <c r="A55" s="617"/>
      <c r="B55" s="609"/>
      <c r="C55" s="28" t="s">
        <v>54</v>
      </c>
      <c r="D55" s="302">
        <f>IF('Describe baseline'!E54="-","+",IF('Describe baseline'!E54="+","-",'Describe baseline'!E54))</f>
        <v>0</v>
      </c>
      <c r="E55" s="302" t="str">
        <f>IF(ISERROR(LEFT('Describe baseline'!F54,'OUTPUT-all'!J55-2)),"",LEFT('Describe baseline'!F54,'OUTPUT-all'!J55-2))</f>
        <v/>
      </c>
      <c r="F55" s="302" t="str">
        <f>IF(ISERROR(LEFT('Describe baseline'!G54,'OUTPUT-all'!K55-2)),"",LEFT('Describe baseline'!G54,'OUTPUT-all'!K55-2))</f>
        <v/>
      </c>
      <c r="G55" s="346" t="str">
        <f>IF(ISERROR(LEFT('Describe baseline'!H54:H58,'OUTPUT-all'!L55-1)),"",LEFT('Describe baseline'!H54:H58,'OUTPUT-all'!L55-1))</f>
        <v/>
      </c>
      <c r="H55" s="356"/>
      <c r="I55" s="94" t="str">
        <f>IF(D55="Neutral","Not relevant","Qualitative")</f>
        <v>Qualitative</v>
      </c>
      <c r="J55" s="325" t="e">
        <f>FIND("(",'Describe baseline'!F54)</f>
        <v>#VALUE!</v>
      </c>
      <c r="K55" s="325" t="e">
        <f>FIND("(",'Describe baseline'!G54)</f>
        <v>#VALUE!</v>
      </c>
      <c r="L55" s="154" t="e">
        <f>FIND(":",'Describe baseline'!H54)</f>
        <v>#VALUE!</v>
      </c>
      <c r="M55" s="364"/>
      <c r="N55" s="19" t="s">
        <v>697</v>
      </c>
      <c r="O55" s="149" t="str">
        <f>IF('Identify beneficiaries'!E37="Y",IF(OR($I55="Qualitative",$I55="Not relevant"),$I55,$I55*'Summary of area'!$C$22/'Identify beneficiaries'!$L37),"")</f>
        <v/>
      </c>
      <c r="P55" s="149" t="str">
        <f>IF('Identify beneficiaries'!F37="Y",IF(OR($I55="Qualitative",$I55="Not relevant"),$I55,$I55*'Summary of area'!$C$22/'Identify beneficiaries'!$L37),"")</f>
        <v/>
      </c>
      <c r="Q55" s="149" t="str">
        <f>IF('Identify beneficiaries'!G37="Y",IF(OR($I55="Qualitative",$I55="Not relevant"),$I55,$I55*'Summary of area'!$C$22/'Identify beneficiaries'!$L37),"")</f>
        <v/>
      </c>
      <c r="R55" s="149" t="str">
        <f>IF('Identify beneficiaries'!H37="Y",IF(OR($I55="Qualitative",$I55="Not relevant"),$I55,$I55*'Summary of area'!$C$22/'Identify beneficiaries'!$L37),"")</f>
        <v/>
      </c>
      <c r="S55" s="149" t="str">
        <f>IF('Identify beneficiaries'!I37="Y",IF(OR($I55="Qualitative",$I55="Not relevant"),$I55,$I55*'Summary of area'!$C$22/'Identify beneficiaries'!$L37),"")</f>
        <v/>
      </c>
      <c r="T55" s="149" t="str">
        <f>IF('Identify beneficiaries'!J37="Y",IF(OR($I55="Qualitative",$I55="Not relevant"),$I55,$I55*'Summary of area'!$C$22/'Identify beneficiaries'!$L37),"")</f>
        <v>Qualitative</v>
      </c>
      <c r="U55" s="149" t="str">
        <f>IF('Identify beneficiaries'!K37="Y",IF(OR($I55="Qualitative",$I55="Not relevant"),$I55,$I55*'Summary of area'!$C$22/'Identify beneficiaries'!$L37),"")</f>
        <v/>
      </c>
      <c r="V55" s="149" t="str">
        <f>IF(OR(I55="Qualitative",I55="Not relevant"),I55,ROUND(I55*'Summary of area'!$C$21,3-LEN(INT(I55*'Summary of area'!$C$21))))</f>
        <v>Qualitative</v>
      </c>
      <c r="X55" s="14" t="str">
        <f t="shared" si="2"/>
        <v/>
      </c>
      <c r="Y55" s="14" t="str">
        <f t="shared" si="3"/>
        <v/>
      </c>
    </row>
    <row r="56" spans="1:25" ht="26.25" thickBot="1">
      <c r="A56" s="611" t="s">
        <v>6</v>
      </c>
      <c r="B56" s="614" t="s">
        <v>28</v>
      </c>
      <c r="C56" s="30" t="s">
        <v>52</v>
      </c>
      <c r="D56" s="31">
        <f>IF('Describe baseline'!E55="-","+",IF('Describe baseline'!E55="+","-",'Describe baseline'!E55))</f>
        <v>0</v>
      </c>
      <c r="E56" s="31" t="str">
        <f>IF(ISERROR(LEFT('Describe baseline'!F55,'OUTPUT-all'!J56-2)),"",LEFT('Describe baseline'!F55,'OUTPUT-all'!J56-2))</f>
        <v/>
      </c>
      <c r="F56" s="31" t="str">
        <f>IF(ISERROR(LEFT('Describe baseline'!G55,'OUTPUT-all'!K56-2)),"",LEFT('Describe baseline'!G55,'OUTPUT-all'!K56-2))</f>
        <v/>
      </c>
      <c r="G56" s="31" t="str">
        <f>IF(ISERROR(LEFT('Describe baseline'!H55:H59,'OUTPUT-all'!L56-1)),"",LEFT('Describe baseline'!H55:H59,'OUTPUT-all'!L56-1))</f>
        <v/>
      </c>
      <c r="H56" s="31"/>
      <c r="I56" s="100" t="str">
        <f>IF(D56="Neutral","Not relevant","Qualitative")</f>
        <v>Qualitative</v>
      </c>
      <c r="J56" s="154" t="e">
        <f>FIND("(",'Describe baseline'!F55)</f>
        <v>#VALUE!</v>
      </c>
      <c r="K56" s="154" t="e">
        <f>FIND("(",'Describe baseline'!G55)</f>
        <v>#VALUE!</v>
      </c>
      <c r="L56" s="154" t="e">
        <f>FIND(":",'Describe baseline'!H55)</f>
        <v>#VALUE!</v>
      </c>
      <c r="M56" s="154"/>
      <c r="N56" s="61" t="s">
        <v>167</v>
      </c>
      <c r="O56" s="147" t="str">
        <f>IF('Identify beneficiaries'!E38="Y",IF(OR($I56="Qualitative",$I56="Not relevant"),$I56,$I56*'Summary of area'!$C$22/'Identify beneficiaries'!$L38),"")</f>
        <v>Qualitative</v>
      </c>
      <c r="P56" s="147" t="str">
        <f>IF('Identify beneficiaries'!F38="Y",IF(OR($I56="Qualitative",$I56="Not relevant"),$I56,$I56*'Summary of area'!$C$22/'Identify beneficiaries'!$L38),"")</f>
        <v/>
      </c>
      <c r="Q56" s="147" t="str">
        <f>IF('Identify beneficiaries'!G38="Y",IF(OR($I56="Qualitative",$I56="Not relevant"),$I56,$I56*'Summary of area'!$C$22/'Identify beneficiaries'!$L38),"")</f>
        <v>Qualitative</v>
      </c>
      <c r="R56" s="147" t="str">
        <f>IF('Identify beneficiaries'!H38="Y",IF(OR($I56="Qualitative",$I56="Not relevant"),$I56,$I56*'Summary of area'!$C$22/'Identify beneficiaries'!$L38),"")</f>
        <v/>
      </c>
      <c r="S56" s="147" t="str">
        <f>IF('Identify beneficiaries'!I38="Y",IF(OR($I56="Qualitative",$I56="Not relevant"),$I56,$I56*'Summary of area'!$C$22/'Identify beneficiaries'!$L38),"")</f>
        <v/>
      </c>
      <c r="T56" s="147" t="str">
        <f>IF('Identify beneficiaries'!J38="Y",IF(OR($I56="Qualitative",$I56="Not relevant"),$I56,$I56*'Summary of area'!$C$22/'Identify beneficiaries'!$L38),"")</f>
        <v>Qualitative</v>
      </c>
      <c r="U56" s="147" t="str">
        <f>IF('Identify beneficiaries'!K38="Y",IF(OR($I56="Qualitative",$I56="Not relevant"),$I56,$I56*'Summary of area'!$C$22/'Identify beneficiaries'!$L38),"")</f>
        <v/>
      </c>
      <c r="V56" s="147" t="str">
        <f>IF(OR(I56="Qualitative",I56="Not relevant"),I56,ROUND(I56*'Summary of area'!$C$21,3-LEN(INT(I56*'Summary of area'!$C$21))))</f>
        <v>Qualitative</v>
      </c>
      <c r="X56" s="14" t="str">
        <f t="shared" si="2"/>
        <v/>
      </c>
      <c r="Y56" s="14" t="str">
        <f t="shared" si="3"/>
        <v/>
      </c>
    </row>
    <row r="57" spans="1:25" ht="13.5" thickBot="1">
      <c r="A57" s="607"/>
      <c r="B57" s="597"/>
      <c r="C57" s="55" t="s">
        <v>53</v>
      </c>
      <c r="D57" s="57"/>
      <c r="E57" s="57"/>
      <c r="F57" s="57"/>
      <c r="G57" s="57"/>
      <c r="H57" s="57"/>
      <c r="I57" s="97"/>
      <c r="J57" s="154" t="e">
        <f>FIND("(",'Describe baseline'!F56)</f>
        <v>#VALUE!</v>
      </c>
      <c r="K57" s="154" t="e">
        <f>FIND("(",'Describe baseline'!G56)</f>
        <v>#VALUE!</v>
      </c>
      <c r="L57" s="154" t="e">
        <f>FIND(":",'Describe baseline'!H56)</f>
        <v>#VALUE!</v>
      </c>
      <c r="M57" s="364"/>
      <c r="N57" s="97"/>
      <c r="O57" s="97"/>
      <c r="P57" s="97"/>
      <c r="Q57" s="97"/>
      <c r="R57" s="97"/>
      <c r="S57" s="97"/>
      <c r="T57" s="97"/>
      <c r="U57" s="97"/>
      <c r="V57" s="97"/>
      <c r="X57" s="14" t="str">
        <f t="shared" si="2"/>
        <v/>
      </c>
      <c r="Y57" s="14" t="str">
        <f t="shared" si="3"/>
        <v/>
      </c>
    </row>
    <row r="58" spans="1:25" ht="13.5" thickBot="1">
      <c r="A58" s="617"/>
      <c r="B58" s="609"/>
      <c r="C58" s="58" t="s">
        <v>54</v>
      </c>
      <c r="D58" s="60"/>
      <c r="E58" s="60"/>
      <c r="F58" s="60"/>
      <c r="G58" s="60"/>
      <c r="H58" s="60"/>
      <c r="I58" s="98"/>
      <c r="J58" s="154" t="e">
        <f>FIND("(",'Describe baseline'!F57)</f>
        <v>#VALUE!</v>
      </c>
      <c r="K58" s="154" t="e">
        <f>FIND("(",'Describe baseline'!G57)</f>
        <v>#VALUE!</v>
      </c>
      <c r="L58" s="154" t="e">
        <f>FIND(":",'Describe baseline'!H57)</f>
        <v>#VALUE!</v>
      </c>
      <c r="M58" s="364"/>
      <c r="N58" s="98"/>
      <c r="O58" s="98"/>
      <c r="P58" s="98"/>
      <c r="Q58" s="98"/>
      <c r="R58" s="98"/>
      <c r="S58" s="98"/>
      <c r="T58" s="98"/>
      <c r="U58" s="98"/>
      <c r="V58" s="98"/>
      <c r="X58" s="14" t="str">
        <f t="shared" si="2"/>
        <v/>
      </c>
      <c r="Y58" s="14" t="str">
        <f t="shared" si="3"/>
        <v/>
      </c>
    </row>
    <row r="59" spans="1:25" ht="13.5" thickBot="1">
      <c r="A59" s="611" t="s">
        <v>43</v>
      </c>
      <c r="B59" s="614" t="s">
        <v>44</v>
      </c>
      <c r="C59" s="30" t="s">
        <v>52</v>
      </c>
      <c r="D59" s="31">
        <f>IF('Describe baseline'!E58="-","+",IF('Describe baseline'!E58="+","-",'Describe baseline'!E58))</f>
        <v>0</v>
      </c>
      <c r="E59" s="31" t="str">
        <f>IF(ISERROR(LEFT('Describe baseline'!F58,'OUTPUT-all'!J59-2)),"",LEFT('Describe baseline'!F58,'OUTPUT-all'!J59-2))</f>
        <v/>
      </c>
      <c r="F59" s="31" t="str">
        <f>IF(ISERROR(LEFT('Describe baseline'!G58,'OUTPUT-all'!K59-2)),"",LEFT('Describe baseline'!G58,'OUTPUT-all'!K59-2))</f>
        <v/>
      </c>
      <c r="G59" s="31" t="str">
        <f>IF(ISERROR(LEFT('Describe baseline'!H58,'OUTPUT-all'!L59-1)),"",LEFT('Describe baseline'!H58,'OUTPUT-all'!L59-1))</f>
        <v/>
      </c>
      <c r="H59" s="372" t="str">
        <f>IF(ISERROR(LEFT('Energy (direct)'!K96,'OUTPUT-all'!M59-1)),"",LEFT('Energy (direct)'!K96,'OUTPUT-all'!M59-1))</f>
        <v>High</v>
      </c>
      <c r="I59" s="101" t="str">
        <f>IF('Energy (direct)'!D96="Enter number of power stations and/or length of power lines",IF(D59="Neutral","Not relevant","Qualitative"),ROUND('Energy (direct)'!H96,3-LEN(INT('Energy (direct)'!H96))))</f>
        <v>Qualitative</v>
      </c>
      <c r="J59" s="154" t="e">
        <f>FIND("(",'Describe baseline'!F58)</f>
        <v>#VALUE!</v>
      </c>
      <c r="K59" s="154" t="e">
        <f>FIND("(",'Describe baseline'!G58)</f>
        <v>#VALUE!</v>
      </c>
      <c r="L59" s="154" t="e">
        <f>FIND(":",'Describe baseline'!H58)</f>
        <v>#VALUE!</v>
      </c>
      <c r="M59" s="154">
        <f>FIND(":",'Energy (direct)'!K96)</f>
        <v>5</v>
      </c>
      <c r="N59" s="61" t="s">
        <v>168</v>
      </c>
      <c r="O59" s="147" t="str">
        <f>IF('Identify beneficiaries'!E41="Y",IF(OR($I59="Qualitative",$I59="Not relevant"),$I59,$I59*'Summary of area'!$E$40/'Identify beneficiaries'!$L41),"")</f>
        <v/>
      </c>
      <c r="P59" s="147" t="str">
        <f>IF('Identify beneficiaries'!F41="Y",IF(OR($I59="Qualitative",$I59="Not relevant"),$I59,$I59*'Summary of area'!$E$40/'Identify beneficiaries'!$L41),"")</f>
        <v/>
      </c>
      <c r="Q59" s="147" t="str">
        <f>IF('Identify beneficiaries'!G41="Y",IF(OR($I59="Qualitative",$I59="Not relevant"),$I59,$I59*'Summary of area'!$E$40/'Identify beneficiaries'!$L41),"")</f>
        <v/>
      </c>
      <c r="R59" s="147" t="str">
        <f>IF('Identify beneficiaries'!H41="Y",IF(OR($I59="Qualitative",$I59="Not relevant"),$I59,$I59*'Summary of area'!$E$40/'Identify beneficiaries'!$L41),"")</f>
        <v/>
      </c>
      <c r="S59" s="147" t="str">
        <f>IF('Identify beneficiaries'!I41="Y",IF(OR($I59="Qualitative",$I59="Not relevant"),$I59,$I59*'Summary of area'!$E$40/'Identify beneficiaries'!$L41),"")</f>
        <v>Qualitative</v>
      </c>
      <c r="T59" s="147" t="str">
        <f>IF('Identify beneficiaries'!J41="Y",IF(OR($I59="Qualitative",$I59="Not relevant"),$I59,$I59*'Summary of area'!$E$40/'Identify beneficiaries'!$L41),"")</f>
        <v/>
      </c>
      <c r="U59" s="147" t="str">
        <f>IF('Identify beneficiaries'!K41="Y",IF(OR($I59="Qualitative",$I59="Not relevant"),$I59,$I59*'Summary of area'!$E$40/'Identify beneficiaries'!$L41),"")</f>
        <v/>
      </c>
      <c r="V59" s="147" t="str">
        <f>IF(OR(I59="Qualitative",I59="Not relevant"),I59,ROUND(I59*'Summary of area'!$D$40,3-LEN(INT(I59*'Summary of area'!$D$40))))</f>
        <v>Qualitative</v>
      </c>
      <c r="X59" s="14" t="str">
        <f t="shared" si="2"/>
        <v/>
      </c>
      <c r="Y59" s="14" t="str">
        <f t="shared" si="3"/>
        <v/>
      </c>
    </row>
    <row r="60" spans="1:25" ht="13.5" thickBot="1">
      <c r="A60" s="607"/>
      <c r="B60" s="597"/>
      <c r="C60" s="20" t="s">
        <v>53</v>
      </c>
      <c r="D60" s="21">
        <f>IF('Describe baseline'!E59="-","+",IF('Describe baseline'!E59="+","-",'Describe baseline'!E59))</f>
        <v>0</v>
      </c>
      <c r="E60" s="21" t="str">
        <f>IF(ISERROR(LEFT('Describe baseline'!F59,'OUTPUT-all'!J60-2)),"",LEFT('Describe baseline'!F59,'OUTPUT-all'!J60-2))</f>
        <v/>
      </c>
      <c r="F60" s="21" t="str">
        <f>IF(ISERROR(LEFT('Describe baseline'!G59,'OUTPUT-all'!K60-2)),"",LEFT('Describe baseline'!G59,'OUTPUT-all'!K60-2))</f>
        <v/>
      </c>
      <c r="G60" s="21" t="str">
        <f>IF(ISERROR(LEFT('Describe baseline'!H59,'OUTPUT-all'!L60-1)),"",LEFT('Describe baseline'!H59,'OUTPUT-all'!L60-1))</f>
        <v/>
      </c>
      <c r="H60" s="372" t="str">
        <f>IF(ISERROR(LEFT('Energy (indirect)'!N169,'OUTPUT-all'!M60-1)),"",LEFT('Energy (indirect)'!N169,'OUTPUT-all'!M60-1))</f>
        <v>High</v>
      </c>
      <c r="I60" s="101" t="str">
        <f>IF('Energy (indirect)'!D169="Enter number of properties affected by power outages",IF(D60="Neutral","Not relevant","Qualitative"),ROUND('Energy (indirect)'!K169,3-LEN(INT('Energy (indirect)'!K169))))</f>
        <v>Qualitative</v>
      </c>
      <c r="J60" s="154" t="e">
        <f>FIND("(",'Describe baseline'!F59)</f>
        <v>#VALUE!</v>
      </c>
      <c r="K60" s="154" t="e">
        <f>FIND("(",'Describe baseline'!G59)</f>
        <v>#VALUE!</v>
      </c>
      <c r="L60" s="154" t="e">
        <f>FIND(":",'Describe baseline'!H59)</f>
        <v>#VALUE!</v>
      </c>
      <c r="M60" s="154">
        <f>FIND(":",'Energy (indirect)'!N169)</f>
        <v>5</v>
      </c>
      <c r="N60" s="19" t="s">
        <v>169</v>
      </c>
      <c r="O60" s="149" t="str">
        <f>IF('Identify beneficiaries'!E42="Y",IF(OR($I60="Qualitative",$I60="Not relevant"),$I60,ROUND($I60*'Summary of area'!$E$41/'Identify beneficiaries'!$L42,3-LEN(INT($I60*'Summary of area'!$E$41/'Identify beneficiaries'!$L42)))),"")</f>
        <v>Qualitative</v>
      </c>
      <c r="P60" s="149" t="str">
        <f>IF('Identify beneficiaries'!F42="Y",IF(OR($I60="Qualitative",$I60="Not relevant"),$I60,ROUND($I60*'Summary of area'!$E$41/'Identify beneficiaries'!$L42,3-LEN(INT($I60*'Summary of area'!$E$41/'Identify beneficiaries'!$L42)))),"")</f>
        <v>Qualitative</v>
      </c>
      <c r="Q60" s="149" t="str">
        <f>IF('Identify beneficiaries'!G42="Y",IF(OR($I60="Qualitative",$I60="Not relevant"),$I60,ROUND($I60*'Summary of area'!$E$41/'Identify beneficiaries'!$L42,3-LEN(INT($I60*'Summary of area'!$E$41/'Identify beneficiaries'!$L42)))),"")</f>
        <v>Qualitative</v>
      </c>
      <c r="R60" s="149" t="str">
        <f>IF('Identify beneficiaries'!H42="Y",IF(OR($I60="Qualitative",$I60="Not relevant"),$I60,ROUND($I60*'Summary of area'!$E$41/'Identify beneficiaries'!$L42,3-LEN(INT($I60*'Summary of area'!$E$41/'Identify beneficiaries'!$L42)))),"")</f>
        <v>Qualitative</v>
      </c>
      <c r="S60" s="149" t="str">
        <f>IF('Identify beneficiaries'!I42="Y",IF(OR($I60="Qualitative",$I60="Not relevant"),$I60,ROUND($I60*'Summary of area'!$E$41/'Identify beneficiaries'!$L42,3-LEN(INT($I60*'Summary of area'!$E$41/'Identify beneficiaries'!$L42)))),"")</f>
        <v/>
      </c>
      <c r="T60" s="149" t="str">
        <f>IF('Identify beneficiaries'!J42="Y",IF(OR($I60="Qualitative",$I60="Not relevant"),$I60,ROUND($I60*'Summary of area'!$E$41/'Identify beneficiaries'!$L42,3-LEN(INT($I60*'Summary of area'!$E$41/'Identify beneficiaries'!$L42)))),"")</f>
        <v>Qualitative</v>
      </c>
      <c r="U60" s="149" t="str">
        <f>IF('Identify beneficiaries'!K42="Y",IF(OR($I60="Qualitative",$I60="Not relevant"),$I60,ROUND($I60*'Summary of area'!$E$41/'Identify beneficiaries'!$L42,3-LEN(INT($I60*'Summary of area'!$E$41/'Identify beneficiaries'!$L42)))),"")</f>
        <v>Qualitative</v>
      </c>
      <c r="V60" s="149" t="str">
        <f>IF(OR(I60="Qualitative",I60="Not relevant"),I60,ROUND(I60*'Summary of area'!$D$41,3-LEN(INT(I60*'Summary of area'!$D$41))))</f>
        <v>Qualitative</v>
      </c>
      <c r="X60" s="14" t="str">
        <f t="shared" si="2"/>
        <v/>
      </c>
      <c r="Y60" s="14" t="str">
        <f t="shared" si="3"/>
        <v/>
      </c>
    </row>
    <row r="61" spans="1:25" ht="13.5" thickBot="1">
      <c r="A61" s="617"/>
      <c r="B61" s="609"/>
      <c r="C61" s="58" t="s">
        <v>54</v>
      </c>
      <c r="D61" s="60"/>
      <c r="E61" s="60"/>
      <c r="F61" s="60"/>
      <c r="G61" s="60"/>
      <c r="H61" s="60"/>
      <c r="I61" s="98"/>
      <c r="J61" s="154" t="e">
        <f>FIND("(",'Describe baseline'!F60)</f>
        <v>#VALUE!</v>
      </c>
      <c r="K61" s="154" t="e">
        <f>FIND("(",'Describe baseline'!G60)</f>
        <v>#VALUE!</v>
      </c>
      <c r="L61" s="154" t="e">
        <f>FIND(":",'Describe baseline'!H60)</f>
        <v>#VALUE!</v>
      </c>
      <c r="M61" s="364"/>
      <c r="N61" s="98"/>
      <c r="O61" s="98"/>
      <c r="P61" s="98"/>
      <c r="Q61" s="98"/>
      <c r="R61" s="98"/>
      <c r="S61" s="98"/>
      <c r="T61" s="98"/>
      <c r="U61" s="98"/>
      <c r="V61" s="98"/>
      <c r="X61" s="14" t="str">
        <f t="shared" si="2"/>
        <v/>
      </c>
      <c r="Y61" s="14" t="str">
        <f t="shared" si="3"/>
        <v/>
      </c>
    </row>
    <row r="62" spans="1:25" ht="26.25" thickBot="1">
      <c r="A62" s="670" t="s">
        <v>7</v>
      </c>
      <c r="B62" s="614" t="s">
        <v>64</v>
      </c>
      <c r="C62" s="30" t="s">
        <v>52</v>
      </c>
      <c r="D62" s="31">
        <f>IF('Describe baseline'!E61="-","+",IF('Describe baseline'!E61="+","-",'Describe baseline'!E61))</f>
        <v>0</v>
      </c>
      <c r="E62" s="31" t="str">
        <f>IF(ISERROR(LEFT('Describe baseline'!F61,'OUTPUT-all'!J62-2)),"",LEFT('Describe baseline'!F61,'OUTPUT-all'!J62-2))</f>
        <v/>
      </c>
      <c r="F62" s="31" t="str">
        <f>IF(ISERROR(LEFT('Describe baseline'!G61,'OUTPUT-all'!K62-2)),"",LEFT('Describe baseline'!G61,'OUTPUT-all'!K62-2))</f>
        <v/>
      </c>
      <c r="G62" s="31" t="str">
        <f>IF(ISERROR(LEFT('Describe baseline'!H61:H65,'OUTPUT-all'!L62-1)),"",LEFT('Describe baseline'!H61:H65,'OUTPUT-all'!L62-1))</f>
        <v/>
      </c>
      <c r="H62" s="31"/>
      <c r="I62" s="100" t="str">
        <f>IF(D62="Neutral","Not relevant","Qualitative")</f>
        <v>Qualitative</v>
      </c>
      <c r="J62" s="154" t="e">
        <f>FIND("(",'Describe baseline'!F61)</f>
        <v>#VALUE!</v>
      </c>
      <c r="K62" s="154" t="e">
        <f>FIND("(",'Describe baseline'!G61)</f>
        <v>#VALUE!</v>
      </c>
      <c r="L62" s="154" t="e">
        <f>FIND(":",'Describe baseline'!H61)</f>
        <v>#VALUE!</v>
      </c>
      <c r="M62" s="154"/>
      <c r="N62" s="61" t="s">
        <v>170</v>
      </c>
      <c r="O62" s="147" t="str">
        <f>IF('Identify beneficiaries'!E44="Y",IF(OR($I62="Qualitative",$I62="Not relevant"),$I62,$I62*'Summary of area'!$C$22/'Identify beneficiaries'!$L44),"")</f>
        <v/>
      </c>
      <c r="P62" s="147" t="str">
        <f>IF('Identify beneficiaries'!F44="Y",IF(OR($I62="Qualitative",$I62="Not relevant"),$I62,$I62*'Summary of area'!$C$22/'Identify beneficiaries'!$L44),"")</f>
        <v/>
      </c>
      <c r="Q62" s="147" t="str">
        <f>IF('Identify beneficiaries'!G44="Y",IF(OR($I62="Qualitative",$I62="Not relevant"),$I62,$I62*'Summary of area'!$C$22/'Identify beneficiaries'!$L44),"")</f>
        <v>Qualitative</v>
      </c>
      <c r="R62" s="147" t="str">
        <f>IF('Identify beneficiaries'!H44="Y",IF(OR($I62="Qualitative",$I62="Not relevant"),$I62,$I62*'Summary of area'!$C$22/'Identify beneficiaries'!$L44),"")</f>
        <v/>
      </c>
      <c r="S62" s="147" t="str">
        <f>IF('Identify beneficiaries'!I44="Y",IF(OR($I62="Qualitative",$I62="Not relevant"),$I62,$I62*'Summary of area'!$C$22/'Identify beneficiaries'!$L44),"")</f>
        <v/>
      </c>
      <c r="T62" s="147" t="str">
        <f>IF('Identify beneficiaries'!J44="Y",IF(OR($I62="Qualitative",$I62="Not relevant"),$I62,$I62*'Summary of area'!$C$22/'Identify beneficiaries'!$L44),"")</f>
        <v/>
      </c>
      <c r="U62" s="147" t="str">
        <f>IF('Identify beneficiaries'!K44="Y",IF(OR($I62="Qualitative",$I62="Not relevant"),$I62,$I62*'Summary of area'!$C$22/'Identify beneficiaries'!$L44),"")</f>
        <v/>
      </c>
      <c r="V62" s="147" t="str">
        <f>IF(OR(I62="Qualitative",I62="Not relevant"),I62,ROUND(I62*'Summary of area'!$C$21,3-LEN(INT(I62*'Summary of area'!$C$21))))</f>
        <v>Qualitative</v>
      </c>
      <c r="X62" s="14" t="str">
        <f t="shared" si="2"/>
        <v/>
      </c>
      <c r="Y62" s="14" t="str">
        <f t="shared" si="3"/>
        <v/>
      </c>
    </row>
    <row r="63" spans="1:25" ht="13.5" thickBot="1">
      <c r="A63" s="607"/>
      <c r="B63" s="597"/>
      <c r="C63" s="20" t="s">
        <v>53</v>
      </c>
      <c r="D63" s="21">
        <f>IF('Describe baseline'!E62="-","+",IF('Describe baseline'!E62="+","-",'Describe baseline'!E62))</f>
        <v>0</v>
      </c>
      <c r="E63" s="21" t="str">
        <f>IF(ISERROR(LEFT('Describe baseline'!F62,'OUTPUT-all'!J63-2)),"",LEFT('Describe baseline'!F62,'OUTPUT-all'!J63-2))</f>
        <v/>
      </c>
      <c r="F63" s="21" t="str">
        <f>IF(ISERROR(LEFT('Describe baseline'!G62,'OUTPUT-all'!K63-2)),"",LEFT('Describe baseline'!G62,'OUTPUT-all'!K63-2))</f>
        <v/>
      </c>
      <c r="G63" s="21" t="str">
        <f>IF(ISERROR(LEFT('Describe baseline'!H62,'OUTPUT-all'!L63-1)),"",LEFT('Describe baseline'!H62,'OUTPUT-all'!L63-1))</f>
        <v/>
      </c>
      <c r="H63" s="21"/>
      <c r="I63" s="101" t="str">
        <f>IF(D63="Neutral","Not relevant","Qualitative")</f>
        <v>Qualitative</v>
      </c>
      <c r="J63" s="154" t="e">
        <f>FIND("(",'Describe baseline'!F62)</f>
        <v>#VALUE!</v>
      </c>
      <c r="K63" s="154" t="e">
        <f>FIND("(",'Describe baseline'!G62)</f>
        <v>#VALUE!</v>
      </c>
      <c r="L63" s="154" t="e">
        <f>FIND(":",'Describe baseline'!H62)</f>
        <v>#VALUE!</v>
      </c>
      <c r="M63" s="364"/>
      <c r="N63" s="19" t="s">
        <v>166</v>
      </c>
      <c r="O63" s="149" t="str">
        <f>IF('Identify beneficiaries'!E45="Y",IF(OR($I63="Qualitative",$I63="Not relevant"),$I63,$I63*'Summary of area'!$C$22/'Identify beneficiaries'!$L45),"")</f>
        <v>Qualitative</v>
      </c>
      <c r="P63" s="149" t="str">
        <f>IF('Identify beneficiaries'!F45="Y",IF(OR($I63="Qualitative",$I63="Not relevant"),$I63,$I63*'Summary of area'!$C$22/'Identify beneficiaries'!$L45),"")</f>
        <v>Qualitative</v>
      </c>
      <c r="Q63" s="149" t="str">
        <f>IF('Identify beneficiaries'!G45="Y",IF(OR($I63="Qualitative",$I63="Not relevant"),$I63,$I63*'Summary of area'!$C$22/'Identify beneficiaries'!$L45),"")</f>
        <v/>
      </c>
      <c r="R63" s="149" t="str">
        <f>IF('Identify beneficiaries'!H45="Y",IF(OR($I63="Qualitative",$I63="Not relevant"),$I63,$I63*'Summary of area'!$C$22/'Identify beneficiaries'!$L45),"")</f>
        <v>Qualitative</v>
      </c>
      <c r="S63" s="149" t="str">
        <f>IF('Identify beneficiaries'!I45="Y",IF(OR($I63="Qualitative",$I63="Not relevant"),$I63,$I63*'Summary of area'!$C$22/'Identify beneficiaries'!$L45),"")</f>
        <v/>
      </c>
      <c r="T63" s="149" t="str">
        <f>IF('Identify beneficiaries'!J45="Y",IF(OR($I63="Qualitative",$I63="Not relevant"),$I63,$I63*'Summary of area'!$C$22/'Identify beneficiaries'!$L45),"")</f>
        <v>Qualitative</v>
      </c>
      <c r="U63" s="149" t="str">
        <f>IF('Identify beneficiaries'!K45="Y",IF(OR($I63="Qualitative",$I63="Not relevant"),$I63,$I63*'Summary of area'!$C$22/'Identify beneficiaries'!$L45),"")</f>
        <v>Qualitative</v>
      </c>
      <c r="V63" s="149" t="str">
        <f>IF(OR(I63="Qualitative",I63="Not relevant"),I63,ROUND(I63*'Summary of area'!$C$21,3-LEN(INT(I63*'Summary of area'!$C$21))))</f>
        <v>Qualitative</v>
      </c>
      <c r="X63" s="14" t="str">
        <f t="shared" si="2"/>
        <v/>
      </c>
      <c r="Y63" s="14" t="str">
        <f t="shared" si="3"/>
        <v/>
      </c>
    </row>
    <row r="64" spans="1:25" ht="13.5" thickBot="1">
      <c r="A64" s="617"/>
      <c r="B64" s="609"/>
      <c r="C64" s="58" t="s">
        <v>54</v>
      </c>
      <c r="D64" s="60"/>
      <c r="E64" s="60"/>
      <c r="F64" s="60"/>
      <c r="G64" s="60"/>
      <c r="H64" s="60"/>
      <c r="I64" s="98"/>
      <c r="J64" s="154" t="e">
        <f>FIND("(",'Describe baseline'!F63)</f>
        <v>#VALUE!</v>
      </c>
      <c r="K64" s="154" t="e">
        <f>FIND("(",'Describe baseline'!G63)</f>
        <v>#VALUE!</v>
      </c>
      <c r="L64" s="154" t="e">
        <f>FIND(":",'Describe baseline'!H63)</f>
        <v>#VALUE!</v>
      </c>
      <c r="M64" s="364"/>
      <c r="N64" s="98"/>
      <c r="O64" s="98"/>
      <c r="P64" s="98"/>
      <c r="Q64" s="98"/>
      <c r="R64" s="98"/>
      <c r="S64" s="98"/>
      <c r="T64" s="98"/>
      <c r="U64" s="98"/>
      <c r="V64" s="98"/>
      <c r="X64" s="14" t="str">
        <f t="shared" si="2"/>
        <v/>
      </c>
      <c r="Y64" s="14" t="str">
        <f t="shared" si="3"/>
        <v/>
      </c>
    </row>
    <row r="65" spans="1:25" ht="24.75" customHeight="1" thickBot="1">
      <c r="A65" s="606" t="s">
        <v>2</v>
      </c>
      <c r="B65" s="608" t="s">
        <v>65</v>
      </c>
      <c r="C65" s="608" t="s">
        <v>52</v>
      </c>
      <c r="D65" s="663">
        <f>IF('Describe baseline'!E64="-","+",IF('Describe baseline'!E64="+","-",'Describe baseline'!E64))</f>
        <v>0</v>
      </c>
      <c r="E65" s="663" t="str">
        <f>IF(ISERROR(LEFT('Describe baseline'!F64,'OUTPUT-all'!J65-2)),"",LEFT('Describe baseline'!F64,'OUTPUT-all'!J65-2))</f>
        <v/>
      </c>
      <c r="F65" s="663" t="str">
        <f>IF(ISERROR(LEFT('Describe baseline'!G64,'OUTPUT-all'!K65-2)),"",LEFT('Describe baseline'!G64,'OUTPUT-all'!K65-2))</f>
        <v/>
      </c>
      <c r="G65" s="663" t="str">
        <f>IF(ISERROR(LEFT('Describe baseline'!H64,'OUTPUT-all'!L65-1)),"",LEFT('Describe baseline'!H64,'OUTPUT-all'!L65-1))</f>
        <v/>
      </c>
      <c r="H65" s="371" t="str">
        <f>"Designated sites:  "&amp;IF(ISERROR(LEFT('Designated biodiversity sites'!K134,'OUTPUT-all'!M65-1)),"",LEFT('Designated biodiversity sites'!K134,'OUTPUT-all'!M65-1))</f>
        <v>Designated sites:  High</v>
      </c>
      <c r="I65" s="415" t="str">
        <f>IF('Designated biodiversity sites'!D134="Enter number of hectares",IF(D65="Neutral","Not relevant","Qualitative"),ROUND('Designated biodiversity sites'!H134,3-LEN(INT('Designated biodiversity sites'!H134))))</f>
        <v>Qualitative</v>
      </c>
      <c r="J65" s="154" t="e">
        <f>FIND("(",'Describe baseline'!F64)</f>
        <v>#VALUE!</v>
      </c>
      <c r="K65" s="154" t="e">
        <f>FIND("(",'Describe baseline'!G64)</f>
        <v>#VALUE!</v>
      </c>
      <c r="L65" s="154" t="e">
        <f>FIND(":",'Describe baseline'!H64)</f>
        <v>#VALUE!</v>
      </c>
      <c r="M65" s="154">
        <f>FIND(":",'Designated biodiversity sites'!K134)</f>
        <v>5</v>
      </c>
      <c r="N65" s="446" t="s">
        <v>171</v>
      </c>
      <c r="O65" s="147" t="str">
        <f>IF(OR('Identify beneficiaries'!E47="Y",'Identify beneficiaries'!E48="Y",'Identify beneficiaries'!E49="Y"),IF(OR($I65="Qualitative",$I65="Not relevant"),$I65,ROUND($I65*'Summary of area'!$E$42/'Identify beneficiaries'!$L47,3-LEN(INT($I65*'Summary of area'!$E$42/'Identify beneficiaries'!$L47)))),"")</f>
        <v>Qualitative</v>
      </c>
      <c r="P65" s="147" t="str">
        <f>IF(OR('Identify beneficiaries'!F47="Y",'Identify beneficiaries'!F48="Y",'Identify beneficiaries'!F49="Y"),IF(OR($I65="Qualitative",$I65="Not relevant"),$I65,ROUND($I65*'Summary of area'!$E$42/'Identify beneficiaries'!$L47,3-LEN(INT($I65*'Summary of area'!$E$42/'Identify beneficiaries'!$L47)))),"")</f>
        <v/>
      </c>
      <c r="Q65" s="147" t="str">
        <f>IF(OR('Identify beneficiaries'!G47="Y",'Identify beneficiaries'!G48="Y",'Identify beneficiaries'!G49="Y"),IF(OR($I65="Qualitative",$I65="Not relevant"),$I65,ROUND($I65*'Summary of area'!$E$42/'Identify beneficiaries'!$L47,3-LEN(INT($I65*'Summary of area'!$E$42/'Identify beneficiaries'!$L47)))),"")</f>
        <v>Qualitative</v>
      </c>
      <c r="R65" s="147" t="str">
        <f>IF(OR('Identify beneficiaries'!H47="Y",'Identify beneficiaries'!H48="Y",'Identify beneficiaries'!H49="Y"),IF(OR($I65="Qualitative",$I65="Not relevant"),$I65,ROUND($I65*'Summary of area'!$E$42/'Identify beneficiaries'!$L47,3-LEN(INT($I65*'Summary of area'!$E$42/'Identify beneficiaries'!$L47)))),"")</f>
        <v>Qualitative</v>
      </c>
      <c r="S65" s="147" t="str">
        <f>IF(OR('Identify beneficiaries'!I47="Y",'Identify beneficiaries'!I48="Y",'Identify beneficiaries'!I49="Y"),IF(OR($I65="Qualitative",$I65="Not relevant"),$I65,ROUND($I65*'Summary of area'!$E$42/'Identify beneficiaries'!$L47,3-LEN(INT($I65*'Summary of area'!$E$42/'Identify beneficiaries'!$L47)))),"")</f>
        <v/>
      </c>
      <c r="T65" s="147" t="str">
        <f>IF(OR('Identify beneficiaries'!J47="Y",'Identify beneficiaries'!J48="Y",'Identify beneficiaries'!J49="Y"),IF(OR($I65="Qualitative",$I65="Not relevant"),$I65,ROUND($I65*'Summary of area'!$E$42/'Identify beneficiaries'!$L47,3-LEN(INT($I65*'Summary of area'!$E$42/'Identify beneficiaries'!$L47)))),"")</f>
        <v>Qualitative</v>
      </c>
      <c r="U65" s="147" t="str">
        <f>IF(OR('Identify beneficiaries'!K47="Y",'Identify beneficiaries'!K48="Y",'Identify beneficiaries'!K49="Y"),IF(OR($I65="Qualitative",$I65="Not relevant"),$I65,ROUND($I65*'Summary of area'!$E$42/'Identify beneficiaries'!$L47,3-LEN(INT($I65*'Summary of area'!$E$42/'Identify beneficiaries'!$L47)))),"")</f>
        <v/>
      </c>
      <c r="V65" s="147" t="str">
        <f>IF(OR(I65="Qualitative",I65="Not relevant"),I65,ROUND(I65*'Summary of area'!$D$42,3-LEN(INT(I65*'Summary of area'!$D$42))))</f>
        <v>Qualitative</v>
      </c>
      <c r="X65" s="14" t="str">
        <f t="shared" si="2"/>
        <v/>
      </c>
      <c r="Y65" s="14" t="str">
        <f t="shared" si="3"/>
        <v/>
      </c>
    </row>
    <row r="66" spans="1:25" ht="40.5" customHeight="1" thickBot="1">
      <c r="A66" s="612"/>
      <c r="B66" s="597"/>
      <c r="C66" s="669"/>
      <c r="D66" s="655">
        <f>IF('Describe baseline'!E65="-","+",IF('Describe baseline'!E65="+","-",'Describe baseline'!E65))</f>
        <v>0</v>
      </c>
      <c r="E66" s="664" t="str">
        <f>IF(ISERROR(LEFT('Describe baseline'!F65,'OUTPUT-all'!J66-2)),"",LEFT('Describe baseline'!F65,'OUTPUT-all'!J66-2))</f>
        <v/>
      </c>
      <c r="F66" s="655" t="str">
        <f>IF(ISERROR(LEFT('Describe baseline'!G65:G69,'OUTPUT-all'!K66-2)),"",LEFT('Describe baseline'!G65:G69,'OUTPUT-all'!K66-2))</f>
        <v/>
      </c>
      <c r="G66" s="655" t="str">
        <f>IF(ISERROR(LEFT('Describe baseline'!H65:H69,'OUTPUT-all'!L66-2)),"",LEFT('Describe baseline'!H65:H69,'OUTPUT-all'!L66-2))</f>
        <v/>
      </c>
      <c r="H66" s="371" t="str">
        <f>"Non-designated land:  "&amp;IF(ISERROR(LEFT('Biodiversity - non-designated'!Q79,'OUTPUT-all'!M66-1)),"",LEFT('Biodiversity - non-designated'!Q79,'OUTPUT-all'!M66-1))</f>
        <v>Non-designated land:  High</v>
      </c>
      <c r="I66" s="94" t="str">
        <f>IF('Biodiversity - non-designated'!C79="Enter ha and/or km of watercourses",IF(D66="Neutral","Not relevant","Qualitative"),ROUND('Biodiversity - non-designated'!O79,3-LEN(INT('Biodiversity - non-designated'!O79))))</f>
        <v>Qualitative</v>
      </c>
      <c r="J66" s="154" t="e">
        <f>FIND("(",'Describe baseline'!F65)</f>
        <v>#VALUE!</v>
      </c>
      <c r="K66" s="154" t="e">
        <f>FIND("(",'Describe baseline'!G65)</f>
        <v>#VALUE!</v>
      </c>
      <c r="L66" s="154" t="e">
        <f>FIND(":",'Describe baseline'!H65)</f>
        <v>#VALUE!</v>
      </c>
      <c r="M66" s="154">
        <f>FIND(":",'Biodiversity - non-designated'!Q79)</f>
        <v>5</v>
      </c>
      <c r="N66" s="19" t="s">
        <v>171</v>
      </c>
      <c r="O66" s="149" t="str">
        <f>IF(OR('Identify beneficiaries'!E48="Y",'Identify beneficiaries'!E49="Y",'Identify beneficiaries'!E47="Y"),IF(OR($I66="Qualitative",$I66="Not relevant"),$I66,ROUND($I66*'Summary of area'!$E$42/'Identify beneficiaries'!$L47,3-LEN(INT($I66*'Summary of area'!$E$42/'Identify beneficiaries'!$L47)))),"")</f>
        <v>Qualitative</v>
      </c>
      <c r="P66" s="149" t="str">
        <f>IF(OR('Identify beneficiaries'!F48="Y",'Identify beneficiaries'!F49="Y",'Identify beneficiaries'!F47="Y"),IF(OR($I66="Qualitative",$I66="Not relevant"),$I66,ROUND($I66*'Summary of area'!$E$42/'Identify beneficiaries'!$L47,3-LEN(INT($I66*'Summary of area'!$E$42/'Identify beneficiaries'!$L47)))),"")</f>
        <v/>
      </c>
      <c r="Q66" s="149" t="str">
        <f>IF(OR('Identify beneficiaries'!G48="Y",'Identify beneficiaries'!G49="Y",'Identify beneficiaries'!G47="Y"),IF(OR($I66="Qualitative",$I66="Not relevant"),$I66,ROUND($I66*'Summary of area'!$E$42/'Identify beneficiaries'!$L47,3-LEN(INT($I66*'Summary of area'!$E$42/'Identify beneficiaries'!$L47)))),"")</f>
        <v>Qualitative</v>
      </c>
      <c r="R66" s="149" t="str">
        <f>IF(OR('Identify beneficiaries'!H48="Y",'Identify beneficiaries'!H49="Y",'Identify beneficiaries'!H47="Y"),IF(OR($I66="Qualitative",$I66="Not relevant"),$I66,ROUND($I66*'Summary of area'!$E$42/'Identify beneficiaries'!$L47,3-LEN(INT($I66*'Summary of area'!$E$42/'Identify beneficiaries'!$L47)))),"")</f>
        <v>Qualitative</v>
      </c>
      <c r="S66" s="149" t="str">
        <f>IF(OR('Identify beneficiaries'!I48="Y",'Identify beneficiaries'!I49="Y",'Identify beneficiaries'!I47="Y"),IF(OR($I66="Qualitative",$I66="Not relevant"),$I66,ROUND($I66*'Summary of area'!$E$42/'Identify beneficiaries'!$L47,3-LEN(INT($I66*'Summary of area'!$E$42/'Identify beneficiaries'!$L47)))),"")</f>
        <v/>
      </c>
      <c r="T66" s="149" t="str">
        <f>IF(OR('Identify beneficiaries'!J48="Y",'Identify beneficiaries'!J49="Y",'Identify beneficiaries'!J47="Y"),IF(OR($I66="Qualitative",$I66="Not relevant"),$I66,ROUND($I66*'Summary of area'!$E$42/'Identify beneficiaries'!$L47,3-LEN(INT($I66*'Summary of area'!$E$42/'Identify beneficiaries'!$L47)))),"")</f>
        <v>Qualitative</v>
      </c>
      <c r="U66" s="149" t="str">
        <f>IF(OR('Identify beneficiaries'!K48="Y",'Identify beneficiaries'!K49="Y",'Identify beneficiaries'!K47="Y"),IF(OR($I66="Qualitative",$I66="Not relevant"),$I66,ROUND($I66*'Summary of area'!$E$42/'Identify beneficiaries'!$L47,3-LEN(INT($I66*'Summary of area'!$E$42/'Identify beneficiaries'!$L47)))),"")</f>
        <v/>
      </c>
      <c r="V66" s="149" t="str">
        <f>IF(OR(I66="Qualitative",I66="Not relevant"),I66,ROUND(I66*'Summary of area'!$D$42,3-LEN(INT(I66*'Summary of area'!$D$42))))</f>
        <v>Qualitative</v>
      </c>
      <c r="X66" s="14" t="str">
        <f t="shared" si="2"/>
        <v/>
      </c>
      <c r="Y66" s="14" t="str">
        <f t="shared" si="3"/>
        <v/>
      </c>
    </row>
    <row r="67" spans="1:25" ht="26.25" thickBot="1">
      <c r="A67" s="607"/>
      <c r="B67" s="597"/>
      <c r="C67" s="24" t="s">
        <v>53</v>
      </c>
      <c r="D67" s="25">
        <f>IF('Describe baseline'!E66="-","+",IF('Describe baseline'!E66="+","-",'Describe baseline'!E66))</f>
        <v>0</v>
      </c>
      <c r="E67" s="25" t="str">
        <f>IF(ISERROR(LEFT('Describe baseline'!F66,'OUTPUT-all'!J67-2)),"",LEFT('Describe baseline'!F66,'OUTPUT-all'!J67-2))</f>
        <v/>
      </c>
      <c r="F67" s="25" t="str">
        <f>IF(ISERROR(LEFT('Describe baseline'!G66,'OUTPUT-all'!K67-2)),"",LEFT('Describe baseline'!G66,'OUTPUT-all'!K67-2))</f>
        <v/>
      </c>
      <c r="G67" s="346" t="str">
        <f>IF(ISERROR(LEFT('Describe baseline'!H66:H70,'OUTPUT-all'!L67-1)),"",LEFT('Describe baseline'!H66:H70,'OUTPUT-all'!L67-1))</f>
        <v/>
      </c>
      <c r="H67" s="356"/>
      <c r="I67" s="94" t="str">
        <f>IF(D67="Neutral","Not relevant","Qualitative")</f>
        <v>Qualitative</v>
      </c>
      <c r="J67" s="154" t="e">
        <f>FIND("(",'Describe baseline'!F66)</f>
        <v>#VALUE!</v>
      </c>
      <c r="K67" s="154" t="e">
        <f>FIND("(",'Describe baseline'!G66)</f>
        <v>#VALUE!</v>
      </c>
      <c r="L67" s="154" t="e">
        <f>FIND(":",'Describe baseline'!H66)</f>
        <v>#VALUE!</v>
      </c>
      <c r="M67" s="364"/>
      <c r="N67" s="19" t="s">
        <v>163</v>
      </c>
      <c r="O67" s="149" t="str">
        <f>IF('Identify beneficiaries'!E48="Y",IF(OR($I67="Qualitative",$I67="Not relevant"),"Captured above",$I67*'Summary of area'!$C$22/'Identify beneficiaries'!$L48),"")</f>
        <v/>
      </c>
      <c r="P67" s="149" t="str">
        <f>IF('Identify beneficiaries'!F48="Y",IF(OR($I67="Qualitative",$I67="Not relevant"),"Captured above",$I67*'Summary of area'!$C$22/'Identify beneficiaries'!$L48),"")</f>
        <v/>
      </c>
      <c r="Q67" s="149" t="str">
        <f>IF('Identify beneficiaries'!G48="Y",IF(OR($I67="Qualitative",$I67="Not relevant"),"Captured above",$I67*'Summary of area'!$C$22/'Identify beneficiaries'!$L48),"")</f>
        <v>Captured above</v>
      </c>
      <c r="R67" s="149" t="str">
        <f>IF('Identify beneficiaries'!H48="Y",IF(OR($I67="Qualitative",$I67="Not relevant"),"Captured above",$I67*'Summary of area'!$C$22/'Identify beneficiaries'!$L48),"")</f>
        <v/>
      </c>
      <c r="S67" s="149" t="str">
        <f>IF('Identify beneficiaries'!I48="Y",IF(OR($I67="Qualitative",$I67="Not relevant"),"Captured above",$I67*'Summary of area'!$C$22/'Identify beneficiaries'!$L48),"")</f>
        <v/>
      </c>
      <c r="T67" s="149" t="str">
        <f>IF('Identify beneficiaries'!J48="Y",IF(OR($I67="Qualitative",$I67="Not relevant"),"Captured above",$I67*'Summary of area'!$C$22/'Identify beneficiaries'!$L48),"")</f>
        <v/>
      </c>
      <c r="U67" s="149" t="str">
        <f>IF('Identify beneficiaries'!K48="Y",IF(OR($I67="Qualitative",$I67="Not relevant"),"Captured above",$I67*'Summary of area'!$C$22/'Identify beneficiaries'!$L48),"")</f>
        <v/>
      </c>
      <c r="V67" s="149" t="str">
        <f>IF(OR(I67="Qualitative",I67="Not relevant"),"Captured above",ROUND(I67*'Summary of area'!$D$42,3-LEN(INT(I67*'Summary of area'!$D$42))))</f>
        <v>Captured above</v>
      </c>
      <c r="X67" s="14" t="str">
        <f t="shared" si="2"/>
        <v/>
      </c>
      <c r="Y67" s="14" t="str">
        <f t="shared" si="3"/>
        <v/>
      </c>
    </row>
    <row r="68" spans="1:25" ht="26.25" thickBot="1">
      <c r="A68" s="617"/>
      <c r="B68" s="609"/>
      <c r="C68" s="28" t="s">
        <v>54</v>
      </c>
      <c r="D68" s="138">
        <f>IF('Describe baseline'!E67="-","+",IF('Describe baseline'!E67="+","-",'Describe baseline'!E67))</f>
        <v>0</v>
      </c>
      <c r="E68" s="29" t="str">
        <f>IF(ISERROR(LEFT('Describe baseline'!F67,'OUTPUT-all'!J68-2)),"",LEFT('Describe baseline'!F67,'OUTPUT-all'!J68-2))</f>
        <v/>
      </c>
      <c r="F68" s="29" t="str">
        <f>IF(ISERROR(LEFT('Describe baseline'!G67,'OUTPUT-all'!K68-2)),"",LEFT('Describe baseline'!G67,'OUTPUT-all'!K68-2))</f>
        <v/>
      </c>
      <c r="G68" s="29" t="str">
        <f>IF(ISERROR(LEFT('Describe baseline'!H67:H71,'OUTPUT-all'!L68-1)),"",LEFT('Describe baseline'!H67:H71,'OUTPUT-all'!L68-1))</f>
        <v/>
      </c>
      <c r="H68" s="351"/>
      <c r="I68" s="94" t="str">
        <f>IF(D68="Neutral","Not relevant","Qualitative")</f>
        <v>Qualitative</v>
      </c>
      <c r="J68" s="154" t="e">
        <f>FIND("(",'Describe baseline'!F67)</f>
        <v>#VALUE!</v>
      </c>
      <c r="K68" s="154" t="e">
        <f>FIND("(",'Describe baseline'!G67)</f>
        <v>#VALUE!</v>
      </c>
      <c r="L68" s="154" t="e">
        <f>FIND(":",'Describe baseline'!H67)</f>
        <v>#VALUE!</v>
      </c>
      <c r="M68" s="364"/>
      <c r="N68" s="62" t="s">
        <v>172</v>
      </c>
      <c r="O68" s="150" t="str">
        <f>IF('Identify beneficiaries'!E49="Y",IF(OR($I68="Qualitative",$I68="Not relevant"),"Captured above",$I68*'Summary of area'!$C$22/'Identify beneficiaries'!$L49),"")</f>
        <v/>
      </c>
      <c r="P68" s="150" t="str">
        <f>IF('Identify beneficiaries'!F49="Y",IF(OR($I68="Qualitative",$I68="Not relevant"),"Captured above",$I68*'Summary of area'!$C$22/'Identify beneficiaries'!$L49),"")</f>
        <v/>
      </c>
      <c r="Q68" s="150" t="str">
        <f>IF('Identify beneficiaries'!G49="Y",IF(OR($I68="Qualitative",$I68="Not relevant"),"Captured above",$I68*'Summary of area'!$C$22/'Identify beneficiaries'!$L49),"")</f>
        <v/>
      </c>
      <c r="R68" s="150" t="str">
        <f>IF('Identify beneficiaries'!H49="Y",IF(OR($I68="Qualitative",$I68="Not relevant"),"Captured above",$I68*'Summary of area'!$C$22/'Identify beneficiaries'!$L49),"")</f>
        <v/>
      </c>
      <c r="S68" s="150" t="str">
        <f>IF('Identify beneficiaries'!I49="Y",IF(OR($I68="Qualitative",$I68="Not relevant"),"Captured above",$I68*'Summary of area'!$C$22/'Identify beneficiaries'!$L49),"")</f>
        <v/>
      </c>
      <c r="T68" s="150" t="str">
        <f>IF('Identify beneficiaries'!J49="Y",IF(OR($I68="Qualitative",$I68="Not relevant"),"Captured above",$I68*'Summary of area'!$C$22/'Identify beneficiaries'!$L49),"")</f>
        <v>Captured above</v>
      </c>
      <c r="U68" s="150" t="str">
        <f>IF('Identify beneficiaries'!K49="Y",IF(OR($I68="Qualitative",$I68="Not relevant"),"Captured above",$I68*'Summary of area'!$C$22/'Identify beneficiaries'!$L49),"")</f>
        <v/>
      </c>
      <c r="V68" s="150" t="str">
        <f>IF(OR(I68="Qualitative",I68="Not relevant"),"Captured above",ROUND(I68*'Summary of area'!$D$42,3-LEN(INT(I68*'Summary of area'!$D$42))))</f>
        <v>Captured above</v>
      </c>
      <c r="X68" s="14" t="str">
        <f t="shared" si="2"/>
        <v/>
      </c>
      <c r="Y68" s="14" t="str">
        <f t="shared" si="3"/>
        <v/>
      </c>
    </row>
    <row r="69" spans="1:25" ht="13.5" thickBot="1">
      <c r="A69" s="611" t="s">
        <v>69</v>
      </c>
      <c r="B69" s="614" t="s">
        <v>29</v>
      </c>
      <c r="C69" s="30" t="s">
        <v>52</v>
      </c>
      <c r="D69" s="31">
        <f>IF('Describe baseline'!E68="-","+",IF('Describe baseline'!E68="+","-",'Describe baseline'!E68))</f>
        <v>0</v>
      </c>
      <c r="E69" s="31" t="str">
        <f>IF(ISERROR(LEFT('Describe baseline'!F68,'OUTPUT-all'!J69-2)),"",LEFT('Describe baseline'!F68,'OUTPUT-all'!J69-2))</f>
        <v/>
      </c>
      <c r="F69" s="31" t="str">
        <f>IF(ISERROR(LEFT('Describe baseline'!G68,'OUTPUT-all'!K69-2)),"",LEFT('Describe baseline'!G68,'OUTPUT-all'!K69-2))</f>
        <v/>
      </c>
      <c r="G69" s="31" t="str">
        <f>IF(ISERROR(LEFT('Describe baseline'!H68,'OUTPUT-all'!L69-1)),"",LEFT('Describe baseline'!H68,'OUTPUT-all'!L69-1))</f>
        <v/>
      </c>
      <c r="H69" s="374" t="str">
        <f>IF(ISERROR(LEFT('Water supply'!N155,'OUTPUT-all'!M69-1)),"",LEFT('Water supply'!N155,'OUTPUT-all'!M69-1))</f>
        <v>High</v>
      </c>
      <c r="I69" s="100" t="str">
        <f>IF('Water supply'!D155="Enter number of licences (direct benefits)",IF(D69="Neutral","Not relevant","Qualitative"),ROUND('Water supply'!K155,3-LEN(INT('Water supply'!K155))))</f>
        <v>Qualitative</v>
      </c>
      <c r="J69" s="154" t="e">
        <f>FIND("(",'Describe baseline'!F68)</f>
        <v>#VALUE!</v>
      </c>
      <c r="K69" s="154" t="e">
        <f>FIND("(",'Describe baseline'!G68)</f>
        <v>#VALUE!</v>
      </c>
      <c r="L69" s="154" t="e">
        <f>FIND(":",'Describe baseline'!H68)</f>
        <v>#VALUE!</v>
      </c>
      <c r="M69" s="154">
        <f>FIND(":",'Water supply'!N155)</f>
        <v>5</v>
      </c>
      <c r="N69" s="61" t="s">
        <v>173</v>
      </c>
      <c r="O69" s="147" t="str">
        <f>IF('Identify beneficiaries'!E50="Y",IF(OR($I69="Qualitative",$I69="Not relevant"),$I69,ROUND($I69*'Summary of area'!$E$44/'Identify beneficiaries'!$L50,3-LEN(INT($I69*'Summary of area'!$E$44/'Identify beneficiaries'!$L50)))),"")</f>
        <v/>
      </c>
      <c r="P69" s="147" t="str">
        <f>IF('Identify beneficiaries'!F50="Y",IF(OR($I69="Qualitative",$I69="Not relevant"),$I69,ROUND($I69*'Summary of area'!$E$44/'Identify beneficiaries'!$L50,3-LEN(INT($I69*'Summary of area'!$E$44/'Identify beneficiaries'!$L50)))),"")</f>
        <v>Qualitative</v>
      </c>
      <c r="Q69" s="147" t="str">
        <f>IF('Identify beneficiaries'!G50="Y",IF(OR($I69="Qualitative",$I69="Not relevant"),$I69,ROUND($I69*'Summary of area'!$E$44/'Identify beneficiaries'!$L50,3-LEN(INT($I69*'Summary of area'!$E$44/'Identify beneficiaries'!$L50)))),"")</f>
        <v>Qualitative</v>
      </c>
      <c r="R69" s="147" t="str">
        <f>IF('Identify beneficiaries'!H50="Y",IF(OR($I69="Qualitative",$I69="Not relevant"),$I69,ROUND($I69*'Summary of area'!$E$44/'Identify beneficiaries'!$L50,3-LEN(INT($I69*'Summary of area'!$E$44/'Identify beneficiaries'!$L50)))),"")</f>
        <v/>
      </c>
      <c r="S69" s="147" t="str">
        <f>IF('Identify beneficiaries'!I50="Y",IF(OR($I69="Qualitative",$I69="Not relevant"),$I69,ROUND($I69*'Summary of area'!$E$44/'Identify beneficiaries'!$L50,3-LEN(INT($I69*'Summary of area'!$E$44/'Identify beneficiaries'!$L50)))),"")</f>
        <v>Qualitative</v>
      </c>
      <c r="T69" s="147" t="str">
        <f>IF('Identify beneficiaries'!J50="Y",IF(OR($I69="Qualitative",$I69="Not relevant"),$I69,ROUND($I69*'Summary of area'!$E$44/'Identify beneficiaries'!$L50,3-LEN(INT($I69*'Summary of area'!$E$44/'Identify beneficiaries'!$L50)))),"")</f>
        <v/>
      </c>
      <c r="U69" s="147" t="str">
        <f>IF('Identify beneficiaries'!K50="Y",IF(OR($I69="Qualitative",$I69="Not relevant"),$I69,ROUND($I69*'Summary of area'!$E$44/'Identify beneficiaries'!$L50,3-LEN(INT($I69*'Summary of area'!$E$44/'Identify beneficiaries'!$L50)))),"")</f>
        <v/>
      </c>
      <c r="V69" s="147" t="str">
        <f>IF(OR(I69="Qualitative",I69="Not relevant"),I69,ROUND(I69*'Summary of area'!$D$44,3-LEN(INT(I69*'Summary of area'!$D$44))))</f>
        <v>Qualitative</v>
      </c>
      <c r="X69" s="14" t="str">
        <f t="shared" si="2"/>
        <v/>
      </c>
      <c r="Y69" s="14" t="str">
        <f t="shared" si="3"/>
        <v/>
      </c>
    </row>
    <row r="70" spans="1:25" ht="13.5" thickBot="1">
      <c r="A70" s="607"/>
      <c r="B70" s="597"/>
      <c r="C70" s="20" t="s">
        <v>53</v>
      </c>
      <c r="D70" s="21">
        <f>IF('Describe baseline'!E69="-","+",IF('Describe baseline'!E69="+","-",'Describe baseline'!E69))</f>
        <v>0</v>
      </c>
      <c r="E70" s="21" t="str">
        <f>IF(ISERROR(LEFT('Describe baseline'!F69,'OUTPUT-all'!J70-2)),"",LEFT('Describe baseline'!F69,'OUTPUT-all'!J70-2))</f>
        <v/>
      </c>
      <c r="F70" s="21" t="str">
        <f>IF(ISERROR(LEFT('Describe baseline'!G69,'OUTPUT-all'!K70-2)),"",LEFT('Describe baseline'!G69,'OUTPUT-all'!K70-2))</f>
        <v/>
      </c>
      <c r="G70" s="21" t="str">
        <f>IF(ISERROR(LEFT('Describe baseline'!H69,'OUTPUT-all'!L70-1)),"",LEFT('Describe baseline'!H69,'OUTPUT-all'!L70-1))</f>
        <v/>
      </c>
      <c r="H70" s="372" t="str">
        <f>IF(ISERROR(LEFT('Water supply'!N156,'OUTPUT-all'!M70-1)),"",LEFT('Water supply'!N156,'OUTPUT-all'!M70-1))</f>
        <v>High</v>
      </c>
      <c r="I70" s="101" t="str">
        <f>IF('Water supply'!D156="Enter number of licences (indirect benefits)",IF(D70="Neutral","Not relevant","Qualitative"),ROUND('Water supply'!K156,3-LEN(INT('Water supply'!K156))))</f>
        <v>Qualitative</v>
      </c>
      <c r="J70" s="154" t="e">
        <f>FIND("(",'Describe baseline'!F69)</f>
        <v>#VALUE!</v>
      </c>
      <c r="K70" s="154" t="e">
        <f>FIND("(",'Describe baseline'!G69)</f>
        <v>#VALUE!</v>
      </c>
      <c r="L70" s="154" t="e">
        <f>FIND(":",'Describe baseline'!H69)</f>
        <v>#VALUE!</v>
      </c>
      <c r="M70" s="154">
        <f>FIND(":",'Water supply'!N156)</f>
        <v>5</v>
      </c>
      <c r="N70" s="19" t="s">
        <v>174</v>
      </c>
      <c r="O70" s="149" t="str">
        <f>IF('Identify beneficiaries'!E51="Y",IF(OR($I70="Qualitative",$I70="Not relevant"),$I70,ROUND($I70*'Summary of area'!$E$44/'Identify beneficiaries'!$L51,3-LEN(INT($I70*'Summary of area'!$E$44/'Identify beneficiaries'!$L51)))),"")</f>
        <v>Qualitative</v>
      </c>
      <c r="P70" s="149" t="str">
        <f>IF('Identify beneficiaries'!F51="Y",IF(OR($I70="Qualitative",$I70="Not relevant"),$I70,ROUND($I70*'Summary of area'!$E$44/'Identify beneficiaries'!$L51,3-LEN(INT($I70*'Summary of area'!$E$44/'Identify beneficiaries'!$L51)))),"")</f>
        <v>Qualitative</v>
      </c>
      <c r="Q70" s="149" t="str">
        <f>IF('Identify beneficiaries'!G51="Y",IF(OR($I70="Qualitative",$I70="Not relevant"),$I70,ROUND($I70*'Summary of area'!$E$44/'Identify beneficiaries'!$L51,3-LEN(INT($I70*'Summary of area'!$E$44/'Identify beneficiaries'!$L51)))),"")</f>
        <v>Qualitative</v>
      </c>
      <c r="R70" s="149" t="str">
        <f>IF('Identify beneficiaries'!H51="Y",IF(OR($I70="Qualitative",$I70="Not relevant"),$I70,ROUND($I70*'Summary of area'!$E$44/'Identify beneficiaries'!$L51,3-LEN(INT($I70*'Summary of area'!$E$44/'Identify beneficiaries'!$L51)))),"")</f>
        <v>Qualitative</v>
      </c>
      <c r="S70" s="149" t="str">
        <f>IF('Identify beneficiaries'!I51="Y",IF(OR($I70="Qualitative",$I70="Not relevant"),$I70,ROUND($I70*'Summary of area'!$E$44/'Identify beneficiaries'!$L51,3-LEN(INT($I70*'Summary of area'!$E$44/'Identify beneficiaries'!$L51)))),"")</f>
        <v/>
      </c>
      <c r="T70" s="149" t="str">
        <f>IF('Identify beneficiaries'!J51="Y",IF(OR($I70="Qualitative",$I70="Not relevant"),$I70,ROUND($I70*'Summary of area'!$E$44/'Identify beneficiaries'!$L51,3-LEN(INT($I70*'Summary of area'!$E$44/'Identify beneficiaries'!$L51)))),"")</f>
        <v>Qualitative</v>
      </c>
      <c r="U70" s="149" t="str">
        <f>IF('Identify beneficiaries'!K51="Y",IF(OR($I70="Qualitative",$I70="Not relevant"),$I70,ROUND($I70*'Summary of area'!$E$44/'Identify beneficiaries'!$L51,3-LEN(INT($I70*'Summary of area'!$E$44/'Identify beneficiaries'!$L51)))),"")</f>
        <v>Qualitative</v>
      </c>
      <c r="V70" s="147" t="str">
        <f>IF(OR(I70="Qualitative",I70="Not relevant"),I70,ROUND(I70*'Summary of area'!$D$44,3-LEN(INT(I70*'Summary of area'!$D$44))))</f>
        <v>Qualitative</v>
      </c>
      <c r="X70" s="14" t="str">
        <f t="shared" si="2"/>
        <v/>
      </c>
      <c r="Y70" s="14" t="str">
        <f t="shared" si="3"/>
        <v/>
      </c>
    </row>
    <row r="71" spans="1:25" ht="13.5" thickBot="1">
      <c r="A71" s="617"/>
      <c r="B71" s="609"/>
      <c r="C71" s="58" t="s">
        <v>54</v>
      </c>
      <c r="D71" s="60"/>
      <c r="E71" s="60"/>
      <c r="F71" s="60"/>
      <c r="G71" s="60"/>
      <c r="H71" s="60"/>
      <c r="I71" s="98"/>
      <c r="J71" s="154" t="e">
        <f>FIND("(",'Describe baseline'!F70)</f>
        <v>#VALUE!</v>
      </c>
      <c r="K71" s="154" t="e">
        <f>FIND("(",'Describe baseline'!G70)</f>
        <v>#VALUE!</v>
      </c>
      <c r="L71" s="154" t="e">
        <f>FIND(":",'Describe baseline'!H70)</f>
        <v>#VALUE!</v>
      </c>
      <c r="M71" s="364"/>
      <c r="N71" s="98"/>
      <c r="O71" s="98"/>
      <c r="P71" s="98"/>
      <c r="Q71" s="98"/>
      <c r="R71" s="98"/>
      <c r="S71" s="98"/>
      <c r="T71" s="98"/>
      <c r="U71" s="98"/>
      <c r="V71" s="98"/>
      <c r="X71" s="14" t="str">
        <f t="shared" si="2"/>
        <v/>
      </c>
      <c r="Y71" s="14" t="str">
        <f t="shared" si="3"/>
        <v/>
      </c>
    </row>
    <row r="72" spans="1:25" ht="24" customHeight="1" thickBot="1">
      <c r="A72" s="686" t="s">
        <v>8</v>
      </c>
      <c r="B72" s="687"/>
      <c r="C72" s="4"/>
      <c r="D72" s="96"/>
      <c r="E72" s="96"/>
      <c r="F72" s="96"/>
      <c r="G72" s="96"/>
      <c r="H72" s="96"/>
      <c r="I72" s="103"/>
      <c r="J72" s="154" t="e">
        <f>FIND("(",'Describe baseline'!F71)</f>
        <v>#VALUE!</v>
      </c>
      <c r="K72" s="154" t="e">
        <f>FIND("(",'Describe baseline'!G71)</f>
        <v>#VALUE!</v>
      </c>
      <c r="L72" s="154" t="e">
        <f>FIND(":",'Describe baseline'!H71)</f>
        <v>#VALUE!</v>
      </c>
      <c r="M72" s="365"/>
      <c r="O72" s="147"/>
      <c r="P72" s="147"/>
      <c r="Q72" s="147"/>
      <c r="R72" s="147"/>
      <c r="S72" s="147"/>
      <c r="T72" s="147"/>
      <c r="U72" s="147"/>
      <c r="V72" s="293"/>
      <c r="X72" s="14" t="str">
        <f t="shared" si="2"/>
        <v/>
      </c>
      <c r="Y72" s="14" t="str">
        <f t="shared" si="3"/>
        <v/>
      </c>
    </row>
    <row r="73" spans="1:25" ht="15" customHeight="1" thickBot="1">
      <c r="A73" s="606" t="s">
        <v>9</v>
      </c>
      <c r="B73" s="608" t="s">
        <v>30</v>
      </c>
      <c r="C73" s="608" t="s">
        <v>52</v>
      </c>
      <c r="D73" s="663">
        <f>IF('Describe baseline'!E72="-","+",IF('Describe baseline'!E72="+","-",'Describe baseline'!E72))</f>
        <v>0</v>
      </c>
      <c r="E73" s="663" t="str">
        <f>IF(ISERROR(LEFT('Describe baseline'!F72,'OUTPUT-all'!J73-2)),"",LEFT('Describe baseline'!F72,'OUTPUT-all'!J73-2))</f>
        <v/>
      </c>
      <c r="F73" s="663" t="str">
        <f>IF(ISERROR(LEFT('Describe baseline'!G72,'OUTPUT-all'!K73-2)),"",LEFT('Describe baseline'!G72,'OUTPUT-all'!K73-2))</f>
        <v/>
      </c>
      <c r="G73" s="663" t="str">
        <f>IF(ISERROR(LEFT('Describe baseline'!H72,'OUTPUT-all'!L73-1)),"",LEFT('Describe baseline'!H72,'OUTPUT-all'!L73-1))</f>
        <v/>
      </c>
      <c r="H73" s="350"/>
      <c r="I73" s="658" t="str">
        <f>IF(D73="Neutral","Not relevant","Qualitative")</f>
        <v>Qualitative</v>
      </c>
      <c r="J73" s="154" t="e">
        <f>FIND("(",'Describe baseline'!F72)</f>
        <v>#VALUE!</v>
      </c>
      <c r="K73" s="154" t="e">
        <f>FIND("(",'Describe baseline'!G72)</f>
        <v>#VALUE!</v>
      </c>
      <c r="L73" s="154" t="e">
        <f>FIND(":",'Describe baseline'!H72)</f>
        <v>#VALUE!</v>
      </c>
      <c r="M73" s="154"/>
      <c r="N73" s="61" t="s">
        <v>175</v>
      </c>
      <c r="O73" s="147" t="str">
        <f>IF('Identify beneficiaries'!E54="Y",IF(OR($I73="Qualitative",$I73="Not relevant"),$I73,$I73*'Summary of area'!$C$22/'Identify beneficiaries'!$L54),"")</f>
        <v>Qualitative</v>
      </c>
      <c r="P73" s="147" t="str">
        <f>IF('Identify beneficiaries'!F54="Y",IF(OR($I73="Qualitative",$I73="Not relevant"),$I73,$I73*'Summary of area'!$C$22/'Identify beneficiaries'!$L54),"")</f>
        <v/>
      </c>
      <c r="Q73" s="147" t="str">
        <f>IF('Identify beneficiaries'!G54="Y",IF(OR($I73="Qualitative",$I73="Not relevant"),$I73,$I73*'Summary of area'!$C$22/'Identify beneficiaries'!$L54),"")</f>
        <v/>
      </c>
      <c r="R73" s="147" t="str">
        <f>IF('Identify beneficiaries'!H54="Y",IF(OR($I73="Qualitative",$I73="Not relevant"),$I73,$I73*'Summary of area'!$C$22/'Identify beneficiaries'!$L54),"")</f>
        <v/>
      </c>
      <c r="S73" s="147" t="str">
        <f>IF('Identify beneficiaries'!I54="Y",IF(OR($I73="Qualitative",$I73="Not relevant"),$I73,$I73*'Summary of area'!$C$22/'Identify beneficiaries'!$L54),"")</f>
        <v/>
      </c>
      <c r="T73" s="147" t="str">
        <f>IF('Identify beneficiaries'!J54="Y",IF(OR($I73="Qualitative",$I73="Not relevant"),$I73,$I73*'Summary of area'!$C$22/'Identify beneficiaries'!$L54),"")</f>
        <v/>
      </c>
      <c r="U73" s="147" t="str">
        <f>IF('Identify beneficiaries'!K54="Y",IF(OR($I73="Qualitative",$I73="Not relevant"),$I73,$I73*'Summary of area'!$C$22/'Identify beneficiaries'!$L54),"")</f>
        <v/>
      </c>
      <c r="V73" s="292" t="str">
        <f>IF(OR(I73="Qualitative",I73="Not relevant"),I73,ROUND(I73*'Summary of area'!$C$21,3-LEN(INT(I73*'Summary of area'!$C$21))))</f>
        <v>Qualitative</v>
      </c>
      <c r="X73" s="14" t="str">
        <f t="shared" si="2"/>
        <v/>
      </c>
      <c r="Y73" s="14" t="str">
        <f t="shared" si="3"/>
        <v/>
      </c>
    </row>
    <row r="74" spans="1:25" ht="13.5" hidden="1" thickBot="1">
      <c r="A74" s="612"/>
      <c r="B74" s="615"/>
      <c r="C74" s="615"/>
      <c r="D74" s="654">
        <f>IF('Describe baseline'!E73="-","+",IF('Describe baseline'!E73="+","-",'Describe baseline'!E73))</f>
        <v>0</v>
      </c>
      <c r="E74" s="666" t="str">
        <f>IF(ISERROR(LEFT('Describe baseline'!F73,'OUTPUT-all'!J74-2)),"",LEFT('Describe baseline'!F73,'OUTPUT-all'!J74-2))</f>
        <v/>
      </c>
      <c r="F74" s="654" t="str">
        <f>IF(ISERROR(LEFT('Describe baseline'!G73:G77,'OUTPUT-all'!K74-2)),"",LEFT('Describe baseline'!G73:G77,'OUTPUT-all'!K74-2))</f>
        <v/>
      </c>
      <c r="G74" s="654" t="str">
        <f>IF(ISERROR(LEFT('Describe baseline'!H73:H77,'OUTPUT-all'!L74-2)),"",LEFT('Describe baseline'!H73:H77,'OUTPUT-all'!L74-2))</f>
        <v/>
      </c>
      <c r="H74" s="354"/>
      <c r="I74" s="651" t="e">
        <f>IF(D74="-",ROUND(#REF!,2-LEN(INT(#REF!)))*-1,ROUND(#REF!,2-LEN(INT(#REF!))))</f>
        <v>#REF!</v>
      </c>
      <c r="J74" s="154" t="e">
        <f>FIND("(",'Describe baseline'!F73)</f>
        <v>#VALUE!</v>
      </c>
      <c r="K74" s="154" t="e">
        <f>FIND("(",'Describe baseline'!G73)</f>
        <v>#VALUE!</v>
      </c>
      <c r="L74" s="154" t="e">
        <f>FIND(":",'Describe baseline'!H73)</f>
        <v>#VALUE!</v>
      </c>
      <c r="M74" s="364"/>
      <c r="N74" s="148"/>
      <c r="O74" s="149"/>
      <c r="P74" s="149"/>
      <c r="Q74" s="149"/>
      <c r="R74" s="149"/>
      <c r="S74" s="149"/>
      <c r="T74" s="149"/>
      <c r="U74" s="149"/>
      <c r="V74" s="149"/>
      <c r="X74" s="14" t="e">
        <f t="shared" si="2"/>
        <v>#REF!</v>
      </c>
      <c r="Y74" s="14" t="e">
        <f t="shared" si="3"/>
        <v>#REF!</v>
      </c>
    </row>
    <row r="75" spans="1:25" ht="13.5" hidden="1" thickBot="1">
      <c r="A75" s="612"/>
      <c r="B75" s="615"/>
      <c r="C75" s="669"/>
      <c r="D75" s="655">
        <f>IF('Describe baseline'!E74="-","+",IF('Describe baseline'!E74="+","-",'Describe baseline'!E74))</f>
        <v>0</v>
      </c>
      <c r="E75" s="664" t="str">
        <f>IF(ISERROR(LEFT('Describe baseline'!F74,'OUTPUT-all'!J75-2)),"",LEFT('Describe baseline'!F74,'OUTPUT-all'!J75-2))</f>
        <v/>
      </c>
      <c r="F75" s="655" t="str">
        <f>IF(ISERROR(LEFT('Describe baseline'!G74:G78,'OUTPUT-all'!K75-2)),"",LEFT('Describe baseline'!G74:G78,'OUTPUT-all'!K75-2))</f>
        <v/>
      </c>
      <c r="G75" s="655" t="str">
        <f>IF(ISERROR(LEFT('Describe baseline'!H74:H78,'OUTPUT-all'!L75-2)),"",LEFT('Describe baseline'!H74:H78,'OUTPUT-all'!L75-2))</f>
        <v/>
      </c>
      <c r="H75" s="355"/>
      <c r="I75" s="652" t="e">
        <f>IF(D75="-",ROUND(#REF!,2-LEN(INT(#REF!)))*-1,ROUND(#REF!,2-LEN(INT(#REF!))))</f>
        <v>#REF!</v>
      </c>
      <c r="J75" s="154" t="e">
        <f>FIND("(",'Describe baseline'!F74)</f>
        <v>#VALUE!</v>
      </c>
      <c r="K75" s="154" t="e">
        <f>FIND("(",'Describe baseline'!G74)</f>
        <v>#VALUE!</v>
      </c>
      <c r="L75" s="154" t="e">
        <f>FIND(":",'Describe baseline'!H74)</f>
        <v>#VALUE!</v>
      </c>
      <c r="M75" s="364"/>
      <c r="N75" s="148"/>
      <c r="O75" s="149"/>
      <c r="P75" s="149"/>
      <c r="Q75" s="149"/>
      <c r="R75" s="149"/>
      <c r="S75" s="149"/>
      <c r="T75" s="149"/>
      <c r="U75" s="149"/>
      <c r="V75" s="149"/>
      <c r="X75" s="14" t="e">
        <f t="shared" si="2"/>
        <v>#REF!</v>
      </c>
      <c r="Y75" s="14" t="e">
        <f t="shared" si="3"/>
        <v>#REF!</v>
      </c>
    </row>
    <row r="76" spans="1:25" ht="13.5" thickBot="1">
      <c r="A76" s="612"/>
      <c r="B76" s="615"/>
      <c r="C76" s="55" t="s">
        <v>53</v>
      </c>
      <c r="D76" s="57"/>
      <c r="E76" s="57"/>
      <c r="F76" s="57"/>
      <c r="G76" s="57"/>
      <c r="H76" s="57"/>
      <c r="I76" s="97"/>
      <c r="J76" s="154" t="e">
        <f>FIND("(",'Describe baseline'!F75)</f>
        <v>#VALUE!</v>
      </c>
      <c r="K76" s="154" t="e">
        <f>FIND("(",'Describe baseline'!G75)</f>
        <v>#VALUE!</v>
      </c>
      <c r="L76" s="154" t="e">
        <f>FIND(":",'Describe baseline'!H75)</f>
        <v>#VALUE!</v>
      </c>
      <c r="M76" s="364"/>
      <c r="N76" s="97"/>
      <c r="O76" s="97"/>
      <c r="P76" s="97"/>
      <c r="Q76" s="97"/>
      <c r="R76" s="97"/>
      <c r="S76" s="97"/>
      <c r="T76" s="97"/>
      <c r="U76" s="97"/>
      <c r="V76" s="97"/>
      <c r="X76" s="14" t="str">
        <f aca="true" t="shared" si="4" ref="X76:X107">IF(I76="Qualitative",E76,"")</f>
        <v/>
      </c>
      <c r="Y76" s="14" t="str">
        <f aca="true" t="shared" si="5" ref="Y76:Y107">IF(I76="Qualitative",F76,"")</f>
        <v/>
      </c>
    </row>
    <row r="77" spans="1:25" ht="39" thickBot="1">
      <c r="A77" s="613"/>
      <c r="B77" s="616"/>
      <c r="C77" s="28" t="s">
        <v>54</v>
      </c>
      <c r="D77" s="29">
        <f>IF('Describe baseline'!E76="-","+",IF('Describe baseline'!E76="+","-",'Describe baseline'!E76))</f>
        <v>0</v>
      </c>
      <c r="E77" s="29" t="str">
        <f>IF(ISERROR(LEFT('Describe baseline'!F76,'OUTPUT-all'!J77-2)),"",LEFT('Describe baseline'!F76,'OUTPUT-all'!J77-2))</f>
        <v/>
      </c>
      <c r="F77" s="29" t="str">
        <f>IF(ISERROR(LEFT('Describe baseline'!G76,'OUTPUT-all'!K77-2)),"",LEFT('Describe baseline'!G76,'OUTPUT-all'!K77-2))</f>
        <v/>
      </c>
      <c r="G77" s="29" t="str">
        <f>IF(ISERROR(LEFT('Describe baseline'!H76,'OUTPUT-all'!L77-1)),"",LEFT('Describe baseline'!H76,'OUTPUT-all'!L77-1))</f>
        <v/>
      </c>
      <c r="H77" s="29"/>
      <c r="I77" s="99" t="str">
        <f>IF(D77="Neutral","Not relevant","Qualitative")</f>
        <v>Qualitative</v>
      </c>
      <c r="J77" s="154" t="e">
        <f>FIND("(",'Describe baseline'!F76)</f>
        <v>#VALUE!</v>
      </c>
      <c r="K77" s="154" t="e">
        <f>FIND("(",'Describe baseline'!G76)</f>
        <v>#VALUE!</v>
      </c>
      <c r="L77" s="154" t="e">
        <f>FIND(":",'Describe baseline'!H76)</f>
        <v>#VALUE!</v>
      </c>
      <c r="M77" s="364"/>
      <c r="N77" s="62" t="s">
        <v>176</v>
      </c>
      <c r="O77" s="150" t="str">
        <f>IF('Identify beneficiaries'!E56="Y",IF(OR($I77="Qualitative",$I77="Not relevant"),$I77,$I77*'Summary of area'!$C$22/'Identify beneficiaries'!$L56),"")</f>
        <v/>
      </c>
      <c r="P77" s="150" t="str">
        <f>IF('Identify beneficiaries'!F56="Y",IF(OR($I77="Qualitative",$I77="Not relevant"),$I77,$I77*'Summary of area'!$C$22/'Identify beneficiaries'!$L56),"")</f>
        <v/>
      </c>
      <c r="Q77" s="150" t="str">
        <f>IF('Identify beneficiaries'!G56="Y",IF(OR($I77="Qualitative",$I77="Not relevant"),$I77,$I77*'Summary of area'!$C$22/'Identify beneficiaries'!$L56),"")</f>
        <v/>
      </c>
      <c r="R77" s="150" t="str">
        <f>IF('Identify beneficiaries'!H56="Y",IF(OR($I77="Qualitative",$I77="Not relevant"),$I77,$I77*'Summary of area'!$C$22/'Identify beneficiaries'!$L56),"")</f>
        <v>Qualitative</v>
      </c>
      <c r="S77" s="150" t="str">
        <f>IF('Identify beneficiaries'!I56="Y",IF(OR($I77="Qualitative",$I77="Not relevant"),$I77,$I77*'Summary of area'!$C$22/'Identify beneficiaries'!$L56),"")</f>
        <v/>
      </c>
      <c r="T77" s="150" t="str">
        <f>IF('Identify beneficiaries'!J56="Y",IF(OR($I77="Qualitative",$I77="Not relevant"),$I77,$I77*'Summary of area'!$C$22/'Identify beneficiaries'!$L56),"")</f>
        <v>Qualitative</v>
      </c>
      <c r="U77" s="150" t="str">
        <f>IF('Identify beneficiaries'!K56="Y",IF(OR($I77="Qualitative",$I77="Not relevant"),$I77,$I77*'Summary of area'!$C$22/'Identify beneficiaries'!$L56),"")</f>
        <v/>
      </c>
      <c r="V77" s="150" t="str">
        <f>IF(OR(I77="Qualitative",I77="Not relevant"),I77,ROUND(I77*'Summary of area'!$C$21,3-LEN(INT(I77*'Summary of area'!$C$21))))</f>
        <v>Qualitative</v>
      </c>
      <c r="X77" s="14" t="str">
        <f t="shared" si="4"/>
        <v/>
      </c>
      <c r="Y77" s="14" t="str">
        <f t="shared" si="5"/>
        <v/>
      </c>
    </row>
    <row r="78" spans="1:25" ht="20.25" customHeight="1" thickBot="1">
      <c r="A78" s="606" t="s">
        <v>10</v>
      </c>
      <c r="B78" s="608" t="s">
        <v>66</v>
      </c>
      <c r="C78" s="26" t="s">
        <v>52</v>
      </c>
      <c r="D78" s="27">
        <f>IF('Describe baseline'!E77="-","+",IF('Describe baseline'!E77="+","-",'Describe baseline'!E77))</f>
        <v>0</v>
      </c>
      <c r="E78" s="27" t="str">
        <f>IF(ISERROR(LEFT('Describe baseline'!F77,'OUTPUT-all'!J78-2)),"",LEFT('Describe baseline'!F77,'OUTPUT-all'!J78-2))</f>
        <v/>
      </c>
      <c r="F78" s="27" t="str">
        <f>IF(ISERROR(LEFT('Describe baseline'!G77,'OUTPUT-all'!K78-2)),"",LEFT('Describe baseline'!G77,'OUTPUT-all'!K78-2))</f>
        <v/>
      </c>
      <c r="G78" s="27" t="str">
        <f>IF(ISERROR(LEFT('Describe baseline'!H77,'OUTPUT-all'!L78-1)),"",LEFT('Describe baseline'!H77,'OUTPUT-all'!L78-1))</f>
        <v/>
      </c>
      <c r="H78" s="27"/>
      <c r="I78" s="92" t="str">
        <f>IF(D78="Neutral","Not relevant","Qualitative")</f>
        <v>Qualitative</v>
      </c>
      <c r="J78" s="154" t="e">
        <f>FIND("(",'Describe baseline'!F77)</f>
        <v>#VALUE!</v>
      </c>
      <c r="K78" s="154" t="e">
        <f>FIND("(",'Describe baseline'!G77)</f>
        <v>#VALUE!</v>
      </c>
      <c r="L78" s="154" t="e">
        <f>FIND(":",'Describe baseline'!H77)</f>
        <v>#VALUE!</v>
      </c>
      <c r="M78" s="154"/>
      <c r="N78" s="61" t="s">
        <v>177</v>
      </c>
      <c r="O78" s="147" t="str">
        <f>IF('Identify beneficiaries'!E57="Y",IF(OR($I78="Qualitative",$I78="Not relevant"),$I78,$I78*'Summary of area'!$C$22/'Identify beneficiaries'!$L57),"")</f>
        <v>Qualitative</v>
      </c>
      <c r="P78" s="147" t="str">
        <f>IF('Identify beneficiaries'!F57="Y",IF(OR($I78="Qualitative",$I78="Not relevant"),$I78,$I78*'Summary of area'!$C$22/'Identify beneficiaries'!$L57),"")</f>
        <v/>
      </c>
      <c r="Q78" s="147" t="str">
        <f>IF('Identify beneficiaries'!G57="Y",IF(OR($I78="Qualitative",$I78="Not relevant"),$I78,$I78*'Summary of area'!$C$22/'Identify beneficiaries'!$L57),"")</f>
        <v/>
      </c>
      <c r="R78" s="147" t="str">
        <f>IF('Identify beneficiaries'!H57="Y",IF(OR($I78="Qualitative",$I78="Not relevant"),$I78,$I78*'Summary of area'!$C$22/'Identify beneficiaries'!$L57),"")</f>
        <v/>
      </c>
      <c r="S78" s="147" t="str">
        <f>IF('Identify beneficiaries'!I57="Y",IF(OR($I78="Qualitative",$I78="Not relevant"),$I78,$I78*'Summary of area'!$C$22/'Identify beneficiaries'!$L57),"")</f>
        <v/>
      </c>
      <c r="T78" s="147" t="str">
        <f>IF('Identify beneficiaries'!J57="Y",IF(OR($I78="Qualitative",$I78="Not relevant"),$I78,$I78*'Summary of area'!$C$22/'Identify beneficiaries'!$L57),"")</f>
        <v/>
      </c>
      <c r="U78" s="147" t="str">
        <f>IF('Identify beneficiaries'!K57="Y",IF(OR($I78="Qualitative",$I78="Not relevant"),$I78,$I78*'Summary of area'!$C$22/'Identify beneficiaries'!$L57),"")</f>
        <v/>
      </c>
      <c r="V78" s="147" t="str">
        <f>IF(OR(I78="Qualitative",I78="Not relevant"),I78,ROUND(I78*'Summary of area'!$C$21,3-LEN(INT(I78*'Summary of area'!$C$21))))</f>
        <v>Qualitative</v>
      </c>
      <c r="X78" s="14" t="str">
        <f t="shared" si="4"/>
        <v/>
      </c>
      <c r="Y78" s="14" t="str">
        <f t="shared" si="5"/>
        <v/>
      </c>
    </row>
    <row r="79" spans="1:25" ht="13.5" thickBot="1">
      <c r="A79" s="607"/>
      <c r="B79" s="597"/>
      <c r="C79" s="55" t="s">
        <v>53</v>
      </c>
      <c r="D79" s="57"/>
      <c r="E79" s="57"/>
      <c r="F79" s="57"/>
      <c r="G79" s="57"/>
      <c r="H79" s="57"/>
      <c r="I79" s="97"/>
      <c r="J79" s="154" t="e">
        <f>FIND("(",'Describe baseline'!F78)</f>
        <v>#VALUE!</v>
      </c>
      <c r="K79" s="154" t="e">
        <f>FIND("(",'Describe baseline'!G78)</f>
        <v>#VALUE!</v>
      </c>
      <c r="L79" s="154" t="e">
        <f>FIND(":",'Describe baseline'!H78)</f>
        <v>#VALUE!</v>
      </c>
      <c r="M79" s="364"/>
      <c r="N79" s="97"/>
      <c r="O79" s="97"/>
      <c r="P79" s="97"/>
      <c r="Q79" s="97"/>
      <c r="R79" s="97"/>
      <c r="S79" s="97"/>
      <c r="T79" s="97"/>
      <c r="U79" s="97"/>
      <c r="V79" s="97"/>
      <c r="X79" s="14" t="str">
        <f t="shared" si="4"/>
        <v/>
      </c>
      <c r="Y79" s="14" t="str">
        <f t="shared" si="5"/>
        <v/>
      </c>
    </row>
    <row r="80" spans="1:25" ht="18.75" customHeight="1" thickBot="1">
      <c r="A80" s="617"/>
      <c r="B80" s="609"/>
      <c r="C80" s="58" t="s">
        <v>54</v>
      </c>
      <c r="D80" s="60"/>
      <c r="E80" s="60"/>
      <c r="F80" s="60"/>
      <c r="G80" s="60"/>
      <c r="H80" s="60"/>
      <c r="I80" s="98"/>
      <c r="J80" s="154" t="e">
        <f>FIND("(",'Describe baseline'!F79)</f>
        <v>#VALUE!</v>
      </c>
      <c r="K80" s="154" t="e">
        <f>FIND("(",'Describe baseline'!G79)</f>
        <v>#VALUE!</v>
      </c>
      <c r="L80" s="154" t="e">
        <f>FIND(":",'Describe baseline'!H79)</f>
        <v>#VALUE!</v>
      </c>
      <c r="M80" s="364"/>
      <c r="N80" s="98"/>
      <c r="O80" s="98"/>
      <c r="P80" s="98"/>
      <c r="Q80" s="98"/>
      <c r="R80" s="98"/>
      <c r="S80" s="98"/>
      <c r="T80" s="98"/>
      <c r="U80" s="98"/>
      <c r="V80" s="98"/>
      <c r="X80" s="14" t="str">
        <f t="shared" si="4"/>
        <v/>
      </c>
      <c r="Y80" s="14" t="str">
        <f t="shared" si="5"/>
        <v/>
      </c>
    </row>
    <row r="81" spans="1:25" ht="26.25" thickBot="1">
      <c r="A81" s="688" t="s">
        <v>11</v>
      </c>
      <c r="B81" s="608" t="s">
        <v>31</v>
      </c>
      <c r="C81" s="26" t="s">
        <v>52</v>
      </c>
      <c r="D81" s="27">
        <f>IF('Describe baseline'!E80="-","+",IF('Describe baseline'!E80="+","-",'Describe baseline'!E80))</f>
        <v>0</v>
      </c>
      <c r="E81" s="27" t="str">
        <f>IF(ISERROR(LEFT('Describe baseline'!F80,'OUTPUT-all'!J81-2)),"",LEFT('Describe baseline'!F80,'OUTPUT-all'!J81-2))</f>
        <v/>
      </c>
      <c r="F81" s="27" t="str">
        <f>IF(ISERROR(LEFT('Describe baseline'!G80,'OUTPUT-all'!K81-2)),"",LEFT('Describe baseline'!G80,'OUTPUT-all'!K81-2))</f>
        <v/>
      </c>
      <c r="G81" s="27" t="str">
        <f>IF(ISERROR(LEFT('Describe baseline'!H80,'OUTPUT-all'!L81-1)),"",LEFT('Describe baseline'!H80,'OUTPUT-all'!L81-1))</f>
        <v/>
      </c>
      <c r="H81" s="27"/>
      <c r="I81" s="92" t="str">
        <f>IF(D81="Neutral","Not relevant","Qualitative")</f>
        <v>Qualitative</v>
      </c>
      <c r="J81" s="154" t="e">
        <f>FIND("(",'Describe baseline'!F80)</f>
        <v>#VALUE!</v>
      </c>
      <c r="K81" s="154" t="e">
        <f>FIND("(",'Describe baseline'!G80)</f>
        <v>#VALUE!</v>
      </c>
      <c r="L81" s="154" t="e">
        <f>FIND(":",'Describe baseline'!H80)</f>
        <v>#VALUE!</v>
      </c>
      <c r="M81" s="154"/>
      <c r="N81" s="61" t="s">
        <v>178</v>
      </c>
      <c r="O81" s="147" t="str">
        <f>IF('Identify beneficiaries'!E60="Y",IF(OR($I81="Qualitative",$I81="Not relevant"),$I81,$I81*'Summary of area'!$C$22/'Identify beneficiaries'!$L60),"")</f>
        <v>Qualitative</v>
      </c>
      <c r="P81" s="147" t="str">
        <f>IF('Identify beneficiaries'!F60="Y",IF(OR($I81="Qualitative",$I81="Not relevant"),$I81,$I81*'Summary of area'!$C$22/'Identify beneficiaries'!$L60),"")</f>
        <v>Qualitative</v>
      </c>
      <c r="Q81" s="147" t="str">
        <f>IF('Identify beneficiaries'!G60="Y",IF(OR($I81="Qualitative",$I81="Not relevant"),$I81,$I81*'Summary of area'!$C$22/'Identify beneficiaries'!$L60),"")</f>
        <v>Qualitative</v>
      </c>
      <c r="R81" s="147" t="str">
        <f>IF('Identify beneficiaries'!H60="Y",IF(OR($I81="Qualitative",$I81="Not relevant"),$I81,$I81*'Summary of area'!$C$22/'Identify beneficiaries'!$L60),"")</f>
        <v>Qualitative</v>
      </c>
      <c r="S81" s="147" t="str">
        <f>IF('Identify beneficiaries'!I60="Y",IF(OR($I81="Qualitative",$I81="Not relevant"),$I81,$I81*'Summary of area'!$C$22/'Identify beneficiaries'!$L60),"")</f>
        <v>Qualitative</v>
      </c>
      <c r="T81" s="147" t="str">
        <f>IF('Identify beneficiaries'!J60="Y",IF(OR($I81="Qualitative",$I81="Not relevant"),$I81,$I81*'Summary of area'!$C$22/'Identify beneficiaries'!$L60),"")</f>
        <v/>
      </c>
      <c r="U81" s="147" t="str">
        <f>IF('Identify beneficiaries'!K60="Y",IF(OR($I81="Qualitative",$I81="Not relevant"),$I81,$I81*'Summary of area'!$C$22/'Identify beneficiaries'!$L60),"")</f>
        <v/>
      </c>
      <c r="V81" s="147" t="str">
        <f>IF(OR(I81="Qualitative",I81="Not relevant"),I81,ROUND(I81*'Summary of area'!$C$21,3-LEN(INT(I81*'Summary of area'!$C$21))))</f>
        <v>Qualitative</v>
      </c>
      <c r="X81" s="14" t="str">
        <f t="shared" si="4"/>
        <v/>
      </c>
      <c r="Y81" s="14" t="str">
        <f t="shared" si="5"/>
        <v/>
      </c>
    </row>
    <row r="82" spans="1:25" ht="13.5" thickBot="1">
      <c r="A82" s="607"/>
      <c r="B82" s="597"/>
      <c r="C82" s="55" t="s">
        <v>53</v>
      </c>
      <c r="D82" s="57"/>
      <c r="E82" s="57"/>
      <c r="F82" s="57"/>
      <c r="G82" s="57"/>
      <c r="H82" s="57"/>
      <c r="I82" s="97"/>
      <c r="J82" s="154" t="e">
        <f>FIND("(",'Describe baseline'!F81)</f>
        <v>#VALUE!</v>
      </c>
      <c r="K82" s="154" t="e">
        <f>FIND("(",'Describe baseline'!G81)</f>
        <v>#VALUE!</v>
      </c>
      <c r="L82" s="154" t="e">
        <f>FIND(":",'Describe baseline'!H81)</f>
        <v>#VALUE!</v>
      </c>
      <c r="M82" s="364"/>
      <c r="N82" s="97"/>
      <c r="O82" s="97"/>
      <c r="P82" s="97"/>
      <c r="Q82" s="97"/>
      <c r="R82" s="97"/>
      <c r="S82" s="97"/>
      <c r="T82" s="97"/>
      <c r="U82" s="97"/>
      <c r="V82" s="97"/>
      <c r="X82" s="14" t="str">
        <f t="shared" si="4"/>
        <v/>
      </c>
      <c r="Y82" s="14" t="str">
        <f t="shared" si="5"/>
        <v/>
      </c>
    </row>
    <row r="83" spans="1:25" ht="13.5" thickBot="1">
      <c r="A83" s="617"/>
      <c r="B83" s="609"/>
      <c r="C83" s="58" t="s">
        <v>54</v>
      </c>
      <c r="D83" s="60"/>
      <c r="E83" s="60"/>
      <c r="F83" s="60"/>
      <c r="G83" s="60"/>
      <c r="H83" s="60"/>
      <c r="I83" s="98"/>
      <c r="J83" s="154" t="e">
        <f>FIND("(",'Describe baseline'!F82)</f>
        <v>#VALUE!</v>
      </c>
      <c r="K83" s="154" t="e">
        <f>FIND("(",'Describe baseline'!G82)</f>
        <v>#VALUE!</v>
      </c>
      <c r="L83" s="154" t="e">
        <f>FIND(":",'Describe baseline'!H82)</f>
        <v>#VALUE!</v>
      </c>
      <c r="M83" s="364"/>
      <c r="N83" s="98"/>
      <c r="O83" s="98"/>
      <c r="P83" s="98"/>
      <c r="Q83" s="98"/>
      <c r="R83" s="98"/>
      <c r="S83" s="98"/>
      <c r="T83" s="98"/>
      <c r="U83" s="98"/>
      <c r="V83" s="98"/>
      <c r="X83" s="14" t="str">
        <f t="shared" si="4"/>
        <v/>
      </c>
      <c r="Y83" s="14" t="str">
        <f t="shared" si="5"/>
        <v/>
      </c>
    </row>
    <row r="84" spans="1:25" ht="39" thickBot="1">
      <c r="A84" s="606" t="s">
        <v>12</v>
      </c>
      <c r="B84" s="608" t="s">
        <v>32</v>
      </c>
      <c r="C84" s="26" t="s">
        <v>52</v>
      </c>
      <c r="D84" s="27">
        <f>IF('Describe baseline'!E83="-","+",IF('Describe baseline'!E83="+","-",'Describe baseline'!E83))</f>
        <v>0</v>
      </c>
      <c r="E84" s="27" t="str">
        <f>IF(ISERROR(LEFT('Describe baseline'!F83,'OUTPUT-all'!J84-2)),"",LEFT('Describe baseline'!F83,'OUTPUT-all'!J84-2))</f>
        <v/>
      </c>
      <c r="F84" s="27" t="str">
        <f>IF(ISERROR(LEFT('Describe baseline'!G83,'OUTPUT-all'!K84-2)),"",LEFT('Describe baseline'!G83,'OUTPUT-all'!K84-2))</f>
        <v/>
      </c>
      <c r="G84" s="27" t="str">
        <f>IF(ISERROR(LEFT('Describe baseline'!H83,'OUTPUT-all'!L84-1)),"",LEFT('Describe baseline'!H83,'OUTPUT-all'!L84-1))</f>
        <v/>
      </c>
      <c r="H84" s="27"/>
      <c r="I84" s="92" t="str">
        <f>IF(D84="Neutral","Not relevant","Qualitative")</f>
        <v>Qualitative</v>
      </c>
      <c r="J84" s="154" t="e">
        <f>FIND("(",'Describe baseline'!F83)</f>
        <v>#VALUE!</v>
      </c>
      <c r="K84" s="154" t="e">
        <f>FIND("(",'Describe baseline'!G83)</f>
        <v>#VALUE!</v>
      </c>
      <c r="L84" s="154" t="e">
        <f>FIND(":",'Describe baseline'!H83)</f>
        <v>#VALUE!</v>
      </c>
      <c r="M84" s="154"/>
      <c r="N84" s="61" t="s">
        <v>179</v>
      </c>
      <c r="O84" s="147" t="str">
        <f>IF('Identify beneficiaries'!E63="Y",IF(OR($I84="Qualitative",$I84="Not relevant"),$I84,$I84*'Summary of area'!$C$22/'Identify beneficiaries'!$L63),"")</f>
        <v>Qualitative</v>
      </c>
      <c r="P84" s="147" t="str">
        <f>IF('Identify beneficiaries'!F63="Y",IF(OR($I84="Qualitative",$I84="Not relevant"),$I84,$I84*'Summary of area'!$C$22/'Identify beneficiaries'!$L63),"")</f>
        <v/>
      </c>
      <c r="Q84" s="147" t="str">
        <f>IF('Identify beneficiaries'!G63="Y",IF(OR($I84="Qualitative",$I84="Not relevant"),$I84,$I84*'Summary of area'!$C$22/'Identify beneficiaries'!$L63),"")</f>
        <v/>
      </c>
      <c r="R84" s="147" t="str">
        <f>IF('Identify beneficiaries'!H63="Y",IF(OR($I84="Qualitative",$I84="Not relevant"),$I84,$I84*'Summary of area'!$C$22/'Identify beneficiaries'!$L63),"")</f>
        <v/>
      </c>
      <c r="S84" s="147" t="str">
        <f>IF('Identify beneficiaries'!I63="Y",IF(OR($I84="Qualitative",$I84="Not relevant"),$I84,$I84*'Summary of area'!$C$22/'Identify beneficiaries'!$L63),"")</f>
        <v/>
      </c>
      <c r="T84" s="147" t="str">
        <f>IF('Identify beneficiaries'!J63="Y",IF(OR($I84="Qualitative",$I84="Not relevant"),$I84,$I84*'Summary of area'!$C$22/'Identify beneficiaries'!$L63),"")</f>
        <v>Qualitative</v>
      </c>
      <c r="U84" s="147" t="str">
        <f>IF('Identify beneficiaries'!K63="Y",IF(OR($I84="Qualitative",$I84="Not relevant"),$I84,$I84*'Summary of area'!$C$22/'Identify beneficiaries'!$L63),"")</f>
        <v/>
      </c>
      <c r="V84" s="147" t="str">
        <f>IF(OR(I84="Qualitative",I84="Not relevant"),I84,ROUND(I84*'Summary of area'!$C$21,3-LEN(INT(I84*'Summary of area'!$C$21))))</f>
        <v>Qualitative</v>
      </c>
      <c r="X84" s="14" t="str">
        <f t="shared" si="4"/>
        <v/>
      </c>
      <c r="Y84" s="14" t="str">
        <f t="shared" si="5"/>
        <v/>
      </c>
    </row>
    <row r="85" spans="1:25" ht="13.5" thickBot="1">
      <c r="A85" s="607"/>
      <c r="B85" s="597"/>
      <c r="C85" s="55" t="s">
        <v>53</v>
      </c>
      <c r="D85" s="57"/>
      <c r="E85" s="57"/>
      <c r="F85" s="57"/>
      <c r="G85" s="57"/>
      <c r="H85" s="57"/>
      <c r="I85" s="97"/>
      <c r="J85" s="154" t="e">
        <f>FIND("(",'Describe baseline'!F84)</f>
        <v>#VALUE!</v>
      </c>
      <c r="K85" s="154" t="e">
        <f>FIND("(",'Describe baseline'!G84)</f>
        <v>#VALUE!</v>
      </c>
      <c r="L85" s="154" t="e">
        <f>FIND(":",'Describe baseline'!H84)</f>
        <v>#VALUE!</v>
      </c>
      <c r="M85" s="364"/>
      <c r="N85" s="97"/>
      <c r="O85" s="97"/>
      <c r="P85" s="97"/>
      <c r="Q85" s="97"/>
      <c r="R85" s="97"/>
      <c r="S85" s="97"/>
      <c r="T85" s="97"/>
      <c r="U85" s="97"/>
      <c r="V85" s="97"/>
      <c r="X85" s="14" t="str">
        <f t="shared" si="4"/>
        <v/>
      </c>
      <c r="Y85" s="14" t="str">
        <f t="shared" si="5"/>
        <v/>
      </c>
    </row>
    <row r="86" spans="1:25" ht="13.5" thickBot="1">
      <c r="A86" s="617"/>
      <c r="B86" s="609"/>
      <c r="C86" s="58" t="s">
        <v>54</v>
      </c>
      <c r="D86" s="60"/>
      <c r="E86" s="60"/>
      <c r="F86" s="60"/>
      <c r="G86" s="60"/>
      <c r="H86" s="60"/>
      <c r="I86" s="98"/>
      <c r="J86" s="154" t="e">
        <f>FIND("(",'Describe baseline'!F85)</f>
        <v>#VALUE!</v>
      </c>
      <c r="K86" s="154" t="e">
        <f>FIND("(",'Describe baseline'!G85)</f>
        <v>#VALUE!</v>
      </c>
      <c r="L86" s="154" t="e">
        <f>FIND(":",'Describe baseline'!H85)</f>
        <v>#VALUE!</v>
      </c>
      <c r="M86" s="364"/>
      <c r="N86" s="98"/>
      <c r="O86" s="98"/>
      <c r="P86" s="98"/>
      <c r="Q86" s="98"/>
      <c r="R86" s="98"/>
      <c r="S86" s="98"/>
      <c r="T86" s="98"/>
      <c r="U86" s="98"/>
      <c r="V86" s="98"/>
      <c r="X86" s="14" t="str">
        <f t="shared" si="4"/>
        <v/>
      </c>
      <c r="Y86" s="14" t="str">
        <f t="shared" si="5"/>
        <v/>
      </c>
    </row>
    <row r="87" spans="1:25" ht="39" thickBot="1">
      <c r="A87" s="611" t="s">
        <v>13</v>
      </c>
      <c r="B87" s="614" t="s">
        <v>33</v>
      </c>
      <c r="C87" s="30" t="s">
        <v>52</v>
      </c>
      <c r="D87" s="31">
        <f>IF('Describe baseline'!E86="-","+",IF('Describe baseline'!E86="+","-",'Describe baseline'!E86))</f>
        <v>0</v>
      </c>
      <c r="E87" s="31" t="str">
        <f>IF(ISERROR(LEFT('Describe baseline'!F86,'OUTPUT-all'!J87-2)),"",LEFT('Describe baseline'!F86,'OUTPUT-all'!J87-2))</f>
        <v/>
      </c>
      <c r="F87" s="31" t="str">
        <f>IF(ISERROR(LEFT('Describe baseline'!G86,'OUTPUT-all'!K87-2)),"",LEFT('Describe baseline'!G86,'OUTPUT-all'!K87-2))</f>
        <v/>
      </c>
      <c r="G87" s="31" t="str">
        <f>IF(ISERROR(LEFT('Describe baseline'!H86,'OUTPUT-all'!L87-1)),"",LEFT('Describe baseline'!H86,'OUTPUT-all'!L87-1))</f>
        <v/>
      </c>
      <c r="H87" s="374" t="str">
        <f>IF(ISERROR(LEFT(Heritage!N232,'OUTPUT-all'!M87-1)),"",LEFT(Heritage!N232,'OUTPUT-all'!M87-1))</f>
        <v>High</v>
      </c>
      <c r="I87" s="100" t="str">
        <f>IF(Heritage!D232="Enter number of heritage assets",IF(D87="Neutral","Not relevant","Qualitative"),ROUND(Heritage!K232,3-LEN(INT(Heritage!K232))))</f>
        <v>Qualitative</v>
      </c>
      <c r="J87" s="154" t="e">
        <f>FIND("(",'Describe baseline'!F86)</f>
        <v>#VALUE!</v>
      </c>
      <c r="K87" s="154" t="e">
        <f>FIND("(",'Describe baseline'!G86)</f>
        <v>#VALUE!</v>
      </c>
      <c r="L87" s="154" t="e">
        <f>FIND(":",'Describe baseline'!H86)</f>
        <v>#VALUE!</v>
      </c>
      <c r="M87" s="154">
        <f>FIND(":",Heritage!N232)</f>
        <v>5</v>
      </c>
      <c r="N87" s="61" t="s">
        <v>179</v>
      </c>
      <c r="O87" s="147" t="str">
        <f>IF('Identify beneficiaries'!E66="Y",IF(OR($I87="Qualitative",$I87="Not relevant"),$I87,ROUND($I87*'Summary of area'!$E$46/'Identify beneficiaries'!$L66,3-LEN(INT($I87*'Summary of area'!$E$46/'Identify beneficiaries'!$L66)))),"")</f>
        <v>Qualitative</v>
      </c>
      <c r="P87" s="147" t="str">
        <f>IF('Identify beneficiaries'!F66="Y",IF(OR($I87="Qualitative",$I87="Not relevant"),$I87,ROUND($I87*'Summary of area'!$E$46/'Identify beneficiaries'!$L66,3-LEN(INT($I87*'Summary of area'!$E$46/'Identify beneficiaries'!$L66)))),"")</f>
        <v/>
      </c>
      <c r="Q87" s="147" t="str">
        <f>IF('Identify beneficiaries'!G66="Y",IF(OR($I87="Qualitative",$I87="Not relevant"),$I87,ROUND($I87*'Summary of area'!$E$46/'Identify beneficiaries'!$L66,3-LEN(INT($I87*'Summary of area'!$E$46/'Identify beneficiaries'!$L66)))),"")</f>
        <v/>
      </c>
      <c r="R87" s="147" t="str">
        <f>IF('Identify beneficiaries'!H66="Y",IF(OR($I87="Qualitative",$I87="Not relevant"),$I87,ROUND($I87*'Summary of area'!$E$46/'Identify beneficiaries'!$L66,3-LEN(INT($I87*'Summary of area'!$E$46/'Identify beneficiaries'!$L66)))),"")</f>
        <v/>
      </c>
      <c r="S87" s="147" t="str">
        <f>IF('Identify beneficiaries'!I66="Y",IF(OR($I87="Qualitative",$I87="Not relevant"),$I87,ROUND($I87*'Summary of area'!$E$46/'Identify beneficiaries'!$L66,3-LEN(INT($I87*'Summary of area'!$E$46/'Identify beneficiaries'!$L66)))),"")</f>
        <v/>
      </c>
      <c r="T87" s="147" t="str">
        <f>IF('Identify beneficiaries'!J66="Y",IF(OR($I87="Qualitative",$I87="Not relevant"),$I87,ROUND($I87*'Summary of area'!$E$46/'Identify beneficiaries'!$L66,3-LEN(INT($I87*'Summary of area'!$E$46/'Identify beneficiaries'!$L66)))),"")</f>
        <v>Qualitative</v>
      </c>
      <c r="U87" s="147" t="str">
        <f>IF('Identify beneficiaries'!K66="Y",IF(OR($I87="Qualitative",$I87="Not relevant"),$I87,ROUND($I87*'Summary of area'!$E$46/'Identify beneficiaries'!$L66,3-LEN(INT($I87*'Summary of area'!$E$46/'Identify beneficiaries'!$L66)))),"")</f>
        <v/>
      </c>
      <c r="V87" s="147" t="str">
        <f>IF(OR(I87="Qualitative",I87="Not relevant"),I87,ROUND(I87*'Summary of area'!$D$46,3-LEN(INT(I87*'Summary of area'!$D$46))))</f>
        <v>Qualitative</v>
      </c>
      <c r="X87" s="14" t="str">
        <f t="shared" si="4"/>
        <v/>
      </c>
      <c r="Y87" s="14" t="str">
        <f t="shared" si="5"/>
        <v/>
      </c>
    </row>
    <row r="88" spans="1:25" ht="13.5" thickBot="1">
      <c r="A88" s="607"/>
      <c r="B88" s="597"/>
      <c r="C88" s="55" t="s">
        <v>53</v>
      </c>
      <c r="D88" s="57"/>
      <c r="E88" s="57"/>
      <c r="F88" s="57"/>
      <c r="G88" s="57"/>
      <c r="H88" s="57"/>
      <c r="I88" s="97"/>
      <c r="J88" s="154" t="e">
        <f>FIND("(",'Describe baseline'!F87)</f>
        <v>#VALUE!</v>
      </c>
      <c r="K88" s="154" t="e">
        <f>FIND("(",'Describe baseline'!G87)</f>
        <v>#VALUE!</v>
      </c>
      <c r="L88" s="154" t="e">
        <f>FIND(":",'Describe baseline'!H87)</f>
        <v>#VALUE!</v>
      </c>
      <c r="M88" s="364"/>
      <c r="N88" s="97"/>
      <c r="O88" s="97"/>
      <c r="P88" s="97"/>
      <c r="Q88" s="97"/>
      <c r="R88" s="97"/>
      <c r="S88" s="97"/>
      <c r="T88" s="97"/>
      <c r="U88" s="97"/>
      <c r="V88" s="97"/>
      <c r="X88" s="14" t="str">
        <f t="shared" si="4"/>
        <v/>
      </c>
      <c r="Y88" s="14" t="str">
        <f t="shared" si="5"/>
        <v/>
      </c>
    </row>
    <row r="89" spans="1:25" ht="13.5" thickBot="1">
      <c r="A89" s="617"/>
      <c r="B89" s="609"/>
      <c r="C89" s="32" t="s">
        <v>54</v>
      </c>
      <c r="D89" s="33">
        <f>IF('Describe baseline'!E88="-","+",IF('Describe baseline'!E88="+","-",'Describe baseline'!E88))</f>
        <v>0</v>
      </c>
      <c r="E89" s="33" t="str">
        <f>IF(ISERROR(LEFT('Describe baseline'!F88,'OUTPUT-all'!J89-2)),"",LEFT('Describe baseline'!F88,'OUTPUT-all'!J89-2))</f>
        <v/>
      </c>
      <c r="F89" s="33" t="str">
        <f>IF(ISERROR(LEFT('Describe baseline'!G88,'OUTPUT-all'!K89-2)),"",LEFT('Describe baseline'!G88,'OUTPUT-all'!K89-2))</f>
        <v/>
      </c>
      <c r="G89" s="33" t="str">
        <f>IF(ISERROR(LEFT('Describe baseline'!H88,'OUTPUT-all'!L89-1)),"",LEFT('Describe baseline'!H88,'OUTPUT-all'!L89-1))</f>
        <v/>
      </c>
      <c r="H89" s="33"/>
      <c r="I89" s="102" t="str">
        <f>IF(D89="Neutral","Not relevant","Qualitative")</f>
        <v>Qualitative</v>
      </c>
      <c r="J89" s="154" t="e">
        <f>FIND("(",'Describe baseline'!F88)</f>
        <v>#VALUE!</v>
      </c>
      <c r="K89" s="154" t="e">
        <f>FIND("(",'Describe baseline'!G88)</f>
        <v>#VALUE!</v>
      </c>
      <c r="L89" s="154" t="e">
        <f>FIND(":",'Describe baseline'!H88)</f>
        <v>#VALUE!</v>
      </c>
      <c r="M89" s="364"/>
      <c r="N89" s="62" t="s">
        <v>172</v>
      </c>
      <c r="O89" s="150" t="str">
        <f>IF('Identify beneficiaries'!E68="Y",IF(OR($I89="Qualitative",$I89="Not relevant"),$I89,$I89*'Summary of area'!$C$22/'Identify beneficiaries'!$L68),"")</f>
        <v/>
      </c>
      <c r="P89" s="150" t="str">
        <f>IF('Identify beneficiaries'!F68="Y",IF(OR($I89="Qualitative",$I89="Not relevant"),$I89,$I89*'Summary of area'!$C$22/'Identify beneficiaries'!$L68),"")</f>
        <v/>
      </c>
      <c r="Q89" s="150" t="str">
        <f>IF('Identify beneficiaries'!G68="Y",IF(OR($I89="Qualitative",$I89="Not relevant"),$I89,$I89*'Summary of area'!$C$22/'Identify beneficiaries'!$L68),"")</f>
        <v/>
      </c>
      <c r="R89" s="150" t="str">
        <f>IF('Identify beneficiaries'!H68="Y",IF(OR($I89="Qualitative",$I89="Not relevant"),$I89,$I89*'Summary of area'!$C$22/'Identify beneficiaries'!$L68),"")</f>
        <v>Qualitative</v>
      </c>
      <c r="S89" s="150" t="str">
        <f>IF('Identify beneficiaries'!I68="Y",IF(OR($I89="Qualitative",$I89="Not relevant"),$I89,$I89*'Summary of area'!$C$22/'Identify beneficiaries'!$L68),"")</f>
        <v/>
      </c>
      <c r="T89" s="150" t="str">
        <f>IF('Identify beneficiaries'!J68="Y",IF(OR($I89="Qualitative",$I89="Not relevant"),$I89,$I89*'Summary of area'!$C$22/'Identify beneficiaries'!$L68),"")</f>
        <v>Qualitative</v>
      </c>
      <c r="U89" s="150" t="str">
        <f>IF('Identify beneficiaries'!K68="Y",IF(OR($I89="Qualitative",$I89="Not relevant"),$I89,$I89*'Summary of area'!$C$22/'Identify beneficiaries'!$L68),"")</f>
        <v/>
      </c>
      <c r="V89" s="150" t="str">
        <f>IF(OR(I89="Qualitative",I89="Not relevant"),I89,ROUND(I89*'Summary of area'!$C$21,3-LEN(INT(I89*'Summary of area'!$C$21))))</f>
        <v>Qualitative</v>
      </c>
      <c r="X89" s="14" t="str">
        <f t="shared" si="4"/>
        <v/>
      </c>
      <c r="Y89" s="14" t="str">
        <f t="shared" si="5"/>
        <v/>
      </c>
    </row>
    <row r="90" spans="1:25" ht="39" thickBot="1">
      <c r="A90" s="611" t="s">
        <v>14</v>
      </c>
      <c r="B90" s="614" t="s">
        <v>34</v>
      </c>
      <c r="C90" s="30" t="s">
        <v>52</v>
      </c>
      <c r="D90" s="31">
        <f>IF('Describe baseline'!E89="-","+",IF('Describe baseline'!E89="+","-",'Describe baseline'!E89))</f>
        <v>0</v>
      </c>
      <c r="E90" s="31" t="str">
        <f>IF(ISERROR(LEFT('Describe baseline'!F89,'OUTPUT-all'!J90-2)),"",LEFT('Describe baseline'!F89,'OUTPUT-all'!J90-2))</f>
        <v/>
      </c>
      <c r="F90" s="31" t="str">
        <f>IF(ISERROR(LEFT('Describe baseline'!G89,'OUTPUT-all'!K90-2)),"",LEFT('Describe baseline'!G89,'OUTPUT-all'!K90-2))</f>
        <v/>
      </c>
      <c r="G90" s="31" t="str">
        <f>IF(ISERROR(LEFT('Describe baseline'!H89,'OUTPUT-all'!L90-1)),"",LEFT('Describe baseline'!H89,'OUTPUT-all'!L90-1))</f>
        <v/>
      </c>
      <c r="H90" s="31"/>
      <c r="I90" s="100" t="str">
        <f>IF(D90="Neutral","Not relevant","Qualitative")</f>
        <v>Qualitative</v>
      </c>
      <c r="J90" s="154" t="e">
        <f>FIND("(",'Describe baseline'!F89)</f>
        <v>#VALUE!</v>
      </c>
      <c r="K90" s="154" t="e">
        <f>FIND("(",'Describe baseline'!G89)</f>
        <v>#VALUE!</v>
      </c>
      <c r="L90" s="154" t="e">
        <f>FIND(":",'Describe baseline'!H89)</f>
        <v>#VALUE!</v>
      </c>
      <c r="M90" s="154"/>
      <c r="N90" s="61" t="s">
        <v>180</v>
      </c>
      <c r="O90" s="147" t="str">
        <f>IF('Identify beneficiaries'!E69="Y",IF(OR($I90="Qualitative",$I90="Not relevant"),$I90,$I90*'Summary of area'!$C$22/'Identify beneficiaries'!$L69),"")</f>
        <v>Qualitative</v>
      </c>
      <c r="P90" s="147" t="str">
        <f>IF('Identify beneficiaries'!F69="Y",IF(OR($I90="Qualitative",$I90="Not relevant"),$I90,$I90*'Summary of area'!$C$22/'Identify beneficiaries'!$L69),"")</f>
        <v/>
      </c>
      <c r="Q90" s="147" t="str">
        <f>IF('Identify beneficiaries'!G69="Y",IF(OR($I90="Qualitative",$I90="Not relevant"),$I90,$I90*'Summary of area'!$C$22/'Identify beneficiaries'!$L69),"")</f>
        <v/>
      </c>
      <c r="R90" s="147" t="str">
        <f>IF('Identify beneficiaries'!H69="Y",IF(OR($I90="Qualitative",$I90="Not relevant"),$I90,$I90*'Summary of area'!$C$22/'Identify beneficiaries'!$L69),"")</f>
        <v/>
      </c>
      <c r="S90" s="147" t="str">
        <f>IF('Identify beneficiaries'!I69="Y",IF(OR($I90="Qualitative",$I90="Not relevant"),$I90,$I90*'Summary of area'!$C$22/'Identify beneficiaries'!$L69),"")</f>
        <v/>
      </c>
      <c r="T90" s="147" t="str">
        <f>IF('Identify beneficiaries'!J69="Y",IF(OR($I90="Qualitative",$I90="Not relevant"),$I90,$I90*'Summary of area'!$C$22/'Identify beneficiaries'!$L69),"")</f>
        <v>Qualitative</v>
      </c>
      <c r="U90" s="147" t="str">
        <f>IF('Identify beneficiaries'!K69="Y",IF(OR($I90="Qualitative",$I90="Not relevant"),$I90,$I90*'Summary of area'!$C$22/'Identify beneficiaries'!$L69),"")</f>
        <v/>
      </c>
      <c r="V90" s="147" t="str">
        <f>IF(OR(I90="Qualitative",I90="Not relevant"),I90,ROUND(I90*'Summary of area'!$C$21,3-LEN(INT(I90*'Summary of area'!$C$21))))</f>
        <v>Qualitative</v>
      </c>
      <c r="X90" s="14" t="str">
        <f t="shared" si="4"/>
        <v/>
      </c>
      <c r="Y90" s="14" t="str">
        <f t="shared" si="5"/>
        <v/>
      </c>
    </row>
    <row r="91" spans="1:25" ht="13.5" thickBot="1">
      <c r="A91" s="607"/>
      <c r="B91" s="597"/>
      <c r="C91" s="55" t="s">
        <v>53</v>
      </c>
      <c r="D91" s="57"/>
      <c r="E91" s="57"/>
      <c r="F91" s="57"/>
      <c r="G91" s="57"/>
      <c r="H91" s="57"/>
      <c r="I91" s="97"/>
      <c r="J91" s="154" t="e">
        <f>FIND("(",'Describe baseline'!F90)</f>
        <v>#VALUE!</v>
      </c>
      <c r="K91" s="154" t="e">
        <f>FIND("(",'Describe baseline'!G90)</f>
        <v>#VALUE!</v>
      </c>
      <c r="L91" s="154" t="e">
        <f>FIND(":",'Describe baseline'!H90)</f>
        <v>#VALUE!</v>
      </c>
      <c r="M91" s="364"/>
      <c r="N91" s="97"/>
      <c r="O91" s="97"/>
      <c r="P91" s="97"/>
      <c r="Q91" s="97"/>
      <c r="R91" s="97"/>
      <c r="S91" s="97"/>
      <c r="T91" s="97"/>
      <c r="U91" s="97"/>
      <c r="V91" s="97"/>
      <c r="X91" s="14" t="str">
        <f t="shared" si="4"/>
        <v/>
      </c>
      <c r="Y91" s="14" t="str">
        <f t="shared" si="5"/>
        <v/>
      </c>
    </row>
    <row r="92" spans="1:25" ht="13.5" thickBot="1">
      <c r="A92" s="617"/>
      <c r="B92" s="609"/>
      <c r="C92" s="58" t="s">
        <v>54</v>
      </c>
      <c r="D92" s="60"/>
      <c r="E92" s="60"/>
      <c r="F92" s="60"/>
      <c r="G92" s="60"/>
      <c r="H92" s="60"/>
      <c r="I92" s="98"/>
      <c r="J92" s="154" t="e">
        <f>FIND("(",'Describe baseline'!F91)</f>
        <v>#VALUE!</v>
      </c>
      <c r="K92" s="154" t="e">
        <f>FIND("(",'Describe baseline'!G91)</f>
        <v>#VALUE!</v>
      </c>
      <c r="L92" s="154" t="e">
        <f>FIND(":",'Describe baseline'!H91)</f>
        <v>#VALUE!</v>
      </c>
      <c r="M92" s="364"/>
      <c r="N92" s="98"/>
      <c r="O92" s="98"/>
      <c r="P92" s="98"/>
      <c r="Q92" s="98"/>
      <c r="R92" s="98"/>
      <c r="S92" s="98"/>
      <c r="T92" s="98"/>
      <c r="U92" s="98"/>
      <c r="V92" s="98"/>
      <c r="X92" s="14" t="str">
        <f t="shared" si="4"/>
        <v/>
      </c>
      <c r="Y92" s="14" t="str">
        <f t="shared" si="5"/>
        <v/>
      </c>
    </row>
    <row r="93" spans="1:25" ht="13.5" thickBot="1">
      <c r="A93" s="611" t="s">
        <v>16</v>
      </c>
      <c r="B93" s="614" t="s">
        <v>68</v>
      </c>
      <c r="C93" s="614" t="s">
        <v>52</v>
      </c>
      <c r="D93" s="653">
        <f>IF('Describe baseline'!E95="-","+",IF('Describe baseline'!E95="+","-",'Describe baseline'!E95))</f>
        <v>0</v>
      </c>
      <c r="E93" s="653" t="str">
        <f>IF(ISERROR(LEFT('Describe baseline'!F95,'OUTPUT-all'!J93-2)),"",LEFT('Describe baseline'!F95,'OUTPUT-all'!J93-2))</f>
        <v/>
      </c>
      <c r="F93" s="653" t="str">
        <f>IF(ISERROR(LEFT('Describe baseline'!G95,'OUTPUT-all'!K93-2)),"",LEFT('Describe baseline'!G95,'OUTPUT-all'!K93-2))</f>
        <v/>
      </c>
      <c r="G93" s="653" t="str">
        <f>IF(ISERROR(LEFT('Describe baseline'!H95,'OUTPUT-all'!L93-1)),"",LEFT('Describe baseline'!H95,'OUTPUT-all'!L93-1))</f>
        <v/>
      </c>
      <c r="H93" s="374" t="str">
        <f>IF(ISERROR(LEFT('Recreation and tourism'!N120,'OUTPUT-all'!M93-1)),"",LEFT('Recreation and tourism'!N120,'OUTPUT-all'!M93-1))</f>
        <v>High</v>
      </c>
      <c r="I93" s="650" t="str">
        <f>IF('Recreation and tourism'!D120="Enter number of recreational assets",IF(D93="Neutral","Not relevant","Qualitative"),ROUND('Recreation and tourism'!K120,3-LEN(INT('Recreation and tourism'!K120))))</f>
        <v>Qualitative</v>
      </c>
      <c r="J93" s="154" t="e">
        <f>FIND("(",'Describe baseline'!F95)</f>
        <v>#VALUE!</v>
      </c>
      <c r="K93" s="154" t="e">
        <f>FIND("(",'Describe baseline'!G95)</f>
        <v>#VALUE!</v>
      </c>
      <c r="L93" s="154" t="e">
        <f>FIND(":",'Describe baseline'!H95)</f>
        <v>#VALUE!</v>
      </c>
      <c r="M93" s="154">
        <f>FIND(":",'Recreation and tourism'!N120)</f>
        <v>5</v>
      </c>
      <c r="N93" s="61" t="s">
        <v>181</v>
      </c>
      <c r="O93" s="147" t="str">
        <f>IF('Identify beneficiaries'!E75="Y",IF(OR($I93="Qualitative",$I93="Not relevant"),$I93,ROUND($I93*'Summary of area'!$E$45/'Identify beneficiaries'!$L75,3-LEN(INT($I93*'Summary of area'!$E$45/'Identify beneficiaries'!$L75)))),"")</f>
        <v>Qualitative</v>
      </c>
      <c r="P93" s="147" t="str">
        <f>IF('Identify beneficiaries'!F75="Y",IF(OR($I93="Qualitative",$I93="Not relevant"),$I93,ROUND($I93*'Summary of area'!$E$45/'Identify beneficiaries'!$L75,3-LEN(INT($I93*'Summary of area'!$E$45/'Identify beneficiaries'!$L75)))),"")</f>
        <v/>
      </c>
      <c r="Q93" s="147" t="str">
        <f>IF('Identify beneficiaries'!G75="Y",IF(OR($I93="Qualitative",$I93="Not relevant"),$I93,ROUND($I93*'Summary of area'!$E$45/'Identify beneficiaries'!$L75,3-LEN(INT($I93*'Summary of area'!$E$45/'Identify beneficiaries'!$L75)))),"")</f>
        <v/>
      </c>
      <c r="R93" s="147" t="str">
        <f>IF('Identify beneficiaries'!H75="Y",IF(OR($I93="Qualitative",$I93="Not relevant"),$I93,ROUND($I93*'Summary of area'!$E$45/'Identify beneficiaries'!$L75,3-LEN(INT($I93*'Summary of area'!$E$45/'Identify beneficiaries'!$L75)))),"")</f>
        <v/>
      </c>
      <c r="S93" s="147" t="str">
        <f>IF('Identify beneficiaries'!I75="Y",IF(OR($I93="Qualitative",$I93="Not relevant"),$I93,ROUND($I93*'Summary of area'!$E$45/'Identify beneficiaries'!$L75,3-LEN(INT($I93*'Summary of area'!$E$45/'Identify beneficiaries'!$L75)))),"")</f>
        <v/>
      </c>
      <c r="T93" s="147" t="str">
        <f>IF('Identify beneficiaries'!J75="Y",IF(OR($I93="Qualitative",$I93="Not relevant"),$I93,ROUND($I93*'Summary of area'!$E$45/'Identify beneficiaries'!$L75,3-LEN(INT($I93*'Summary of area'!$E$45/'Identify beneficiaries'!$L75)))),"")</f>
        <v>Qualitative</v>
      </c>
      <c r="U93" s="147" t="str">
        <f>IF('Identify beneficiaries'!K75="Y",IF(OR($I93="Qualitative",$I93="Not relevant"),$I93,ROUND($I93*'Summary of area'!$E$45/'Identify beneficiaries'!$L75,3-LEN(INT($I93*'Summary of area'!$E$45/'Identify beneficiaries'!$L75)))),"")</f>
        <v/>
      </c>
      <c r="V93" s="147" t="str">
        <f>IF(OR(I93="Qualitative",I93="Not relevant"),I93,ROUND(I93*'Summary of area'!$D$45,3-LEN(INT(I93*'Summary of area'!$D$45))))</f>
        <v>Qualitative</v>
      </c>
      <c r="X93" s="14" t="str">
        <f t="shared" si="4"/>
        <v/>
      </c>
      <c r="Y93" s="14" t="str">
        <f t="shared" si="5"/>
        <v/>
      </c>
    </row>
    <row r="94" spans="1:25" ht="12.75" customHeight="1" hidden="1" thickBot="1">
      <c r="A94" s="607"/>
      <c r="B94" s="597"/>
      <c r="C94" s="615"/>
      <c r="D94" s="654">
        <f>IF('Describe baseline'!E93="-","+",IF('Describe baseline'!E93="+","-",'Describe baseline'!E93))</f>
        <v>0</v>
      </c>
      <c r="E94" s="656" t="str">
        <f>IF(ISERROR(LEFT('Describe baseline'!F93,'OUTPUT-all'!J94-2)),"",LEFT('Describe baseline'!F93,'OUTPUT-all'!J94-2))</f>
        <v/>
      </c>
      <c r="F94" s="654" t="str">
        <f>IF(ISERROR(LEFT('Describe baseline'!G93:G97,'OUTPUT-all'!K94-2)),"",LEFT('Describe baseline'!G93:G97,'OUTPUT-all'!K94-2))</f>
        <v/>
      </c>
      <c r="G94" s="654" t="str">
        <f>IF(ISERROR(LEFT('Describe baseline'!H93:H97,'OUTPUT-all'!L94-2)),"",LEFT('Describe baseline'!H93:H97,'OUTPUT-all'!L94-2))</f>
        <v/>
      </c>
      <c r="H94" s="354"/>
      <c r="I94" s="651" t="e">
        <f>IF(D94="-",ROUND(#REF!,2-LEN(INT(#REF!)))*-1,ROUND(#REF!,2-LEN(INT(#REF!))))</f>
        <v>#REF!</v>
      </c>
      <c r="J94" s="154" t="e">
        <f>FIND("(",'Describe baseline'!F93)</f>
        <v>#VALUE!</v>
      </c>
      <c r="K94" s="154" t="e">
        <f>FIND("(",'Describe baseline'!G93)</f>
        <v>#VALUE!</v>
      </c>
      <c r="L94" s="154" t="e">
        <f>FIND(":",'Describe baseline'!H93)</f>
        <v>#VALUE!</v>
      </c>
      <c r="M94" s="364"/>
      <c r="N94" s="148"/>
      <c r="O94" s="149"/>
      <c r="P94" s="149"/>
      <c r="Q94" s="149"/>
      <c r="R94" s="149"/>
      <c r="S94" s="149"/>
      <c r="T94" s="149"/>
      <c r="U94" s="149"/>
      <c r="V94" s="149"/>
      <c r="X94" s="14" t="e">
        <f t="shared" si="4"/>
        <v>#REF!</v>
      </c>
      <c r="Y94" s="14" t="e">
        <f t="shared" si="5"/>
        <v>#REF!</v>
      </c>
    </row>
    <row r="95" spans="1:25" ht="12.75" customHeight="1" hidden="1" thickBot="1">
      <c r="A95" s="607"/>
      <c r="B95" s="597"/>
      <c r="C95" s="615"/>
      <c r="D95" s="654">
        <f>IF('Describe baseline'!E94="-","+",IF('Describe baseline'!E94="+","-",'Describe baseline'!E94))</f>
        <v>0</v>
      </c>
      <c r="E95" s="656" t="str">
        <f>IF(ISERROR(LEFT('Describe baseline'!F94,'OUTPUT-all'!J95-2)),"",LEFT('Describe baseline'!F94,'OUTPUT-all'!J95-2))</f>
        <v/>
      </c>
      <c r="F95" s="654" t="str">
        <f>IF(ISERROR(LEFT('Describe baseline'!G94:G98,'OUTPUT-all'!K95-2)),"",LEFT('Describe baseline'!G94:G98,'OUTPUT-all'!K95-2))</f>
        <v/>
      </c>
      <c r="G95" s="654" t="str">
        <f>IF(ISERROR(LEFT('Describe baseline'!H94:H98,'OUTPUT-all'!L95-2)),"",LEFT('Describe baseline'!H94:H98,'OUTPUT-all'!L95-2))</f>
        <v/>
      </c>
      <c r="H95" s="354"/>
      <c r="I95" s="651" t="e">
        <f>IF(D95="-",ROUND(#REF!,2-LEN(INT(#REF!)))*-1,ROUND(#REF!,2-LEN(INT(#REF!))))</f>
        <v>#REF!</v>
      </c>
      <c r="J95" s="154" t="e">
        <f>FIND("(",'Describe baseline'!F94)</f>
        <v>#VALUE!</v>
      </c>
      <c r="K95" s="154" t="e">
        <f>FIND("(",'Describe baseline'!G94)</f>
        <v>#VALUE!</v>
      </c>
      <c r="L95" s="154" t="e">
        <f>FIND(":",'Describe baseline'!H94)</f>
        <v>#VALUE!</v>
      </c>
      <c r="M95" s="364"/>
      <c r="N95" s="148"/>
      <c r="O95" s="149"/>
      <c r="P95" s="149"/>
      <c r="Q95" s="149"/>
      <c r="R95" s="149"/>
      <c r="S95" s="149"/>
      <c r="T95" s="149"/>
      <c r="U95" s="149"/>
      <c r="V95" s="149"/>
      <c r="X95" s="14" t="e">
        <f t="shared" si="4"/>
        <v>#REF!</v>
      </c>
      <c r="Y95" s="14" t="e">
        <f t="shared" si="5"/>
        <v>#REF!</v>
      </c>
    </row>
    <row r="96" spans="1:25" ht="12.75" customHeight="1" hidden="1" thickBot="1">
      <c r="A96" s="607"/>
      <c r="B96" s="597"/>
      <c r="C96" s="615"/>
      <c r="D96" s="654">
        <f>IF('Describe baseline'!E95="-","+",IF('Describe baseline'!E95="+","-",'Describe baseline'!E95))</f>
        <v>0</v>
      </c>
      <c r="E96" s="656" t="str">
        <f>IF(ISERROR(LEFT('Describe baseline'!F95,'OUTPUT-all'!J96-2)),"",LEFT('Describe baseline'!F95,'OUTPUT-all'!J96-2))</f>
        <v/>
      </c>
      <c r="F96" s="654" t="str">
        <f>IF(ISERROR(LEFT('Describe baseline'!G95:G99,'OUTPUT-all'!K96-2)),"",LEFT('Describe baseline'!G95:G99,'OUTPUT-all'!K96-2))</f>
        <v/>
      </c>
      <c r="G96" s="654" t="str">
        <f>IF(ISERROR(LEFT('Describe baseline'!H95:H99,'OUTPUT-all'!L96-2)),"",LEFT('Describe baseline'!H95:H99,'OUTPUT-all'!L96-2))</f>
        <v/>
      </c>
      <c r="H96" s="354"/>
      <c r="I96" s="651" t="e">
        <f>IF(D96="-",ROUND(#REF!,2-LEN(INT(#REF!)))*-1,ROUND(#REF!,2-LEN(INT(#REF!))))</f>
        <v>#REF!</v>
      </c>
      <c r="J96" s="154"/>
      <c r="K96" s="154"/>
      <c r="L96" s="154"/>
      <c r="M96" s="364"/>
      <c r="N96" s="148"/>
      <c r="O96" s="149"/>
      <c r="P96" s="149"/>
      <c r="Q96" s="149"/>
      <c r="R96" s="149"/>
      <c r="S96" s="149"/>
      <c r="T96" s="149"/>
      <c r="U96" s="149"/>
      <c r="V96" s="149"/>
      <c r="X96" s="14" t="e">
        <f t="shared" si="4"/>
        <v>#REF!</v>
      </c>
      <c r="Y96" s="14" t="e">
        <f t="shared" si="5"/>
        <v>#REF!</v>
      </c>
    </row>
    <row r="97" spans="1:25" ht="12.75" customHeight="1" hidden="1" thickBot="1">
      <c r="A97" s="607"/>
      <c r="B97" s="597"/>
      <c r="C97" s="615"/>
      <c r="D97" s="654">
        <f>IF('Describe baseline'!E96="-","+",IF('Describe baseline'!E96="+","-",'Describe baseline'!E96))</f>
        <v>0</v>
      </c>
      <c r="E97" s="656" t="str">
        <f>IF(ISERROR(LEFT('Describe baseline'!F96,'OUTPUT-all'!J97-2)),"",LEFT('Describe baseline'!F96,'OUTPUT-all'!J97-2))</f>
        <v/>
      </c>
      <c r="F97" s="654" t="str">
        <f>IF(ISERROR(LEFT('Describe baseline'!G96:G100,'OUTPUT-all'!K97-2)),"",LEFT('Describe baseline'!G96:G100,'OUTPUT-all'!K97-2))</f>
        <v/>
      </c>
      <c r="G97" s="654" t="str">
        <f>IF(ISERROR(LEFT('Describe baseline'!H96:H100,'OUTPUT-all'!L97-2)),"",LEFT('Describe baseline'!H96:H100,'OUTPUT-all'!L97-2))</f>
        <v/>
      </c>
      <c r="H97" s="354"/>
      <c r="I97" s="651" t="e">
        <f>IF(D97="-",ROUND(#REF!,2-LEN(INT(#REF!)))*-1,ROUND(#REF!,2-LEN(INT(#REF!))))</f>
        <v>#REF!</v>
      </c>
      <c r="J97" s="154" t="e">
        <f>FIND("(",'Describe baseline'!F96)</f>
        <v>#VALUE!</v>
      </c>
      <c r="K97" s="154" t="e">
        <f>FIND("(",'Describe baseline'!G96)</f>
        <v>#VALUE!</v>
      </c>
      <c r="L97" s="154" t="e">
        <f>FIND(":",'Describe baseline'!H96)</f>
        <v>#VALUE!</v>
      </c>
      <c r="M97" s="364"/>
      <c r="N97" s="148"/>
      <c r="O97" s="149"/>
      <c r="P97" s="149"/>
      <c r="Q97" s="149"/>
      <c r="R97" s="149"/>
      <c r="S97" s="149"/>
      <c r="T97" s="149"/>
      <c r="U97" s="149"/>
      <c r="V97" s="149"/>
      <c r="X97" s="14" t="e">
        <f t="shared" si="4"/>
        <v>#REF!</v>
      </c>
      <c r="Y97" s="14" t="e">
        <f t="shared" si="5"/>
        <v>#REF!</v>
      </c>
    </row>
    <row r="98" spans="1:25" ht="12.75" customHeight="1" hidden="1" thickBot="1">
      <c r="A98" s="607"/>
      <c r="B98" s="597"/>
      <c r="C98" s="615"/>
      <c r="D98" s="654">
        <f>IF('Describe baseline'!E97="-","+",IF('Describe baseline'!E97="+","-",'Describe baseline'!E97))</f>
        <v>0</v>
      </c>
      <c r="E98" s="656" t="str">
        <f>IF(ISERROR(LEFT('Describe baseline'!F97,'OUTPUT-all'!J98-2)),"",LEFT('Describe baseline'!F97,'OUTPUT-all'!J98-2))</f>
        <v/>
      </c>
      <c r="F98" s="654" t="str">
        <f>IF(ISERROR(LEFT('Describe baseline'!G97:G101,'OUTPUT-all'!K98-2)),"",LEFT('Describe baseline'!G97:G101,'OUTPUT-all'!K98-2))</f>
        <v/>
      </c>
      <c r="G98" s="654" t="str">
        <f>IF(ISERROR(LEFT('Describe baseline'!H97:H101,'OUTPUT-all'!L98-2)),"",LEFT('Describe baseline'!H97:H101,'OUTPUT-all'!L98-2))</f>
        <v/>
      </c>
      <c r="H98" s="354"/>
      <c r="I98" s="651" t="e">
        <f>IF(D98="-",ROUND(#REF!,2-LEN(INT(#REF!)))*-1,ROUND(#REF!,2-LEN(INT(#REF!))))</f>
        <v>#REF!</v>
      </c>
      <c r="J98" s="154" t="e">
        <f>FIND("(",'Describe baseline'!F97)</f>
        <v>#VALUE!</v>
      </c>
      <c r="K98" s="154" t="e">
        <f>FIND("(",'Describe baseline'!G97)</f>
        <v>#VALUE!</v>
      </c>
      <c r="L98" s="154" t="e">
        <f>FIND(":",'Describe baseline'!H97)</f>
        <v>#VALUE!</v>
      </c>
      <c r="M98" s="364"/>
      <c r="N98" s="148"/>
      <c r="O98" s="149"/>
      <c r="P98" s="149"/>
      <c r="Q98" s="149"/>
      <c r="R98" s="149"/>
      <c r="S98" s="149"/>
      <c r="T98" s="149"/>
      <c r="U98" s="149"/>
      <c r="V98" s="149"/>
      <c r="X98" s="14" t="e">
        <f t="shared" si="4"/>
        <v>#REF!</v>
      </c>
      <c r="Y98" s="14" t="e">
        <f t="shared" si="5"/>
        <v>#REF!</v>
      </c>
    </row>
    <row r="99" spans="1:25" ht="12.75" customHeight="1" hidden="1" thickBot="1">
      <c r="A99" s="607"/>
      <c r="B99" s="597"/>
      <c r="C99" s="615"/>
      <c r="D99" s="654">
        <f>IF('Describe baseline'!E98="-","+",IF('Describe baseline'!E98="+","-",'Describe baseline'!E98))</f>
        <v>0</v>
      </c>
      <c r="E99" s="656" t="str">
        <f>IF(ISERROR(LEFT('Describe baseline'!F98,'OUTPUT-all'!J99-2)),"",LEFT('Describe baseline'!F98,'OUTPUT-all'!J99-2))</f>
        <v/>
      </c>
      <c r="F99" s="654" t="str">
        <f>IF(ISERROR(LEFT('Describe baseline'!G98:G102,'OUTPUT-all'!K99-2)),"",LEFT('Describe baseline'!G98:G102,'OUTPUT-all'!K99-2))</f>
        <v/>
      </c>
      <c r="G99" s="654" t="str">
        <f>IF(ISERROR(LEFT('Describe baseline'!H98:H102,'OUTPUT-all'!L99-2)),"",LEFT('Describe baseline'!H98:H102,'OUTPUT-all'!L99-2))</f>
        <v/>
      </c>
      <c r="H99" s="354"/>
      <c r="I99" s="651" t="e">
        <f>IF(D99="-",ROUND(#REF!,2-LEN(INT(#REF!)))*-1,ROUND(#REF!,2-LEN(INT(#REF!))))</f>
        <v>#REF!</v>
      </c>
      <c r="J99" s="154" t="e">
        <f>FIND("(",'Describe baseline'!F98)</f>
        <v>#VALUE!</v>
      </c>
      <c r="K99" s="154" t="e">
        <f>FIND("(",'Describe baseline'!G98)</f>
        <v>#VALUE!</v>
      </c>
      <c r="L99" s="154" t="e">
        <f>FIND(":",'Describe baseline'!H98)</f>
        <v>#VALUE!</v>
      </c>
      <c r="M99" s="364"/>
      <c r="N99" s="148"/>
      <c r="O99" s="149"/>
      <c r="P99" s="149"/>
      <c r="Q99" s="149"/>
      <c r="R99" s="149"/>
      <c r="S99" s="149"/>
      <c r="T99" s="149"/>
      <c r="U99" s="149"/>
      <c r="V99" s="149"/>
      <c r="X99" s="14" t="e">
        <f t="shared" si="4"/>
        <v>#REF!</v>
      </c>
      <c r="Y99" s="14" t="e">
        <f t="shared" si="5"/>
        <v>#REF!</v>
      </c>
    </row>
    <row r="100" spans="1:25" ht="12.75" customHeight="1" hidden="1" thickBot="1">
      <c r="A100" s="607"/>
      <c r="B100" s="597"/>
      <c r="C100" s="615"/>
      <c r="D100" s="654">
        <f>IF('Describe baseline'!E99="-","+",IF('Describe baseline'!E99="+","-",'Describe baseline'!E99))</f>
        <v>0</v>
      </c>
      <c r="E100" s="656" t="str">
        <f>IF(ISERROR(LEFT('Describe baseline'!F99,'OUTPUT-all'!J100-2)),"",LEFT('Describe baseline'!F99,'OUTPUT-all'!J100-2))</f>
        <v/>
      </c>
      <c r="F100" s="654" t="str">
        <f>IF(ISERROR(LEFT('Describe baseline'!G99:G103,'OUTPUT-all'!K100-2)),"",LEFT('Describe baseline'!G99:G103,'OUTPUT-all'!K100-2))</f>
        <v/>
      </c>
      <c r="G100" s="654" t="str">
        <f>IF(ISERROR(LEFT('Describe baseline'!H99:H103,'OUTPUT-all'!L100-2)),"",LEFT('Describe baseline'!H99:H103,'OUTPUT-all'!L100-2))</f>
        <v/>
      </c>
      <c r="H100" s="354"/>
      <c r="I100" s="651" t="e">
        <f>IF(D100="-",ROUND(#REF!,2-LEN(INT(#REF!)))*-1,ROUND(#REF!,2-LEN(INT(#REF!))))</f>
        <v>#REF!</v>
      </c>
      <c r="J100" s="154" t="e">
        <f>FIND("(",'Describe baseline'!F99)</f>
        <v>#VALUE!</v>
      </c>
      <c r="K100" s="154" t="e">
        <f>FIND("(",'Describe baseline'!G99)</f>
        <v>#VALUE!</v>
      </c>
      <c r="L100" s="154" t="e">
        <f>FIND(":",'Describe baseline'!H99)</f>
        <v>#VALUE!</v>
      </c>
      <c r="M100" s="364"/>
      <c r="N100" s="148"/>
      <c r="O100" s="149"/>
      <c r="P100" s="149"/>
      <c r="Q100" s="149"/>
      <c r="R100" s="149"/>
      <c r="S100" s="149"/>
      <c r="T100" s="149"/>
      <c r="U100" s="149"/>
      <c r="V100" s="149"/>
      <c r="X100" s="14" t="e">
        <f t="shared" si="4"/>
        <v>#REF!</v>
      </c>
      <c r="Y100" s="14" t="e">
        <f t="shared" si="5"/>
        <v>#REF!</v>
      </c>
    </row>
    <row r="101" spans="1:25" ht="12.75" customHeight="1" hidden="1" thickBot="1">
      <c r="A101" s="607"/>
      <c r="B101" s="597"/>
      <c r="C101" s="615"/>
      <c r="D101" s="654">
        <f>IF('Describe baseline'!E100="-","+",IF('Describe baseline'!E100="+","-",'Describe baseline'!E100))</f>
        <v>0</v>
      </c>
      <c r="E101" s="656" t="str">
        <f>IF(ISERROR(LEFT('Describe baseline'!F100,'OUTPUT-all'!J101-2)),"",LEFT('Describe baseline'!F100,'OUTPUT-all'!J101-2))</f>
        <v/>
      </c>
      <c r="F101" s="654" t="str">
        <f>IF(ISERROR(LEFT('Describe baseline'!G100:G104,'OUTPUT-all'!K101-2)),"",LEFT('Describe baseline'!G100:G104,'OUTPUT-all'!K101-2))</f>
        <v/>
      </c>
      <c r="G101" s="654" t="str">
        <f>IF(ISERROR(LEFT('Describe baseline'!H100:H104,'OUTPUT-all'!L101-2)),"",LEFT('Describe baseline'!H100:H104,'OUTPUT-all'!L101-2))</f>
        <v/>
      </c>
      <c r="H101" s="354"/>
      <c r="I101" s="651" t="e">
        <f>IF(D101="-",ROUND(#REF!,2-LEN(INT(#REF!)))*-1,ROUND(#REF!,2-LEN(INT(#REF!))))</f>
        <v>#REF!</v>
      </c>
      <c r="J101" s="154" t="e">
        <f>FIND("(",'Describe baseline'!F100)</f>
        <v>#VALUE!</v>
      </c>
      <c r="K101" s="154" t="e">
        <f>FIND("(",'Describe baseline'!G100)</f>
        <v>#VALUE!</v>
      </c>
      <c r="L101" s="154" t="e">
        <f>FIND(":",'Describe baseline'!H100)</f>
        <v>#VALUE!</v>
      </c>
      <c r="M101" s="364"/>
      <c r="N101" s="148"/>
      <c r="O101" s="149"/>
      <c r="P101" s="149"/>
      <c r="Q101" s="149"/>
      <c r="R101" s="149"/>
      <c r="S101" s="149"/>
      <c r="T101" s="149"/>
      <c r="U101" s="149"/>
      <c r="V101" s="149"/>
      <c r="X101" s="14" t="e">
        <f t="shared" si="4"/>
        <v>#REF!</v>
      </c>
      <c r="Y101" s="14" t="e">
        <f t="shared" si="5"/>
        <v>#REF!</v>
      </c>
    </row>
    <row r="102" spans="1:25" ht="12.75" customHeight="1" hidden="1" thickBot="1">
      <c r="A102" s="607"/>
      <c r="B102" s="597"/>
      <c r="C102" s="615"/>
      <c r="D102" s="654">
        <f>IF('Describe baseline'!E101="-","+",IF('Describe baseline'!E101="+","-",'Describe baseline'!E101))</f>
        <v>0</v>
      </c>
      <c r="E102" s="656" t="str">
        <f>IF(ISERROR(LEFT('Describe baseline'!F101,'OUTPUT-all'!J102-2)),"",LEFT('Describe baseline'!F101,'OUTPUT-all'!J102-2))</f>
        <v/>
      </c>
      <c r="F102" s="654" t="str">
        <f>IF(ISERROR(LEFT('Describe baseline'!G101:G105,'OUTPUT-all'!K102-2)),"",LEFT('Describe baseline'!G101:G105,'OUTPUT-all'!K102-2))</f>
        <v/>
      </c>
      <c r="G102" s="654" t="str">
        <f>IF(ISERROR(LEFT('Describe baseline'!H101:H105,'OUTPUT-all'!L102-2)),"",LEFT('Describe baseline'!H101:H105,'OUTPUT-all'!L102-2))</f>
        <v/>
      </c>
      <c r="H102" s="354"/>
      <c r="I102" s="651" t="e">
        <f>IF(D102="-",ROUND(#REF!,2-LEN(INT(#REF!)))*-1,ROUND(#REF!,2-LEN(INT(#REF!))))</f>
        <v>#REF!</v>
      </c>
      <c r="J102" s="154" t="e">
        <f>FIND("(",'Describe baseline'!F101)</f>
        <v>#VALUE!</v>
      </c>
      <c r="K102" s="154" t="e">
        <f>FIND("(",'Describe baseline'!G101)</f>
        <v>#VALUE!</v>
      </c>
      <c r="L102" s="154" t="e">
        <f>FIND(":",'Describe baseline'!H101)</f>
        <v>#VALUE!</v>
      </c>
      <c r="M102" s="364"/>
      <c r="N102" s="148"/>
      <c r="O102" s="149"/>
      <c r="P102" s="149"/>
      <c r="Q102" s="149"/>
      <c r="R102" s="149"/>
      <c r="S102" s="149"/>
      <c r="T102" s="149"/>
      <c r="U102" s="149"/>
      <c r="V102" s="149"/>
      <c r="X102" s="14" t="e">
        <f t="shared" si="4"/>
        <v>#REF!</v>
      </c>
      <c r="Y102" s="14" t="e">
        <f t="shared" si="5"/>
        <v>#REF!</v>
      </c>
    </row>
    <row r="103" spans="1:25" ht="12.75" customHeight="1" hidden="1" thickBot="1">
      <c r="A103" s="607"/>
      <c r="B103" s="597"/>
      <c r="C103" s="615"/>
      <c r="D103" s="654">
        <f>IF('Describe baseline'!E102="-","+",IF('Describe baseline'!E102="+","-",'Describe baseline'!E102))</f>
        <v>0</v>
      </c>
      <c r="E103" s="656" t="str">
        <f>IF(ISERROR(LEFT('Describe baseline'!F102,'OUTPUT-all'!J103-2)),"",LEFT('Describe baseline'!F102,'OUTPUT-all'!J103-2))</f>
        <v/>
      </c>
      <c r="F103" s="654" t="str">
        <f>IF(ISERROR(LEFT('Describe baseline'!G102:G106,'OUTPUT-all'!K103-2)),"",LEFT('Describe baseline'!G102:G106,'OUTPUT-all'!K103-2))</f>
        <v/>
      </c>
      <c r="G103" s="654" t="str">
        <f>IF(ISERROR(LEFT('Describe baseline'!H102:H106,'OUTPUT-all'!L103-2)),"",LEFT('Describe baseline'!H102:H106,'OUTPUT-all'!L103-2))</f>
        <v/>
      </c>
      <c r="H103" s="354"/>
      <c r="I103" s="651" t="e">
        <f>IF(D103="-",ROUND(#REF!,2-LEN(INT(#REF!)))*-1,ROUND(#REF!,2-LEN(INT(#REF!))))</f>
        <v>#REF!</v>
      </c>
      <c r="J103" s="154" t="e">
        <f>FIND("(",'Describe baseline'!F102)</f>
        <v>#VALUE!</v>
      </c>
      <c r="K103" s="154" t="e">
        <f>FIND("(",'Describe baseline'!G102)</f>
        <v>#VALUE!</v>
      </c>
      <c r="L103" s="154" t="e">
        <f>FIND(":",'Describe baseline'!H102)</f>
        <v>#VALUE!</v>
      </c>
      <c r="M103" s="364"/>
      <c r="N103" s="148"/>
      <c r="O103" s="149"/>
      <c r="P103" s="149"/>
      <c r="Q103" s="149"/>
      <c r="R103" s="149"/>
      <c r="S103" s="149"/>
      <c r="T103" s="149"/>
      <c r="U103" s="149"/>
      <c r="V103" s="149"/>
      <c r="X103" s="14" t="e">
        <f t="shared" si="4"/>
        <v>#REF!</v>
      </c>
      <c r="Y103" s="14" t="e">
        <f t="shared" si="5"/>
        <v>#REF!</v>
      </c>
    </row>
    <row r="104" spans="1:25" ht="12.75" customHeight="1" hidden="1" thickBot="1">
      <c r="A104" s="607"/>
      <c r="B104" s="597"/>
      <c r="C104" s="615"/>
      <c r="D104" s="654">
        <f>IF('Describe baseline'!E103="-","+",IF('Describe baseline'!E103="+","-",'Describe baseline'!E103))</f>
        <v>0</v>
      </c>
      <c r="E104" s="656" t="str">
        <f>IF(ISERROR(LEFT('Describe baseline'!F103,'OUTPUT-all'!J104-2)),"",LEFT('Describe baseline'!F103,'OUTPUT-all'!J104-2))</f>
        <v/>
      </c>
      <c r="F104" s="654" t="str">
        <f>IF(ISERROR(LEFT('Describe baseline'!G103:G107,'OUTPUT-all'!K104-2)),"",LEFT('Describe baseline'!G103:G107,'OUTPUT-all'!K104-2))</f>
        <v/>
      </c>
      <c r="G104" s="654" t="str">
        <f>IF(ISERROR(LEFT('Describe baseline'!H103:H107,'OUTPUT-all'!L104-2)),"",LEFT('Describe baseline'!H103:H107,'OUTPUT-all'!L104-2))</f>
        <v/>
      </c>
      <c r="H104" s="354"/>
      <c r="I104" s="651" t="e">
        <f>IF(D104="-",ROUND(#REF!,2-LEN(INT(#REF!)))*-1,ROUND(#REF!,2-LEN(INT(#REF!))))</f>
        <v>#REF!</v>
      </c>
      <c r="J104" s="154" t="e">
        <f>FIND("(",'Describe baseline'!F103)</f>
        <v>#VALUE!</v>
      </c>
      <c r="K104" s="154" t="e">
        <f>FIND("(",'Describe baseline'!G103)</f>
        <v>#VALUE!</v>
      </c>
      <c r="L104" s="154" t="e">
        <f>FIND(":",'Describe baseline'!H103)</f>
        <v>#VALUE!</v>
      </c>
      <c r="M104" s="364"/>
      <c r="N104" s="148"/>
      <c r="O104" s="149"/>
      <c r="P104" s="149"/>
      <c r="Q104" s="149"/>
      <c r="R104" s="149"/>
      <c r="S104" s="149"/>
      <c r="T104" s="149"/>
      <c r="U104" s="149"/>
      <c r="V104" s="149"/>
      <c r="X104" s="14" t="e">
        <f t="shared" si="4"/>
        <v>#REF!</v>
      </c>
      <c r="Y104" s="14" t="e">
        <f t="shared" si="5"/>
        <v>#REF!</v>
      </c>
    </row>
    <row r="105" spans="1:25" ht="12.75" customHeight="1" hidden="1" thickBot="1">
      <c r="A105" s="607"/>
      <c r="B105" s="597"/>
      <c r="C105" s="669"/>
      <c r="D105" s="655">
        <f>IF('Describe baseline'!E104="-","+",IF('Describe baseline'!E104="+","-",'Describe baseline'!E104))</f>
        <v>0</v>
      </c>
      <c r="E105" s="657" t="str">
        <f>IF(ISERROR(LEFT('Describe baseline'!F104,'OUTPUT-all'!J105-2)),"",LEFT('Describe baseline'!F104,'OUTPUT-all'!J105-2))</f>
        <v/>
      </c>
      <c r="F105" s="655" t="str">
        <f>IF(ISERROR(LEFT('Describe baseline'!G104:G108,'OUTPUT-all'!K105-2)),"",LEFT('Describe baseline'!G104:G108,'OUTPUT-all'!K105-2))</f>
        <v/>
      </c>
      <c r="G105" s="655" t="str">
        <f>IF(ISERROR(LEFT('Describe baseline'!H104:H108,'OUTPUT-all'!L105-2)),"",LEFT('Describe baseline'!H104:H108,'OUTPUT-all'!L105-2))</f>
        <v/>
      </c>
      <c r="H105" s="355"/>
      <c r="I105" s="652" t="e">
        <f>IF(D105="-",ROUND(#REF!,2-LEN(INT(#REF!)))*-1,ROUND(#REF!,2-LEN(INT(#REF!))))</f>
        <v>#REF!</v>
      </c>
      <c r="J105" s="154" t="e">
        <f>FIND("(",'Describe baseline'!F104)</f>
        <v>#VALUE!</v>
      </c>
      <c r="K105" s="154" t="e">
        <f>FIND("(",'Describe baseline'!G104)</f>
        <v>#VALUE!</v>
      </c>
      <c r="L105" s="154" t="e">
        <f>FIND(":",'Describe baseline'!H104)</f>
        <v>#VALUE!</v>
      </c>
      <c r="M105" s="364"/>
      <c r="N105" s="148"/>
      <c r="O105" s="149"/>
      <c r="P105" s="149"/>
      <c r="Q105" s="149"/>
      <c r="R105" s="149"/>
      <c r="S105" s="149"/>
      <c r="T105" s="149"/>
      <c r="U105" s="149"/>
      <c r="V105" s="149"/>
      <c r="X105" s="14" t="e">
        <f t="shared" si="4"/>
        <v>#REF!</v>
      </c>
      <c r="Y105" s="14" t="e">
        <f t="shared" si="5"/>
        <v>#REF!</v>
      </c>
    </row>
    <row r="106" spans="1:25" ht="13.5" thickBot="1">
      <c r="A106" s="607"/>
      <c r="B106" s="597"/>
      <c r="C106" s="55" t="s">
        <v>53</v>
      </c>
      <c r="D106" s="57"/>
      <c r="E106" s="57"/>
      <c r="F106" s="57"/>
      <c r="G106" s="57"/>
      <c r="H106" s="57"/>
      <c r="I106" s="97"/>
      <c r="J106" s="154" t="e">
        <f>FIND("(",'Describe baseline'!F105)</f>
        <v>#VALUE!</v>
      </c>
      <c r="K106" s="154" t="e">
        <f>FIND("(",'Describe baseline'!G105)</f>
        <v>#VALUE!</v>
      </c>
      <c r="L106" s="154" t="e">
        <f>FIND(":",'Describe baseline'!H105)</f>
        <v>#VALUE!</v>
      </c>
      <c r="M106" s="364"/>
      <c r="N106" s="97"/>
      <c r="O106" s="97"/>
      <c r="P106" s="97"/>
      <c r="Q106" s="97"/>
      <c r="R106" s="97"/>
      <c r="S106" s="97"/>
      <c r="T106" s="97"/>
      <c r="U106" s="97"/>
      <c r="V106" s="97"/>
      <c r="X106" s="14" t="str">
        <f t="shared" si="4"/>
        <v/>
      </c>
      <c r="Y106" s="14" t="str">
        <f t="shared" si="5"/>
        <v/>
      </c>
    </row>
    <row r="107" spans="1:25" ht="26.25" thickBot="1">
      <c r="A107" s="617"/>
      <c r="B107" s="609"/>
      <c r="C107" s="32" t="s">
        <v>54</v>
      </c>
      <c r="D107" s="33">
        <f>IF('Describe baseline'!E109="-","+",IF('Describe baseline'!E109="+","-",'Describe baseline'!E109))</f>
        <v>0</v>
      </c>
      <c r="E107" s="33" t="str">
        <f>IF(ISERROR(LEFT('Describe baseline'!F109,'OUTPUT-all'!J107-2)),"",LEFT('Describe baseline'!F109,'OUTPUT-all'!J107-2))</f>
        <v/>
      </c>
      <c r="F107" s="33" t="str">
        <f>IF(ISERROR(LEFT('Describe baseline'!G109,'OUTPUT-all'!K107-2)),"",LEFT('Describe baseline'!G109,'OUTPUT-all'!K107-2))</f>
        <v/>
      </c>
      <c r="G107" s="33" t="str">
        <f>IF(ISERROR(LEFT('Describe baseline'!H109,'OUTPUT-all'!L107-1)),"",LEFT('Describe baseline'!H109,'OUTPUT-all'!L107-1))</f>
        <v/>
      </c>
      <c r="H107" s="33"/>
      <c r="I107" s="102" t="str">
        <f>IF(D107="Neutral","Not relevant","Qualitative")</f>
        <v>Qualitative</v>
      </c>
      <c r="J107" s="154" t="e">
        <f>FIND("(",'Describe baseline'!F109)</f>
        <v>#VALUE!</v>
      </c>
      <c r="K107" s="154" t="e">
        <f>FIND("(",'Describe baseline'!G109)</f>
        <v>#VALUE!</v>
      </c>
      <c r="L107" s="154" t="e">
        <f>FIND(":",'Describe baseline'!H109)</f>
        <v>#VALUE!</v>
      </c>
      <c r="M107" s="364"/>
      <c r="N107" s="62" t="s">
        <v>182</v>
      </c>
      <c r="O107" s="150" t="str">
        <f>IF('Identify beneficiaries'!E77="Y",IF(OR($I107="Qualitative",$I107="Not relevant"),$I107,$I107*'Summary of area'!$C$22/'Identify beneficiaries'!$L77),"")</f>
        <v/>
      </c>
      <c r="P107" s="150" t="str">
        <f>IF('Identify beneficiaries'!F77="Y",IF(OR($I107="Qualitative",$I107="Not relevant"),$I107,$I107*'Summary of area'!$C$22/'Identify beneficiaries'!$L77),"")</f>
        <v/>
      </c>
      <c r="Q107" s="150" t="str">
        <f>IF('Identify beneficiaries'!G77="Y",IF(OR($I107="Qualitative",$I107="Not relevant"),$I107,$I107*'Summary of area'!$C$22/'Identify beneficiaries'!$L77),"")</f>
        <v/>
      </c>
      <c r="R107" s="150" t="str">
        <f>IF('Identify beneficiaries'!H77="Y",IF(OR($I107="Qualitative",$I107="Not relevant"),$I107,$I107*'Summary of area'!$C$22/'Identify beneficiaries'!$L77),"")</f>
        <v/>
      </c>
      <c r="S107" s="150" t="str">
        <f>IF('Identify beneficiaries'!I77="Y",IF(OR($I107="Qualitative",$I107="Not relevant"),$I107,$I107*'Summary of area'!$C$22/'Identify beneficiaries'!$L77),"")</f>
        <v/>
      </c>
      <c r="T107" s="150" t="str">
        <f>IF('Identify beneficiaries'!J77="Y",IF(OR($I107="Qualitative",$I107="Not relevant"),$I107,$I107*'Summary of area'!$C$22/'Identify beneficiaries'!$L77),"")</f>
        <v>Qualitative</v>
      </c>
      <c r="U107" s="150" t="str">
        <f>IF('Identify beneficiaries'!K77="Y",IF(OR($I107="Qualitative",$I107="Not relevant"),$I107,$I107*'Summary of area'!$C$22/'Identify beneficiaries'!$L77),"")</f>
        <v/>
      </c>
      <c r="V107" s="150" t="str">
        <f>IF(OR(I107="Qualitative",I107="Not relevant"),I107,ROUND(I107*'Summary of area'!$C$21,3-LEN(INT(I107*'Summary of area'!$C$21))))</f>
        <v>Qualitative</v>
      </c>
      <c r="X107" s="14" t="str">
        <f t="shared" si="4"/>
        <v/>
      </c>
      <c r="Y107" s="14" t="str">
        <f t="shared" si="5"/>
        <v/>
      </c>
    </row>
    <row r="108" spans="1:25" ht="13.5" thickBot="1">
      <c r="A108" s="611" t="s">
        <v>35</v>
      </c>
      <c r="B108" s="614" t="s">
        <v>36</v>
      </c>
      <c r="C108" s="30" t="s">
        <v>52</v>
      </c>
      <c r="D108" s="31">
        <f>IF('Describe baseline'!E110="-","+",IF('Describe baseline'!E110="+","-",'Describe baseline'!E110))</f>
        <v>0</v>
      </c>
      <c r="E108" s="31" t="str">
        <f>IF(ISERROR(LEFT('Describe baseline'!F110,'OUTPUT-all'!J108-2)),"",LEFT('Describe baseline'!F110,'OUTPUT-all'!J108-2))</f>
        <v/>
      </c>
      <c r="F108" s="31" t="str">
        <f>IF(ISERROR(LEFT('Describe baseline'!G110,'OUTPUT-all'!K108-2)),"",LEFT('Describe baseline'!G110,'OUTPUT-all'!K108-2))</f>
        <v/>
      </c>
      <c r="G108" s="31" t="str">
        <f>IF(ISERROR(LEFT('Describe baseline'!H110,'OUTPUT-all'!L108-1)),"",LEFT('Describe baseline'!H110,'OUTPUT-all'!L108-1))</f>
        <v/>
      </c>
      <c r="H108" s="374" t="str">
        <f>IF(ISERROR(LEFT('Summary of area'!F28,'OUTPUT-all'!M108-1)),"",LEFT('Summary of area'!F28,'OUTPUT-all'!M108-1))</f>
        <v>High</v>
      </c>
      <c r="I108" s="139">
        <f>'Summary of area'!C28</f>
        <v>0</v>
      </c>
      <c r="J108" s="154" t="e">
        <f>FIND("(",'Describe baseline'!F110)</f>
        <v>#VALUE!</v>
      </c>
      <c r="K108" s="154" t="e">
        <f>FIND("(",'Describe baseline'!G110)</f>
        <v>#VALUE!</v>
      </c>
      <c r="L108" s="154" t="e">
        <f>FIND(":",'Describe baseline'!H110)</f>
        <v>#VALUE!</v>
      </c>
      <c r="M108" s="154">
        <f>FIND(":",'Summary of area'!F28)</f>
        <v>5</v>
      </c>
      <c r="N108" s="61" t="s">
        <v>183</v>
      </c>
      <c r="O108" s="147"/>
      <c r="P108" s="147"/>
      <c r="Q108" s="147"/>
      <c r="R108" s="147"/>
      <c r="S108" s="147"/>
      <c r="T108" s="147"/>
      <c r="U108" s="147"/>
      <c r="V108" s="147"/>
      <c r="X108" s="14" t="str">
        <f aca="true" t="shared" si="6" ref="X108:X113">IF(I108="Qualitative",E108,"")</f>
        <v/>
      </c>
      <c r="Y108" s="14" t="str">
        <f aca="true" t="shared" si="7" ref="Y108:Y113">IF(I108="Qualitative",F108,"")</f>
        <v/>
      </c>
    </row>
    <row r="109" spans="1:25" ht="13.5" thickBot="1">
      <c r="A109" s="607"/>
      <c r="B109" s="597"/>
      <c r="C109" s="55" t="s">
        <v>53</v>
      </c>
      <c r="D109" s="57"/>
      <c r="E109" s="57"/>
      <c r="F109" s="57"/>
      <c r="G109" s="57"/>
      <c r="H109" s="57"/>
      <c r="I109" s="97"/>
      <c r="J109" s="154" t="e">
        <f>FIND("(",'Describe baseline'!F111)</f>
        <v>#VALUE!</v>
      </c>
      <c r="K109" s="154" t="e">
        <f>FIND("(",'Describe baseline'!G111)</f>
        <v>#VALUE!</v>
      </c>
      <c r="L109" s="154" t="e">
        <f>FIND(":",'Describe baseline'!H111)</f>
        <v>#VALUE!</v>
      </c>
      <c r="M109" s="364"/>
      <c r="N109" s="97"/>
      <c r="O109" s="97"/>
      <c r="P109" s="97"/>
      <c r="Q109" s="97"/>
      <c r="R109" s="97"/>
      <c r="S109" s="97"/>
      <c r="T109" s="97"/>
      <c r="U109" s="97"/>
      <c r="V109" s="97"/>
      <c r="X109" s="14" t="str">
        <f t="shared" si="6"/>
        <v/>
      </c>
      <c r="Y109" s="14" t="str">
        <f t="shared" si="7"/>
        <v/>
      </c>
    </row>
    <row r="110" spans="1:25" ht="13.5" thickBot="1">
      <c r="A110" s="617"/>
      <c r="B110" s="609"/>
      <c r="C110" s="58" t="s">
        <v>54</v>
      </c>
      <c r="D110" s="60"/>
      <c r="E110" s="60"/>
      <c r="F110" s="60"/>
      <c r="G110" s="60"/>
      <c r="H110" s="60"/>
      <c r="I110" s="98"/>
      <c r="J110" s="154" t="e">
        <f>FIND("(",'Describe baseline'!F112)</f>
        <v>#VALUE!</v>
      </c>
      <c r="K110" s="154" t="e">
        <f>FIND("(",'Describe baseline'!G112)</f>
        <v>#VALUE!</v>
      </c>
      <c r="L110" s="154" t="e">
        <f>FIND(":",'Describe baseline'!H112)</f>
        <v>#VALUE!</v>
      </c>
      <c r="M110" s="364"/>
      <c r="N110" s="98"/>
      <c r="O110" s="98"/>
      <c r="P110" s="98"/>
      <c r="Q110" s="98"/>
      <c r="R110" s="98"/>
      <c r="S110" s="98"/>
      <c r="T110" s="98"/>
      <c r="U110" s="98"/>
      <c r="V110" s="98"/>
      <c r="X110" s="14" t="str">
        <f t="shared" si="6"/>
        <v/>
      </c>
      <c r="Y110" s="14" t="str">
        <f t="shared" si="7"/>
        <v/>
      </c>
    </row>
    <row r="111" spans="1:25" ht="13.5" thickBot="1">
      <c r="A111" s="611" t="s">
        <v>37</v>
      </c>
      <c r="B111" s="614" t="s">
        <v>38</v>
      </c>
      <c r="C111" s="65" t="s">
        <v>52</v>
      </c>
      <c r="D111" s="66"/>
      <c r="E111" s="66"/>
      <c r="F111" s="66"/>
      <c r="G111" s="66"/>
      <c r="H111" s="66"/>
      <c r="I111" s="104"/>
      <c r="J111" s="154" t="e">
        <f>FIND("(",'Describe baseline'!F113)</f>
        <v>#VALUE!</v>
      </c>
      <c r="K111" s="154" t="e">
        <f>FIND("(",'Describe baseline'!G113)</f>
        <v>#VALUE!</v>
      </c>
      <c r="L111" s="154" t="e">
        <f>FIND(":",'Describe baseline'!H113)</f>
        <v>#VALUE!</v>
      </c>
      <c r="M111" s="154"/>
      <c r="N111" s="104"/>
      <c r="O111" s="104"/>
      <c r="P111" s="104"/>
      <c r="Q111" s="104"/>
      <c r="R111" s="104"/>
      <c r="S111" s="104"/>
      <c r="T111" s="104"/>
      <c r="U111" s="104"/>
      <c r="V111" s="104"/>
      <c r="X111" s="14" t="str">
        <f t="shared" si="6"/>
        <v/>
      </c>
      <c r="Y111" s="14" t="str">
        <f t="shared" si="7"/>
        <v/>
      </c>
    </row>
    <row r="112" spans="1:25" ht="39" thickBot="1">
      <c r="A112" s="680"/>
      <c r="B112" s="682"/>
      <c r="C112" s="20" t="s">
        <v>53</v>
      </c>
      <c r="D112" s="21">
        <f>IF('Describe baseline'!E114="-","+",IF('Describe baseline'!E114="+","-",'Describe baseline'!E114))</f>
        <v>0</v>
      </c>
      <c r="E112" s="21" t="str">
        <f>IF(ISERROR(LEFT('Describe baseline'!F114,'OUTPUT-all'!J112-2)),"",LEFT('Describe baseline'!F114,'OUTPUT-all'!J112-2))</f>
        <v/>
      </c>
      <c r="F112" s="21" t="str">
        <f>IF(ISERROR(LEFT('Describe baseline'!G114,'OUTPUT-all'!K112-2)),"",LEFT('Describe baseline'!G114,'OUTPUT-all'!K112-2))</f>
        <v/>
      </c>
      <c r="G112" s="21" t="str">
        <f>IF(ISERROR(LEFT('Describe baseline'!H114,'OUTPUT-all'!L112-1)),"",LEFT('Describe baseline'!H114,'OUTPUT-all'!L112-1))</f>
        <v/>
      </c>
      <c r="H112" s="374" t="str">
        <f>IF(ISERROR(LEFT(Jobs!F9,'OUTPUT-all'!M112-1)),"",LEFT(Jobs!F9,'OUTPUT-all'!M112-1))</f>
        <v>High</v>
      </c>
      <c r="I112" s="101">
        <f>IF(Jobs!C9="Enter leakage",IF(D112="Neutral","Not relevant","Qualitative"),ROUND(Jobs!D9,3-LEN(INT(Jobs!D9))))</f>
        <v>0</v>
      </c>
      <c r="J112" s="154" t="e">
        <f>FIND("(",'Describe baseline'!F114)</f>
        <v>#VALUE!</v>
      </c>
      <c r="K112" s="154" t="e">
        <f>FIND("(",'Describe baseline'!G114)</f>
        <v>#VALUE!</v>
      </c>
      <c r="L112" s="154" t="e">
        <f>FIND(":",'Describe baseline'!H114)</f>
        <v>#VALUE!</v>
      </c>
      <c r="M112" s="154">
        <f>FIND(":",Jobs!F9)</f>
        <v>5</v>
      </c>
      <c r="N112" s="19" t="s">
        <v>184</v>
      </c>
      <c r="O112" s="149" t="str">
        <f>IF('Identify beneficiaries'!E82="Y",IF(OR($I112="Qualitative",$I112="Not relevant"),$I112,$I112/'Identify beneficiaries'!$L82),"")</f>
        <v/>
      </c>
      <c r="P112" s="149">
        <f>IF('Identify beneficiaries'!F82="Y",IF(OR($I112="Qualitative",$I112="Not relevant"),$I112,$I112/'Identify beneficiaries'!$L82),"")</f>
        <v>0</v>
      </c>
      <c r="Q112" s="149" t="str">
        <f>IF('Identify beneficiaries'!G82="Y",IF(OR($I112="Qualitative",$I112="Not relevant"),$I112,$I112/'Identify beneficiaries'!$L82),"")</f>
        <v/>
      </c>
      <c r="R112" s="149">
        <f>IF('Identify beneficiaries'!H82="Y",IF(OR($I112="Qualitative",$I112="Not relevant"),$I112,$I112/'Identify beneficiaries'!$L82),"")</f>
        <v>0</v>
      </c>
      <c r="S112" s="149" t="str">
        <f>IF('Identify beneficiaries'!I82="Y",IF(OR($I112="Qualitative",$I112="Not relevant"),$I112,$I112/'Identify beneficiaries'!$L82),"")</f>
        <v/>
      </c>
      <c r="T112" s="149" t="str">
        <f>IF('Identify beneficiaries'!J82="Y",IF(OR($I112="Qualitative",$I112="Not relevant"),$I112,$I112/'Identify beneficiaries'!$L82),"")</f>
        <v/>
      </c>
      <c r="U112" s="149">
        <f>IF('Identify beneficiaries'!K82="Y",IF(OR($I112="Qualitative",$I112="Not relevant"),$I112,$I112/'Identify beneficiaries'!$L82),"")</f>
        <v>0</v>
      </c>
      <c r="V112" s="149" t="str">
        <f>IF('Identify beneficiaries'!L82="Y",IF(OR($I112="Qualitative",$I112="Not relevant"),$I112,$I112/'Identify beneficiaries'!$L82),"")</f>
        <v/>
      </c>
      <c r="X112" s="14" t="str">
        <f t="shared" si="6"/>
        <v/>
      </c>
      <c r="Y112" s="14" t="str">
        <f t="shared" si="7"/>
        <v/>
      </c>
    </row>
    <row r="113" spans="1:25" ht="39" thickBot="1">
      <c r="A113" s="681"/>
      <c r="B113" s="683"/>
      <c r="C113" s="32" t="s">
        <v>54</v>
      </c>
      <c r="D113" s="33">
        <f>IF('Describe baseline'!E115="-","+",IF('Describe baseline'!E115="+","-",'Describe baseline'!E115))</f>
        <v>0</v>
      </c>
      <c r="E113" s="33" t="str">
        <f>IF(ISERROR(LEFT('Describe baseline'!F115,'OUTPUT-all'!J113-2)),"",LEFT('Describe baseline'!F115,'OUTPUT-all'!J113-2))</f>
        <v/>
      </c>
      <c r="F113" s="33" t="str">
        <f>IF(ISERROR(LEFT('Describe baseline'!G115,'OUTPUT-all'!K113-2)),"",LEFT('Describe baseline'!G115,'OUTPUT-all'!K113-2))</f>
        <v/>
      </c>
      <c r="G113" s="33" t="str">
        <f>IF(ISERROR(LEFT('Describe baseline'!H115,'OUTPUT-all'!L113-1)),"",LEFT('Describe baseline'!H115,'OUTPUT-all'!L113-1))</f>
        <v/>
      </c>
      <c r="H113" s="374" t="str">
        <f>IF(ISERROR(LEFT(Jobs!F15,'OUTPUT-all'!M113-1)),"",LEFT(Jobs!F15,'OUTPUT-all'!M113-1))</f>
        <v>High</v>
      </c>
      <c r="I113" s="155">
        <f>IF(Jobs!C15="Enter leakage",IF(D113="Neutral","Not relevant","Qualitative"),IF(D113="-",ROUND(Jobs!D15,0)*-1,ROUND(Jobs!D15,0)))</f>
        <v>0</v>
      </c>
      <c r="J113" s="154" t="e">
        <f>FIND("(",'Describe baseline'!F115)</f>
        <v>#VALUE!</v>
      </c>
      <c r="K113" s="154" t="e">
        <f>FIND("(",'Describe baseline'!G115)</f>
        <v>#VALUE!</v>
      </c>
      <c r="L113" s="154" t="e">
        <f>FIND(":",'Describe baseline'!H115)</f>
        <v>#VALUE!</v>
      </c>
      <c r="M113" s="154">
        <f>FIND(":",Jobs!F15)</f>
        <v>5</v>
      </c>
      <c r="N113" s="62" t="s">
        <v>185</v>
      </c>
      <c r="O113" s="150"/>
      <c r="P113" s="150"/>
      <c r="Q113" s="150"/>
      <c r="R113" s="150"/>
      <c r="S113" s="150"/>
      <c r="T113" s="150"/>
      <c r="U113" s="150"/>
      <c r="V113" s="150"/>
      <c r="X113" s="14" t="str">
        <f t="shared" si="6"/>
        <v/>
      </c>
      <c r="Y113" s="14" t="str">
        <f t="shared" si="7"/>
        <v/>
      </c>
    </row>
    <row r="115" spans="4:22" ht="15">
      <c r="D115" s="14" t="s">
        <v>217</v>
      </c>
      <c r="I115" s="14"/>
      <c r="J115" s="14"/>
      <c r="K115" s="14"/>
      <c r="L115" s="14"/>
      <c r="M115" s="14"/>
      <c r="V115" s="14"/>
    </row>
    <row r="116" spans="4:22" ht="114.75">
      <c r="D116" s="145" t="s">
        <v>223</v>
      </c>
      <c r="E116" s="140" t="s">
        <v>219</v>
      </c>
      <c r="F116" s="140" t="s">
        <v>580</v>
      </c>
      <c r="G116" s="272" t="s">
        <v>808</v>
      </c>
      <c r="H116" s="373" t="s">
        <v>814</v>
      </c>
      <c r="I116" s="14"/>
      <c r="J116" s="14"/>
      <c r="K116" s="14"/>
      <c r="L116" s="14"/>
      <c r="M116" s="14"/>
      <c r="V116" s="14"/>
    </row>
    <row r="117" spans="4:22" ht="114.75">
      <c r="D117" s="145" t="s">
        <v>224</v>
      </c>
      <c r="E117" s="140" t="s">
        <v>220</v>
      </c>
      <c r="F117" s="140" t="s">
        <v>222</v>
      </c>
      <c r="G117" s="272" t="s">
        <v>807</v>
      </c>
      <c r="H117" s="373" t="s">
        <v>813</v>
      </c>
      <c r="I117" s="14"/>
      <c r="J117" s="14"/>
      <c r="K117" s="14"/>
      <c r="L117" s="14"/>
      <c r="M117" s="14"/>
      <c r="V117" s="14"/>
    </row>
    <row r="118" spans="4:22" ht="127.5">
      <c r="D118" s="145" t="s">
        <v>225</v>
      </c>
      <c r="E118" s="140" t="s">
        <v>221</v>
      </c>
      <c r="F118" s="140" t="s">
        <v>247</v>
      </c>
      <c r="G118" s="272" t="s">
        <v>806</v>
      </c>
      <c r="H118" s="370" t="s">
        <v>812</v>
      </c>
      <c r="I118" s="14"/>
      <c r="J118" s="14"/>
      <c r="K118" s="14"/>
      <c r="L118" s="14"/>
      <c r="M118" s="14"/>
      <c r="V118" s="14"/>
    </row>
    <row r="119" spans="4:22" ht="89.25">
      <c r="D119" s="145" t="s">
        <v>226</v>
      </c>
      <c r="F119" s="144" t="s">
        <v>218</v>
      </c>
      <c r="G119" s="144"/>
      <c r="H119" s="373"/>
      <c r="I119" s="14"/>
      <c r="J119" s="14"/>
      <c r="K119" s="14"/>
      <c r="L119" s="14"/>
      <c r="M119" s="14"/>
      <c r="V119" s="14"/>
    </row>
  </sheetData>
  <sheetProtection sheet="1" objects="1" scenarios="1"/>
  <mergeCells count="106">
    <mergeCell ref="G93:G105"/>
    <mergeCell ref="H5:H9"/>
    <mergeCell ref="C42:C43"/>
    <mergeCell ref="D42:D43"/>
    <mergeCell ref="E42:E43"/>
    <mergeCell ref="F42:F43"/>
    <mergeCell ref="G42:G43"/>
    <mergeCell ref="G5:G9"/>
    <mergeCell ref="G18:G23"/>
    <mergeCell ref="G26:G27"/>
    <mergeCell ref="G30:G34"/>
    <mergeCell ref="G37:G41"/>
    <mergeCell ref="C93:C105"/>
    <mergeCell ref="C65:C66"/>
    <mergeCell ref="E5:E9"/>
    <mergeCell ref="F5:F9"/>
    <mergeCell ref="E18:E23"/>
    <mergeCell ref="F18:F23"/>
    <mergeCell ref="E26:E27"/>
    <mergeCell ref="F26:F27"/>
    <mergeCell ref="E30:E34"/>
    <mergeCell ref="F30:F34"/>
    <mergeCell ref="E73:E75"/>
    <mergeCell ref="F73:F75"/>
    <mergeCell ref="A108:A110"/>
    <mergeCell ref="B108:B110"/>
    <mergeCell ref="A111:A113"/>
    <mergeCell ref="B111:B113"/>
    <mergeCell ref="A4:B4"/>
    <mergeCell ref="A51:B51"/>
    <mergeCell ref="A72:B72"/>
    <mergeCell ref="A90:A92"/>
    <mergeCell ref="B90:B92"/>
    <mergeCell ref="A93:A107"/>
    <mergeCell ref="B93:B107"/>
    <mergeCell ref="A81:A83"/>
    <mergeCell ref="B81:B83"/>
    <mergeCell ref="A84:A86"/>
    <mergeCell ref="B84:B86"/>
    <mergeCell ref="A87:A89"/>
    <mergeCell ref="B87:B89"/>
    <mergeCell ref="A65:A68"/>
    <mergeCell ref="B65:B68"/>
    <mergeCell ref="A69:A71"/>
    <mergeCell ref="B69:B71"/>
    <mergeCell ref="A78:A80"/>
    <mergeCell ref="B78:B80"/>
    <mergeCell ref="B56:B58"/>
    <mergeCell ref="D5:D9"/>
    <mergeCell ref="D18:D23"/>
    <mergeCell ref="D26:D27"/>
    <mergeCell ref="D30:D34"/>
    <mergeCell ref="A59:A61"/>
    <mergeCell ref="B59:B61"/>
    <mergeCell ref="A62:A64"/>
    <mergeCell ref="B62:B64"/>
    <mergeCell ref="B26:B29"/>
    <mergeCell ref="C26:C27"/>
    <mergeCell ref="B30:B36"/>
    <mergeCell ref="A5:A11"/>
    <mergeCell ref="B5:B11"/>
    <mergeCell ref="C5:C9"/>
    <mergeCell ref="C18:C23"/>
    <mergeCell ref="B12:B14"/>
    <mergeCell ref="B15:B17"/>
    <mergeCell ref="B18:B25"/>
    <mergeCell ref="A12:A44"/>
    <mergeCell ref="C30:C34"/>
    <mergeCell ref="B37:B44"/>
    <mergeCell ref="C37:C41"/>
    <mergeCell ref="A48:A50"/>
    <mergeCell ref="B48:B50"/>
    <mergeCell ref="G73:G75"/>
    <mergeCell ref="A73:A77"/>
    <mergeCell ref="B73:B77"/>
    <mergeCell ref="C73:C75"/>
    <mergeCell ref="B45:B47"/>
    <mergeCell ref="A45:A47"/>
    <mergeCell ref="A52:A55"/>
    <mergeCell ref="B52:B55"/>
    <mergeCell ref="A56:A58"/>
    <mergeCell ref="C52:C53"/>
    <mergeCell ref="O3:R3"/>
    <mergeCell ref="I1:N1"/>
    <mergeCell ref="I93:I105"/>
    <mergeCell ref="D93:D105"/>
    <mergeCell ref="E93:E105"/>
    <mergeCell ref="F93:F105"/>
    <mergeCell ref="I5:I9"/>
    <mergeCell ref="I18:I23"/>
    <mergeCell ref="I26:I27"/>
    <mergeCell ref="I30:I34"/>
    <mergeCell ref="I52:I53"/>
    <mergeCell ref="D65:D66"/>
    <mergeCell ref="E65:E66"/>
    <mergeCell ref="F65:F66"/>
    <mergeCell ref="D73:D75"/>
    <mergeCell ref="I73:I75"/>
    <mergeCell ref="D37:D41"/>
    <mergeCell ref="E37:E41"/>
    <mergeCell ref="F37:F41"/>
    <mergeCell ref="D52:D53"/>
    <mergeCell ref="E52:E53"/>
    <mergeCell ref="F52:F53"/>
    <mergeCell ref="G52:G53"/>
    <mergeCell ref="G65:G66"/>
  </mergeCells>
  <conditionalFormatting sqref="O1:U2 O114:U1048576 O62:V63 O107:V108 O89:V90 O84:V84 O81:V81 O77:V78 O112:V113 V5:V9 O72:V75 O4:U4 O3 S3:U3 V12 O19:V48 O51:V56 O59:V60 O87:V87 O93:V105 O65:V70 V14:V18">
    <cfRule type="cellIs" priority="7" dxfId="2" operator="lessThan">
      <formula>-0.1</formula>
    </cfRule>
    <cfRule type="cellIs" priority="8" dxfId="8" operator="greaterThan">
      <formula>0.1</formula>
    </cfRule>
  </conditionalFormatting>
  <conditionalFormatting sqref="O1:U2 O114:U1048576 O4:U4 O3 S3:U3 O19:V113 V5:V18">
    <cfRule type="cellIs" priority="4" dxfId="7" operator="greaterThan">
      <formula>1000000000</formula>
    </cfRule>
  </conditionalFormatting>
  <conditionalFormatting sqref="O12:U12 O5:U9 O14:U18">
    <cfRule type="cellIs" priority="2" dxfId="2" operator="lessThan">
      <formula>-0.1</formula>
    </cfRule>
    <cfRule type="cellIs" priority="3" dxfId="8" operator="greaterThan">
      <formula>0.1</formula>
    </cfRule>
  </conditionalFormatting>
  <conditionalFormatting sqref="O5:U18">
    <cfRule type="cellIs" priority="1" dxfId="7" operator="greaterThan">
      <formula>1000000000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70"/>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Y119"/>
  <sheetViews>
    <sheetView zoomScale="85" zoomScaleNormal="85" workbookViewId="0" topLeftCell="A1"/>
  </sheetViews>
  <sheetFormatPr defaultColWidth="9.140625" defaultRowHeight="15"/>
  <cols>
    <col min="1" max="1" width="18.7109375" style="14" customWidth="1"/>
    <col min="2" max="2" width="19.8515625" style="14" customWidth="1"/>
    <col min="3" max="3" width="9.140625" style="14" customWidth="1"/>
    <col min="4" max="4" width="11.28125" style="140" customWidth="1"/>
    <col min="5" max="5" width="12.8515625" style="140" customWidth="1"/>
    <col min="6" max="6" width="13.57421875" style="140" customWidth="1"/>
    <col min="7" max="7" width="13.8515625" style="140" customWidth="1"/>
    <col min="8" max="8" width="11.8515625" style="370" customWidth="1"/>
    <col min="9" max="9" width="15.7109375" style="141" customWidth="1"/>
    <col min="10" max="13" width="19.28125" style="152" hidden="1" customWidth="1"/>
    <col min="14" max="14" width="20.140625" style="14" customWidth="1"/>
    <col min="15" max="15" width="11.421875" style="14" customWidth="1"/>
    <col min="16" max="16" width="11.57421875" style="14" customWidth="1"/>
    <col min="17" max="17" width="11.8515625" style="14" customWidth="1"/>
    <col min="18" max="18" width="11.7109375" style="14" customWidth="1"/>
    <col min="19" max="19" width="11.28125" style="14" customWidth="1"/>
    <col min="20" max="20" width="11.7109375" style="14" customWidth="1"/>
    <col min="21" max="21" width="11.140625" style="14" customWidth="1"/>
    <col min="22" max="22" width="11.8515625" style="291" customWidth="1"/>
    <col min="23" max="23" width="9.140625" style="14" customWidth="1"/>
    <col min="24" max="25" width="9.140625" style="14" hidden="1" customWidth="1"/>
    <col min="26" max="16384" width="9.140625" style="14" customWidth="1"/>
  </cols>
  <sheetData>
    <row r="1" spans="1:14" ht="91.5" customHeight="1" thickBot="1">
      <c r="A1" s="14" t="s">
        <v>39</v>
      </c>
      <c r="B1" s="14">
        <f>'Summary of area'!C3</f>
        <v>0</v>
      </c>
      <c r="E1" s="14"/>
      <c r="F1" s="14"/>
      <c r="G1" s="14"/>
      <c r="I1" s="647" t="s">
        <v>787</v>
      </c>
      <c r="J1" s="648"/>
      <c r="K1" s="648"/>
      <c r="L1" s="648"/>
      <c r="M1" s="648"/>
      <c r="N1" s="649"/>
    </row>
    <row r="2" spans="1:14" ht="51.75" thickBot="1">
      <c r="A2" s="473" t="s">
        <v>17</v>
      </c>
      <c r="E2" s="14"/>
      <c r="F2" s="14"/>
      <c r="G2" s="14"/>
      <c r="I2" s="95" t="s">
        <v>898</v>
      </c>
      <c r="J2" s="153"/>
      <c r="K2" s="153"/>
      <c r="L2" s="153"/>
      <c r="M2" s="153"/>
      <c r="N2" s="144" t="s">
        <v>899</v>
      </c>
    </row>
    <row r="3" spans="1:18" ht="54" customHeight="1">
      <c r="A3" s="474"/>
      <c r="E3" s="14"/>
      <c r="F3" s="14"/>
      <c r="G3" s="14"/>
      <c r="I3" s="95">
        <f>ROUND(SUM(O:U),3-LEN(INT((SUM(O:U)))))</f>
        <v>0</v>
      </c>
      <c r="J3" s="153"/>
      <c r="K3" s="153"/>
      <c r="L3" s="153"/>
      <c r="M3" s="153"/>
      <c r="N3" s="340">
        <f>ROUND(SUM(Sheet1!$G$20:$AI$20),1-LEN(INT(Sheet1!$G$20:$AI$20)))</f>
        <v>0</v>
      </c>
      <c r="O3" s="645" t="str">
        <f>"Benefits for "&amp;'Summary of area'!C3&amp;" only.  It is not appropriate to add benefits from IDBs as this is likely to significantly under-estimate cumulative benefits"</f>
        <v>Benefits for  only.  It is not appropriate to add benefits from IDBs as this is likely to significantly under-estimate cumulative benefits</v>
      </c>
      <c r="P3" s="646"/>
      <c r="Q3" s="646"/>
      <c r="R3" s="646"/>
    </row>
    <row r="4" spans="1:22" ht="39.75" thickBot="1">
      <c r="A4" s="684" t="s">
        <v>0</v>
      </c>
      <c r="B4" s="685"/>
      <c r="D4" s="140" t="s">
        <v>140</v>
      </c>
      <c r="E4" s="140" t="s">
        <v>141</v>
      </c>
      <c r="F4" s="140" t="s">
        <v>142</v>
      </c>
      <c r="G4" s="140" t="s">
        <v>809</v>
      </c>
      <c r="H4" s="370" t="s">
        <v>810</v>
      </c>
      <c r="I4" s="141" t="s">
        <v>143</v>
      </c>
      <c r="N4" s="339" t="s">
        <v>144</v>
      </c>
      <c r="O4" s="151" t="s">
        <v>186</v>
      </c>
      <c r="P4" s="151" t="s">
        <v>187</v>
      </c>
      <c r="Q4" s="151" t="s">
        <v>192</v>
      </c>
      <c r="R4" s="151" t="s">
        <v>188</v>
      </c>
      <c r="S4" s="151" t="s">
        <v>189</v>
      </c>
      <c r="T4" s="151" t="s">
        <v>172</v>
      </c>
      <c r="U4" s="151" t="s">
        <v>191</v>
      </c>
      <c r="V4" s="291" t="s">
        <v>626</v>
      </c>
    </row>
    <row r="5" spans="1:25" ht="13.5" thickBot="1">
      <c r="A5" s="606" t="s">
        <v>1</v>
      </c>
      <c r="B5" s="608" t="s">
        <v>19</v>
      </c>
      <c r="C5" s="608" t="s">
        <v>52</v>
      </c>
      <c r="D5" s="663">
        <f>IF('Describe baseline'!E5="-","+",IF('Describe baseline'!E5="+","-",'Describe baseline'!E5))</f>
        <v>0</v>
      </c>
      <c r="E5" s="663" t="str">
        <f>IF(ISERROR(LEFT('Describe baseline'!F5,'OUTPUT-all'!J5-2)),"",LEFT('Describe baseline'!F5,'OUTPUT-all'!J5-2))</f>
        <v/>
      </c>
      <c r="F5" s="663" t="str">
        <f>IF(ISERROR(LEFT('Describe baseline'!G5,'OUTPUT-all'!K5-2)),"",LEFT('Describe baseline'!G5,'OUTPUT-all'!K5-2))</f>
        <v/>
      </c>
      <c r="G5" s="663" t="str">
        <f>IF(ISERROR(LEFT('Describe baseline'!H5,'OUTPUT-all'!L5-2)),"",LEFT('Describe baseline'!H5,'OUTPUT-all'!L5-1))</f>
        <v/>
      </c>
      <c r="H5" s="663" t="str">
        <f>IF(ISERROR(LEFT(Carbon!H33,'OUTPUT-all'!M5-2)),"",LEFT(Carbon!H33,'OUTPUT-all'!M5-1))</f>
        <v>High</v>
      </c>
      <c r="I5" s="658" t="str">
        <f>IF(Carbon!C33="Enter ha",IF(D5="Neutral","Not relevant","Qualitative"),ROUND(Carbon!F33,3-LEN(INT(Carbon!F33))))</f>
        <v>Qualitative</v>
      </c>
      <c r="J5" s="154" t="e">
        <f>FIND("(",'Describe baseline'!F5)</f>
        <v>#VALUE!</v>
      </c>
      <c r="K5" s="154" t="e">
        <f>FIND("(",'Describe baseline'!G5)</f>
        <v>#VALUE!</v>
      </c>
      <c r="L5" s="154" t="e">
        <f>FIND(":",'Describe baseline'!H5)</f>
        <v>#VALUE!</v>
      </c>
      <c r="M5" s="154">
        <f>FIND(":",Carbon!H33)</f>
        <v>5</v>
      </c>
      <c r="N5" s="61" t="s">
        <v>145</v>
      </c>
      <c r="O5" s="147" t="str">
        <f>IF('Identify beneficiaries'!E5="Y",IF(OR($I5="Qualitative",$I5="Not relevant"),$I5,ROUND($I5*'Summary of area'!$E$31/'Identify beneficiaries'!$L5,3-LEN(INT($I5*'Summary of area'!$E$31/'Identify beneficiaries'!$L5)))),"")</f>
        <v/>
      </c>
      <c r="P5" s="147" t="str">
        <f>IF('Identify beneficiaries'!F5="Y",IF(OR($I5="Qualitative",$I5="Not relevant"),$I5,ROUND($I5*'Summary of area'!$E$31/'Identify beneficiaries'!$L5,3-LEN(INT($I5*'Summary of area'!$E$31/'Identify beneficiaries'!$L5)))),"")</f>
        <v/>
      </c>
      <c r="Q5" s="147" t="str">
        <f>IF('Identify beneficiaries'!G5="Y",IF(OR($I5="Qualitative",$I5="Not relevant"),$I5,ROUND($I5*'Summary of area'!$E$31/'Identify beneficiaries'!$L5,3-LEN(INT($I5*'Summary of area'!$E$31/'Identify beneficiaries'!$L5)))),"")</f>
        <v/>
      </c>
      <c r="R5" s="147" t="str">
        <f>IF('Identify beneficiaries'!H5="Y",IF(OR($I5="Qualitative",$I5="Not relevant"),$I5,ROUND($I5*'Summary of area'!$E$31/'Identify beneficiaries'!$L5,3-LEN(INT($I5*'Summary of area'!$E$31/'Identify beneficiaries'!$L5)))),"")</f>
        <v/>
      </c>
      <c r="S5" s="147" t="str">
        <f>IF('Identify beneficiaries'!I5="Y",IF(OR($I5="Qualitative",$I5="Not relevant"),$I5,ROUND($I5*'Summary of area'!$E$31/'Identify beneficiaries'!$L5,3-LEN(INT($I5*'Summary of area'!$E$31/'Identify beneficiaries'!$L5)))),"")</f>
        <v/>
      </c>
      <c r="T5" s="147" t="str">
        <f>IF('Identify beneficiaries'!J5="Y",IF(OR($I5="Qualitative",$I5="Not relevant"),$I5,ROUND($I5*'Summary of area'!$E$31/'Identify beneficiaries'!$L5,3-LEN(INT($I5*'Summary of area'!$E$31/'Identify beneficiaries'!$L5)))),"")</f>
        <v>Qualitative</v>
      </c>
      <c r="U5" s="147" t="str">
        <f>IF('Identify beneficiaries'!K5="Y",IF(OR($I5="Qualitative",$I5="Not relevant"),$I5,ROUND($I5*'Summary of area'!$E$31/'Identify beneficiaries'!$L5,3-LEN(INT($I5*'Summary of area'!$E$31/'Identify beneficiaries'!$L5)))),"")</f>
        <v/>
      </c>
      <c r="V5" s="147" t="str">
        <f>IF(OR(I5="Qualitative",I5="Not relevant"),I5,ROUND(I5*'Summary of area'!$D$31,3-LEN(INT(I5*'Summary of area'!$D$31))))</f>
        <v>Qualitative</v>
      </c>
      <c r="X5" s="14" t="str">
        <f aca="true" t="shared" si="0" ref="X5:X42">IF(I5="Qualitative",E5,"")</f>
        <v/>
      </c>
      <c r="Y5" s="14" t="str">
        <f aca="true" t="shared" si="1" ref="Y5:Y42">IF(I5="Qualitative",F5,"")</f>
        <v/>
      </c>
    </row>
    <row r="6" spans="1:25" ht="13.5" customHeight="1" hidden="1" thickBot="1">
      <c r="A6" s="673"/>
      <c r="B6" s="675"/>
      <c r="C6" s="675"/>
      <c r="D6" s="671">
        <f>IF('Describe baseline'!E6="-","+",IF('Describe baseline'!E6="+","-",'Describe baseline'!E6))</f>
        <v>0</v>
      </c>
      <c r="E6" s="671" t="str">
        <f>IF(ISERROR(LEFT('Describe baseline'!F6,#REF!-2)),"",LEFT('Describe baseline'!F6,#REF!-2))</f>
        <v/>
      </c>
      <c r="F6" s="671" t="str">
        <f>IF(ISERROR(LEFT('Describe baseline'!G6,#REF!-2)),"",LEFT('Describe baseline'!G6,#REF!-2))</f>
        <v/>
      </c>
      <c r="G6" s="671" t="str">
        <f>IF(ISERROR(LEFT('Describe baseline'!H6,#REF!-2)),"",LEFT('Describe baseline'!H6,#REF!-2))</f>
        <v/>
      </c>
      <c r="H6" s="671" t="str">
        <f>IF(ISERROR(LEFT('Describe baseline'!I6,#REF!-2)),"",LEFT('Describe baseline'!I6,#REF!-2))</f>
        <v/>
      </c>
      <c r="I6" s="659"/>
      <c r="J6" s="154" t="e">
        <f>FIND("(",'Describe baseline'!F6)</f>
        <v>#VALUE!</v>
      </c>
      <c r="K6" s="154" t="e">
        <f>FIND("(",'Describe baseline'!G6)</f>
        <v>#VALUE!</v>
      </c>
      <c r="L6" s="154" t="e">
        <f>FIND(":",'Describe baseline'!H6)</f>
        <v>#VALUE!</v>
      </c>
      <c r="M6" s="364"/>
      <c r="N6" s="148"/>
      <c r="O6" s="148"/>
      <c r="P6" s="148"/>
      <c r="Q6" s="148"/>
      <c r="R6" s="148"/>
      <c r="S6" s="148"/>
      <c r="T6" s="148"/>
      <c r="U6" s="148"/>
      <c r="V6" s="148"/>
      <c r="X6" s="14" t="str">
        <f t="shared" si="0"/>
        <v/>
      </c>
      <c r="Y6" s="14" t="str">
        <f t="shared" si="1"/>
        <v/>
      </c>
    </row>
    <row r="7" spans="1:25" ht="13.5" customHeight="1" hidden="1" thickBot="1">
      <c r="A7" s="673"/>
      <c r="B7" s="675"/>
      <c r="C7" s="675"/>
      <c r="D7" s="671">
        <f>IF('Describe baseline'!E7="-","+",IF('Describe baseline'!E7="+","-",'Describe baseline'!E7))</f>
        <v>0</v>
      </c>
      <c r="E7" s="671" t="str">
        <f>IF(ISERROR(LEFT('Describe baseline'!F7,#REF!-2)),"",LEFT('Describe baseline'!F7,#REF!-2))</f>
        <v/>
      </c>
      <c r="F7" s="671" t="str">
        <f>IF(ISERROR(LEFT('Describe baseline'!G7,#REF!-2)),"",LEFT('Describe baseline'!G7,#REF!-2))</f>
        <v/>
      </c>
      <c r="G7" s="671" t="str">
        <f>IF(ISERROR(LEFT('Describe baseline'!H7,#REF!-2)),"",LEFT('Describe baseline'!H7,#REF!-2))</f>
        <v/>
      </c>
      <c r="H7" s="671" t="str">
        <f>IF(ISERROR(LEFT('Describe baseline'!I7,#REF!-2)),"",LEFT('Describe baseline'!I7,#REF!-2))</f>
        <v/>
      </c>
      <c r="I7" s="659"/>
      <c r="J7" s="154" t="e">
        <f>FIND("(",'Describe baseline'!F7)</f>
        <v>#VALUE!</v>
      </c>
      <c r="K7" s="154" t="e">
        <f>FIND("(",'Describe baseline'!G7)</f>
        <v>#VALUE!</v>
      </c>
      <c r="L7" s="154" t="e">
        <f>FIND(":",'Describe baseline'!H7)</f>
        <v>#VALUE!</v>
      </c>
      <c r="M7" s="364"/>
      <c r="N7" s="148"/>
      <c r="O7" s="148"/>
      <c r="P7" s="148"/>
      <c r="Q7" s="148"/>
      <c r="R7" s="148"/>
      <c r="S7" s="148"/>
      <c r="T7" s="148"/>
      <c r="U7" s="148"/>
      <c r="V7" s="148"/>
      <c r="X7" s="14" t="str">
        <f t="shared" si="0"/>
        <v/>
      </c>
      <c r="Y7" s="14" t="str">
        <f t="shared" si="1"/>
        <v/>
      </c>
    </row>
    <row r="8" spans="1:25" ht="13.5" customHeight="1" hidden="1" thickBot="1">
      <c r="A8" s="673"/>
      <c r="B8" s="675"/>
      <c r="C8" s="675"/>
      <c r="D8" s="671">
        <f>IF('Describe baseline'!E8="-","+",IF('Describe baseline'!E8="+","-",'Describe baseline'!E8))</f>
        <v>0</v>
      </c>
      <c r="E8" s="671" t="str">
        <f>IF(ISERROR(LEFT('Describe baseline'!F8,#REF!-2)),"",LEFT('Describe baseline'!F8,#REF!-2))</f>
        <v/>
      </c>
      <c r="F8" s="671" t="str">
        <f>IF(ISERROR(LEFT('Describe baseline'!G8,#REF!-2)),"",LEFT('Describe baseline'!G8,#REF!-2))</f>
        <v/>
      </c>
      <c r="G8" s="671" t="str">
        <f>IF(ISERROR(LEFT('Describe baseline'!H8,#REF!-2)),"",LEFT('Describe baseline'!H8,#REF!-2))</f>
        <v/>
      </c>
      <c r="H8" s="671" t="str">
        <f>IF(ISERROR(LEFT('Describe baseline'!I8,#REF!-2)),"",LEFT('Describe baseline'!I8,#REF!-2))</f>
        <v/>
      </c>
      <c r="I8" s="659"/>
      <c r="J8" s="154" t="e">
        <f>FIND("(",'Describe baseline'!F8)</f>
        <v>#VALUE!</v>
      </c>
      <c r="K8" s="154" t="e">
        <f>FIND("(",'Describe baseline'!G8)</f>
        <v>#VALUE!</v>
      </c>
      <c r="L8" s="154" t="e">
        <f>FIND(":",'Describe baseline'!H8)</f>
        <v>#VALUE!</v>
      </c>
      <c r="M8" s="364"/>
      <c r="N8" s="148"/>
      <c r="O8" s="148"/>
      <c r="P8" s="148"/>
      <c r="Q8" s="148"/>
      <c r="R8" s="148"/>
      <c r="S8" s="148"/>
      <c r="T8" s="148"/>
      <c r="U8" s="148"/>
      <c r="V8" s="148"/>
      <c r="X8" s="14" t="str">
        <f t="shared" si="0"/>
        <v/>
      </c>
      <c r="Y8" s="14" t="str">
        <f t="shared" si="1"/>
        <v/>
      </c>
    </row>
    <row r="9" spans="1:25" ht="13.5" customHeight="1" hidden="1" thickBot="1">
      <c r="A9" s="673"/>
      <c r="B9" s="675"/>
      <c r="C9" s="677"/>
      <c r="D9" s="672">
        <f>IF('Describe baseline'!E9="-","+",IF('Describe baseline'!E9="+","-",'Describe baseline'!E9))</f>
        <v>0</v>
      </c>
      <c r="E9" s="672" t="str">
        <f>IF(ISERROR(LEFT('Describe baseline'!F9,#REF!-2)),"",LEFT('Describe baseline'!F9,#REF!-2))</f>
        <v/>
      </c>
      <c r="F9" s="672" t="str">
        <f>IF(ISERROR(LEFT('Describe baseline'!G9,#REF!-2)),"",LEFT('Describe baseline'!G9,#REF!-2))</f>
        <v/>
      </c>
      <c r="G9" s="672" t="str">
        <f>IF(ISERROR(LEFT('Describe baseline'!H9,#REF!-2)),"",LEFT('Describe baseline'!H9,#REF!-2))</f>
        <v/>
      </c>
      <c r="H9" s="672" t="str">
        <f>IF(ISERROR(LEFT('Describe baseline'!I9,#REF!-2)),"",LEFT('Describe baseline'!I9,#REF!-2))</f>
        <v/>
      </c>
      <c r="I9" s="660"/>
      <c r="J9" s="154" t="e">
        <f>FIND("(",'Describe baseline'!F9)</f>
        <v>#VALUE!</v>
      </c>
      <c r="K9" s="154" t="e">
        <f>FIND("(",'Describe baseline'!G9)</f>
        <v>#VALUE!</v>
      </c>
      <c r="L9" s="154" t="e">
        <f>FIND(":",'Describe baseline'!H9)</f>
        <v>#VALUE!</v>
      </c>
      <c r="M9" s="364"/>
      <c r="N9" s="148"/>
      <c r="O9" s="148"/>
      <c r="P9" s="148"/>
      <c r="Q9" s="148"/>
      <c r="R9" s="148"/>
      <c r="S9" s="148"/>
      <c r="T9" s="148"/>
      <c r="U9" s="148"/>
      <c r="V9" s="148"/>
      <c r="X9" s="14" t="str">
        <f t="shared" si="0"/>
        <v/>
      </c>
      <c r="Y9" s="14" t="str">
        <f t="shared" si="1"/>
        <v/>
      </c>
    </row>
    <row r="10" spans="1:25" ht="13.5" thickBot="1">
      <c r="A10" s="673"/>
      <c r="B10" s="675"/>
      <c r="C10" s="55" t="s">
        <v>53</v>
      </c>
      <c r="D10" s="57"/>
      <c r="E10" s="57"/>
      <c r="F10" s="57"/>
      <c r="G10" s="57"/>
      <c r="H10" s="57"/>
      <c r="I10" s="97"/>
      <c r="J10" s="154" t="e">
        <f>FIND("(",'Describe baseline'!F10)</f>
        <v>#VALUE!</v>
      </c>
      <c r="K10" s="154" t="e">
        <f>FIND("(",'Describe baseline'!G10)</f>
        <v>#VALUE!</v>
      </c>
      <c r="L10" s="154" t="e">
        <f>FIND(":",'Describe baseline'!H10)</f>
        <v>#VALUE!</v>
      </c>
      <c r="M10" s="364"/>
      <c r="N10" s="97"/>
      <c r="O10" s="97"/>
      <c r="P10" s="97"/>
      <c r="Q10" s="97"/>
      <c r="R10" s="97"/>
      <c r="S10" s="97"/>
      <c r="T10" s="97"/>
      <c r="U10" s="97"/>
      <c r="V10" s="97"/>
      <c r="X10" s="14" t="str">
        <f t="shared" si="0"/>
        <v/>
      </c>
      <c r="Y10" s="14" t="str">
        <f t="shared" si="1"/>
        <v/>
      </c>
    </row>
    <row r="11" spans="1:25" ht="13.5" thickBot="1">
      <c r="A11" s="674"/>
      <c r="B11" s="676"/>
      <c r="C11" s="58" t="s">
        <v>54</v>
      </c>
      <c r="D11" s="57"/>
      <c r="E11" s="60"/>
      <c r="F11" s="60"/>
      <c r="G11" s="60"/>
      <c r="H11" s="369"/>
      <c r="I11" s="98"/>
      <c r="J11" s="154" t="e">
        <f>FIND("(",'Describe baseline'!F11)</f>
        <v>#VALUE!</v>
      </c>
      <c r="K11" s="154" t="e">
        <f>FIND("(",'Describe baseline'!G11)</f>
        <v>#VALUE!</v>
      </c>
      <c r="L11" s="154" t="e">
        <f>FIND(":",'Describe baseline'!H11)</f>
        <v>#VALUE!</v>
      </c>
      <c r="M11" s="364"/>
      <c r="N11" s="98"/>
      <c r="O11" s="98"/>
      <c r="P11" s="98"/>
      <c r="Q11" s="98"/>
      <c r="R11" s="98"/>
      <c r="S11" s="98"/>
      <c r="T11" s="98"/>
      <c r="U11" s="98"/>
      <c r="V11" s="98"/>
      <c r="X11" s="14" t="str">
        <f t="shared" si="0"/>
        <v/>
      </c>
      <c r="Y11" s="14" t="str">
        <f t="shared" si="1"/>
        <v/>
      </c>
    </row>
    <row r="12" spans="1:25" ht="13.5" thickBot="1">
      <c r="A12" s="678" t="s">
        <v>216</v>
      </c>
      <c r="B12" s="608" t="s">
        <v>20</v>
      </c>
      <c r="C12" s="26" t="s">
        <v>52</v>
      </c>
      <c r="D12" s="27">
        <f>IF('Describe baseline'!E12="-","+",IF('Describe baseline'!E12="+","-",'Describe baseline'!E12))</f>
        <v>0</v>
      </c>
      <c r="E12" s="142" t="str">
        <f>IF(ISERROR(LEFT('Describe baseline'!F12,'OUTPUT-all'!J12-2)),"",LEFT('Describe baseline'!F12,'OUTPUT-all'!J12-2))</f>
        <v/>
      </c>
      <c r="F12" s="142" t="str">
        <f>IF(ISERROR(LEFT('Describe baseline'!G12,'OUTPUT-all'!K12-2)),"",LEFT('Describe baseline'!G12,'OUTPUT-all'!K12-2))</f>
        <v/>
      </c>
      <c r="G12" s="142" t="str">
        <f>IF(ISERROR(LEFT('Describe baseline'!H12:H16,'OUTPUT-all'!L12-1)),"",LEFT('Describe baseline'!H12:H16,'OUTPUT-all'!L12-1))</f>
        <v/>
      </c>
      <c r="H12" s="371" t="str">
        <f>IF(ISERROR(LEFT('Water levels-Residential'!K64,'OUTPUT-all'!M12-2)),"",LEFT('Water levels-Residential'!K64,'OUTPUT-all'!M12-1))</f>
        <v>High</v>
      </c>
      <c r="I12" s="368" t="str">
        <f>IF('Water levels-Residential'!D64="Enter number of properties",IF(D12="Neutral","Not relevant","Qualitative"),ROUND('Water levels-Residential'!H64,3-LEN(INT('Water levels-Residential'!H64))))</f>
        <v>Qualitative</v>
      </c>
      <c r="J12" s="154" t="e">
        <f>FIND("(",'Describe baseline'!F12)</f>
        <v>#VALUE!</v>
      </c>
      <c r="K12" s="154" t="e">
        <f>FIND("(",'Describe baseline'!G12)</f>
        <v>#VALUE!</v>
      </c>
      <c r="L12" s="154" t="e">
        <f>FIND(":",'Describe baseline'!H12)</f>
        <v>#VALUE!</v>
      </c>
      <c r="M12" s="154">
        <f>FIND(":",'Water levels-Residential'!K64)</f>
        <v>5</v>
      </c>
      <c r="N12" s="61" t="s">
        <v>146</v>
      </c>
      <c r="O12" s="147" t="str">
        <f>IF('Identify beneficiaries'!E8="Y",IF(OR($I12="Qualitative",$I12="Not relevant"),$I12,ROUND($I12*'Summary of area'!$E$32/'Identify beneficiaries'!$L8,3-LEN(INT($I12*'Summary of area'!$E$32/'Identify beneficiaries'!$L8)))),"")</f>
        <v>Qualitative</v>
      </c>
      <c r="P12" s="147" t="str">
        <f>IF('Identify beneficiaries'!F8="Y",IF(OR($I12="Qualitative",$I12="Not relevant"),$I12,ROUND($I12*'Summary of area'!$E$32/'Identify beneficiaries'!$L8,3-LEN(INT($I12*'Summary of area'!$E$32/'Identify beneficiaries'!$L8)))),"")</f>
        <v/>
      </c>
      <c r="Q12" s="147" t="str">
        <f>IF('Identify beneficiaries'!G8="Y",IF(OR($I12="Qualitative",$I12="Not relevant"),$I12,ROUND($I12*'Summary of area'!$E$32/'Identify beneficiaries'!$L8,3-LEN(INT($I12*'Summary of area'!$E$32/'Identify beneficiaries'!$L8)))),"")</f>
        <v/>
      </c>
      <c r="R12" s="147" t="str">
        <f>IF('Identify beneficiaries'!H8="Y",IF(OR($I12="Qualitative",$I12="Not relevant"),$I12,ROUND($I12*'Summary of area'!$E$32/'Identify beneficiaries'!$L8,3-LEN(INT($I12*'Summary of area'!$E$32/'Identify beneficiaries'!$L8)))),"")</f>
        <v/>
      </c>
      <c r="S12" s="147" t="str">
        <f>IF('Identify beneficiaries'!I8="Y",IF(OR($I12="Qualitative",$I12="Not relevant"),$I12,ROUND($I12*'Summary of area'!$E$32/'Identify beneficiaries'!$L8,3-LEN(INT($I12*'Summary of area'!$E$32/'Identify beneficiaries'!$L8)))),"")</f>
        <v/>
      </c>
      <c r="T12" s="147" t="str">
        <f>IF('Identify beneficiaries'!J8="Y",IF(OR($I12="Qualitative",$I12="Not relevant"),$I12,ROUND($I12*'Summary of area'!$E$32/'Identify beneficiaries'!$L8,3-LEN(INT($I12*'Summary of area'!$E$32/'Identify beneficiaries'!$L8)))),"")</f>
        <v/>
      </c>
      <c r="U12" s="147" t="str">
        <f>IF('Identify beneficiaries'!K8="Y",IF(OR($I12="Qualitative",$I12="Not relevant"),$I12,ROUND($I12*'Summary of area'!$E$32/'Identify beneficiaries'!$L8,3-LEN(INT($I12*'Summary of area'!$E$32/'Identify beneficiaries'!$L8)))),"")</f>
        <v/>
      </c>
      <c r="V12" s="147" t="str">
        <f>IF(OR(I12="Qualitative",I12="Not relevant"),I12,ROUND(I12*'Summary of area'!$D$32,3-LEN(INT(I12*'Summary of area'!$D$32))))</f>
        <v>Qualitative</v>
      </c>
      <c r="X12" s="14" t="str">
        <f t="shared" si="0"/>
        <v/>
      </c>
      <c r="Y12" s="14" t="str">
        <f t="shared" si="1"/>
        <v/>
      </c>
    </row>
    <row r="13" spans="1:25" ht="13.5" thickBot="1">
      <c r="A13" s="597"/>
      <c r="B13" s="597"/>
      <c r="C13" s="55" t="s">
        <v>53</v>
      </c>
      <c r="D13" s="57"/>
      <c r="E13" s="57"/>
      <c r="F13" s="57"/>
      <c r="G13" s="57"/>
      <c r="H13" s="64"/>
      <c r="I13" s="97"/>
      <c r="J13" s="154" t="e">
        <f>FIND("(",'Describe baseline'!F13)</f>
        <v>#VALUE!</v>
      </c>
      <c r="K13" s="154" t="e">
        <f>FIND("(",'Describe baseline'!G13)</f>
        <v>#VALUE!</v>
      </c>
      <c r="L13" s="154" t="e">
        <f>FIND(":",'Describe baseline'!H13)</f>
        <v>#VALUE!</v>
      </c>
      <c r="M13" s="364"/>
      <c r="N13" s="97"/>
      <c r="O13" s="97"/>
      <c r="P13" s="97"/>
      <c r="Q13" s="97"/>
      <c r="R13" s="97"/>
      <c r="S13" s="97"/>
      <c r="T13" s="97"/>
      <c r="U13" s="97"/>
      <c r="V13" s="97"/>
      <c r="X13" s="14" t="str">
        <f t="shared" si="0"/>
        <v/>
      </c>
      <c r="Y13" s="14" t="str">
        <f t="shared" si="1"/>
        <v/>
      </c>
    </row>
    <row r="14" spans="1:25" ht="13.5" thickBot="1">
      <c r="A14" s="597"/>
      <c r="B14" s="598"/>
      <c r="C14" s="24" t="s">
        <v>54</v>
      </c>
      <c r="D14" s="481">
        <f>IF('Describe baseline'!E14="-","+",IF('Describe baseline'!E14="+","-",'Describe baseline'!E14))</f>
        <v>0</v>
      </c>
      <c r="E14" s="143" t="str">
        <f>IF(ISERROR(LEFT('Describe baseline'!F14,'OUTPUT-all'!J14-2)),"",LEFT('Describe baseline'!F14,'OUTPUT-all'!J14-2))</f>
        <v/>
      </c>
      <c r="F14" s="481" t="str">
        <f>IF(ISERROR(LEFT('Describe baseline'!G14,'OUTPUT-all'!K14-2)),"",LEFT('Describe baseline'!G14,'OUTPUT-all'!K14-2))</f>
        <v/>
      </c>
      <c r="G14" s="481" t="str">
        <f>IF(ISERROR(LEFT('Describe baseline'!H14:H18,'OUTPUT-all'!L14-1)),"",LEFT('Describe baseline'!H14:H18,'OUTPUT-all'!L14-1))</f>
        <v/>
      </c>
      <c r="H14" s="481"/>
      <c r="I14" s="94" t="str">
        <f>IF(D14="Neutral","Not relevant","Qualitative")</f>
        <v>Qualitative</v>
      </c>
      <c r="J14" s="154" t="e">
        <f>FIND("(",'Describe baseline'!F14)</f>
        <v>#VALUE!</v>
      </c>
      <c r="K14" s="154" t="e">
        <f>FIND("(",'Describe baseline'!G14)</f>
        <v>#VALUE!</v>
      </c>
      <c r="L14" s="154" t="e">
        <f>FIND(":",'Describe baseline'!H14)</f>
        <v>#VALUE!</v>
      </c>
      <c r="M14" s="364"/>
      <c r="N14" s="19" t="s">
        <v>147</v>
      </c>
      <c r="O14" s="149" t="str">
        <f>IF('Identify beneficiaries'!E10="Y",IF(OR($I14="Qualitative",$I14="Not relevant"),$I14,$I14*'Summary of area'!$C$22/'Identify beneficiaries'!$L10),"")</f>
        <v/>
      </c>
      <c r="P14" s="149" t="str">
        <f>IF('Identify beneficiaries'!F10="Y",IF(OR($I14="Qualitative",$I14="Not relevant"),$I14,$I14*'Summary of area'!$C$22/'Identify beneficiaries'!$L10),"")</f>
        <v/>
      </c>
      <c r="Q14" s="149" t="str">
        <f>IF('Identify beneficiaries'!G10="Y",IF(OR($I14="Qualitative",$I14="Not relevant"),$I14,$I14*'Summary of area'!$C$22/'Identify beneficiaries'!$L10),"")</f>
        <v/>
      </c>
      <c r="R14" s="149" t="str">
        <f>IF('Identify beneficiaries'!H10="Y",IF(OR($I14="Qualitative",$I14="Not relevant"),$I14,$I14*'Summary of area'!$C$22/'Identify beneficiaries'!$L10),"")</f>
        <v/>
      </c>
      <c r="S14" s="149" t="str">
        <f>IF('Identify beneficiaries'!I10="Y",IF(OR($I14="Qualitative",$I14="Not relevant"),$I14,$I14*'Summary of area'!$C$22/'Identify beneficiaries'!$L10),"")</f>
        <v/>
      </c>
      <c r="T14" s="149" t="str">
        <f>IF('Identify beneficiaries'!J10="Y",IF(OR($I14="Qualitative",$I14="Not relevant"),$I14,$I14*'Summary of area'!$C$22/'Identify beneficiaries'!$L10),"")</f>
        <v>Qualitative</v>
      </c>
      <c r="U14" s="149" t="str">
        <f>IF('Identify beneficiaries'!K10="Y",IF(OR($I14="Qualitative",$I14="Not relevant"),$I14,$I14*'Summary of area'!$C$22/'Identify beneficiaries'!$L10),"")</f>
        <v/>
      </c>
      <c r="V14" s="147" t="str">
        <f>IF(OR(I14="Qualitative",I14="Not relevant"),I14,ROUND(I14*'Summary of area'!$C$21,3-LEN(INT(I14*'Summary of area'!$C$21))))</f>
        <v>Qualitative</v>
      </c>
      <c r="X14" s="14" t="str">
        <f t="shared" si="0"/>
        <v/>
      </c>
      <c r="Y14" s="14" t="str">
        <f t="shared" si="1"/>
        <v/>
      </c>
    </row>
    <row r="15" spans="1:25" ht="13.5" thickBot="1">
      <c r="A15" s="597"/>
      <c r="B15" s="596" t="s">
        <v>21</v>
      </c>
      <c r="C15" s="24" t="s">
        <v>52</v>
      </c>
      <c r="D15" s="481">
        <f>IF('Describe baseline'!E15="-","+",IF('Describe baseline'!E15="+","-",'Describe baseline'!E15))</f>
        <v>0</v>
      </c>
      <c r="E15" s="143" t="str">
        <f>IF(ISERROR(LEFT('Describe baseline'!F15,'OUTPUT-all'!J15-2)),"",LEFT('Describe baseline'!F15,'OUTPUT-all'!J15-2))</f>
        <v/>
      </c>
      <c r="F15" s="481" t="str">
        <f>IF(ISERROR(LEFT('Describe baseline'!G15,'OUTPUT-all'!K15-2)),"",LEFT('Describe baseline'!G15,'OUTPUT-all'!K15-2))</f>
        <v/>
      </c>
      <c r="G15" s="481" t="str">
        <f>IF(ISERROR(LEFT('Describe baseline'!H15:H19,'OUTPUT-all'!L15-1)),"",LEFT('Describe baseline'!H15:H19,'OUTPUT-all'!L15-1))</f>
        <v/>
      </c>
      <c r="H15" s="371" t="str">
        <f>IF(ISERROR(LEFT('Water levels-Business'!K98,'OUTPUT-all'!M15-2)),"",LEFT('Water levels-Business'!K98,'OUTPUT-all'!M15-1))</f>
        <v>High</v>
      </c>
      <c r="I15" s="94" t="str">
        <f>IF('Water levels-Business'!D98="Enter number of businesses",IF(D15="Neutral","Not relevant","Qualitative"),ROUND('Water levels-Business'!H98,3-LEN(INT('Water levels-Business'!H98))))</f>
        <v>Qualitative</v>
      </c>
      <c r="J15" s="154" t="e">
        <f>FIND("(",'Describe baseline'!F15)</f>
        <v>#VALUE!</v>
      </c>
      <c r="K15" s="154" t="e">
        <f>FIND("(",'Describe baseline'!G15)</f>
        <v>#VALUE!</v>
      </c>
      <c r="L15" s="154" t="e">
        <f>FIND(":",'Describe baseline'!H15)</f>
        <v>#VALUE!</v>
      </c>
      <c r="M15" s="154">
        <f>FIND(":",'Water levels-Business'!K98)</f>
        <v>5</v>
      </c>
      <c r="N15" s="19" t="s">
        <v>148</v>
      </c>
      <c r="O15" s="149" t="str">
        <f>IF('Identify beneficiaries'!E11="Y",IF(OR($I15="Qualitative",$I15="Not relevant"),$I15,ROUND($I15*'Summary of area'!$E$33/'Identify beneficiaries'!$L11,3-LEN(INT($I15*'Summary of area'!$E$33/'Identify beneficiaries'!$L11)))),"")</f>
        <v/>
      </c>
      <c r="P15" s="149" t="str">
        <f>IF('Identify beneficiaries'!F11="Y",IF(OR($I15="Qualitative",$I15="Not relevant"),$I15,ROUND($I15*'Summary of area'!$E$33/'Identify beneficiaries'!$L11,3-LEN(INT($I15*'Summary of area'!$E$33/'Identify beneficiaries'!$L11)))),"")</f>
        <v>Qualitative</v>
      </c>
      <c r="Q15" s="149" t="str">
        <f>IF('Identify beneficiaries'!G11="Y",IF(OR($I15="Qualitative",$I15="Not relevant"),$I15,ROUND($I15*'Summary of area'!$E$33/'Identify beneficiaries'!$L11,3-LEN(INT($I15*'Summary of area'!$E$33/'Identify beneficiaries'!$L11)))),"")</f>
        <v/>
      </c>
      <c r="R15" s="149" t="str">
        <f>IF('Identify beneficiaries'!H11="Y",IF(OR($I15="Qualitative",$I15="Not relevant"),$I15,ROUND($I15*'Summary of area'!$E$33/'Identify beneficiaries'!$L11,3-LEN(INT($I15*'Summary of area'!$E$33/'Identify beneficiaries'!$L11)))),"")</f>
        <v>Qualitative</v>
      </c>
      <c r="S15" s="149" t="str">
        <f>IF('Identify beneficiaries'!I11="Y",IF(OR($I15="Qualitative",$I15="Not relevant"),$I15,ROUND($I15*'Summary of area'!$E$33/'Identify beneficiaries'!$L11,3-LEN(INT($I15*'Summary of area'!$E$33/'Identify beneficiaries'!$L11)))),"")</f>
        <v/>
      </c>
      <c r="T15" s="149" t="str">
        <f>IF('Identify beneficiaries'!J11="Y",IF(OR($I15="Qualitative",$I15="Not relevant"),$I15,ROUND($I15*'Summary of area'!$E$33/'Identify beneficiaries'!$L11,3-LEN(INT($I15*'Summary of area'!$E$33/'Identify beneficiaries'!$L11)))),"")</f>
        <v/>
      </c>
      <c r="U15" s="149" t="str">
        <f>IF('Identify beneficiaries'!K11="Y",IF(OR($I15="Qualitative",$I15="Not relevant"),$I15,ROUND($I15*'Summary of area'!$E$33/'Identify beneficiaries'!$L11,3-LEN(INT($I15*'Summary of area'!$E$33/'Identify beneficiaries'!$L11)))),"")</f>
        <v/>
      </c>
      <c r="V15" s="149" t="str">
        <f>IF(OR(I15="Qualitative",I15="Not relevant"),I15,ROUND(I15*'Summary of area'!$D$33,3-LEN(INT(I15*'Summary of area'!$D$33))))</f>
        <v>Qualitative</v>
      </c>
      <c r="X15" s="14" t="str">
        <f t="shared" si="0"/>
        <v/>
      </c>
      <c r="Y15" s="14" t="str">
        <f t="shared" si="1"/>
        <v/>
      </c>
    </row>
    <row r="16" spans="1:25" ht="39" thickBot="1">
      <c r="A16" s="597"/>
      <c r="B16" s="597"/>
      <c r="C16" s="24" t="s">
        <v>53</v>
      </c>
      <c r="D16" s="481">
        <f>IF('Describe baseline'!E16="-","+",IF('Describe baseline'!E16="+","-",'Describe baseline'!E16))</f>
        <v>0</v>
      </c>
      <c r="E16" s="143" t="str">
        <f>IF(ISERROR(LEFT('Describe baseline'!F16,'OUTPUT-all'!J16-2)),"",LEFT('Describe baseline'!F16,'OUTPUT-all'!J16-2))</f>
        <v/>
      </c>
      <c r="F16" s="481" t="str">
        <f>IF(ISERROR(LEFT('Describe baseline'!G16,'OUTPUT-all'!K16-2)),"",LEFT('Describe baseline'!G16,'OUTPUT-all'!K16-2))</f>
        <v/>
      </c>
      <c r="G16" s="481" t="str">
        <f>IF(ISERROR(LEFT('Describe baseline'!H16:H20,'OUTPUT-all'!L16-1)),"",LEFT('Describe baseline'!H16:H20,'OUTPUT-all'!L16-1))</f>
        <v/>
      </c>
      <c r="H16" s="481"/>
      <c r="I16" s="94" t="str">
        <f>IF(D16="Neutral","Not relevant","Qualitative")</f>
        <v>Qualitative</v>
      </c>
      <c r="J16" s="154" t="e">
        <f>FIND("(",'Describe baseline'!F16)</f>
        <v>#VALUE!</v>
      </c>
      <c r="K16" s="154" t="e">
        <f>FIND("(",'Describe baseline'!G16)</f>
        <v>#VALUE!</v>
      </c>
      <c r="L16" s="154" t="e">
        <f>FIND(":",'Describe baseline'!H16)</f>
        <v>#VALUE!</v>
      </c>
      <c r="M16" s="364"/>
      <c r="N16" s="19" t="s">
        <v>149</v>
      </c>
      <c r="O16" s="149" t="str">
        <f>IF('Identify beneficiaries'!E12="Y",IF(OR($I16="Qualitative",$I16="Not relevant"),$I16,$I16*'Summary of area'!$C$22/'Identify beneficiaries'!$L12),"")</f>
        <v/>
      </c>
      <c r="P16" s="149" t="str">
        <f>IF('Identify beneficiaries'!F12="Y",IF(OR($I16="Qualitative",$I16="Not relevant"),$I16,$I16*'Summary of area'!$C$22/'Identify beneficiaries'!$L12),"")</f>
        <v>Qualitative</v>
      </c>
      <c r="Q16" s="149" t="str">
        <f>IF('Identify beneficiaries'!G12="Y",IF(OR($I16="Qualitative",$I16="Not relevant"),$I16,$I16*'Summary of area'!$C$22/'Identify beneficiaries'!$L12),"")</f>
        <v/>
      </c>
      <c r="R16" s="149" t="str">
        <f>IF('Identify beneficiaries'!H12="Y",IF(OR($I16="Qualitative",$I16="Not relevant"),$I16,$I16*'Summary of area'!$C$22/'Identify beneficiaries'!$L12),"")</f>
        <v/>
      </c>
      <c r="S16" s="149" t="str">
        <f>IF('Identify beneficiaries'!I12="Y",IF(OR($I16="Qualitative",$I16="Not relevant"),$I16,$I16*'Summary of area'!$C$22/'Identify beneficiaries'!$L12),"")</f>
        <v/>
      </c>
      <c r="T16" s="149" t="str">
        <f>IF('Identify beneficiaries'!J12="Y",IF(OR($I16="Qualitative",$I16="Not relevant"),$I16,$I16*'Summary of area'!$C$22/'Identify beneficiaries'!$L12),"")</f>
        <v/>
      </c>
      <c r="U16" s="149" t="str">
        <f>IF('Identify beneficiaries'!K12="Y",IF(OR($I16="Qualitative",$I16="Not relevant"),$I16,$I16*'Summary of area'!$C$22/'Identify beneficiaries'!$L12),"")</f>
        <v>Qualitative</v>
      </c>
      <c r="V16" s="149" t="str">
        <f>IF(OR(I16="Qualitative",I16="Not relevant"),I16,ROUND(I16*'Summary of area'!$C$21,3-LEN(INT(I16*'Summary of area'!$C$21))))</f>
        <v>Qualitative</v>
      </c>
      <c r="X16" s="14" t="str">
        <f t="shared" si="0"/>
        <v/>
      </c>
      <c r="Y16" s="14" t="str">
        <f t="shared" si="1"/>
        <v/>
      </c>
    </row>
    <row r="17" spans="1:25" ht="51.75" thickBot="1">
      <c r="A17" s="597"/>
      <c r="B17" s="598"/>
      <c r="C17" s="24" t="s">
        <v>54</v>
      </c>
      <c r="D17" s="481">
        <f>IF('Describe baseline'!E17="-","+",IF('Describe baseline'!E17="+","-",'Describe baseline'!E17))</f>
        <v>0</v>
      </c>
      <c r="E17" s="143" t="str">
        <f>IF(ISERROR(LEFT('Describe baseline'!F17,'OUTPUT-all'!J17-2)),"",LEFT('Describe baseline'!F17,'OUTPUT-all'!J17-2))</f>
        <v/>
      </c>
      <c r="F17" s="481" t="str">
        <f>IF(ISERROR(LEFT('Describe baseline'!G17,'OUTPUT-all'!K17-2)),"",LEFT('Describe baseline'!G17,'OUTPUT-all'!K17-2))</f>
        <v/>
      </c>
      <c r="G17" s="481" t="str">
        <f>IF(ISERROR(LEFT('Describe baseline'!H17:H21,'OUTPUT-all'!L17-1)),"",LEFT('Describe baseline'!H17:H21,'OUTPUT-all'!L17-1))</f>
        <v/>
      </c>
      <c r="H17" s="482"/>
      <c r="I17" s="146" t="str">
        <f>IF(D17="Neutral","Not relevant","Qualitative")</f>
        <v>Qualitative</v>
      </c>
      <c r="J17" s="154" t="e">
        <f>FIND("(",'Describe baseline'!F17)</f>
        <v>#VALUE!</v>
      </c>
      <c r="K17" s="154" t="e">
        <f>FIND("(",'Describe baseline'!G17)</f>
        <v>#VALUE!</v>
      </c>
      <c r="L17" s="154" t="e">
        <f>FIND(":",'Describe baseline'!H17)</f>
        <v>#VALUE!</v>
      </c>
      <c r="M17" s="364"/>
      <c r="N17" s="19" t="s">
        <v>150</v>
      </c>
      <c r="O17" s="149" t="str">
        <f>IF('Identify beneficiaries'!E13="Y",IF(OR($I17="Qualitative",$I17="Not relevant"),$I17,$I17*'Summary of area'!$C$22/'Identify beneficiaries'!$L13),"")</f>
        <v/>
      </c>
      <c r="P17" s="149" t="str">
        <f>IF('Identify beneficiaries'!F13="Y",IF(OR($I17="Qualitative",$I17="Not relevant"),$I17,$I17*'Summary of area'!$C$22/'Identify beneficiaries'!$L13),"")</f>
        <v/>
      </c>
      <c r="Q17" s="149" t="str">
        <f>IF('Identify beneficiaries'!G13="Y",IF(OR($I17="Qualitative",$I17="Not relevant"),$I17,$I17*'Summary of area'!$C$22/'Identify beneficiaries'!$L13),"")</f>
        <v/>
      </c>
      <c r="R17" s="149" t="str">
        <f>IF('Identify beneficiaries'!H13="Y",IF(OR($I17="Qualitative",$I17="Not relevant"),$I17,$I17*'Summary of area'!$C$22/'Identify beneficiaries'!$L13),"")</f>
        <v>Qualitative</v>
      </c>
      <c r="S17" s="149" t="str">
        <f>IF('Identify beneficiaries'!I13="Y",IF(OR($I17="Qualitative",$I17="Not relevant"),$I17,$I17*'Summary of area'!$C$22/'Identify beneficiaries'!$L13),"")</f>
        <v/>
      </c>
      <c r="T17" s="149" t="str">
        <f>IF('Identify beneficiaries'!J13="Y",IF(OR($I17="Qualitative",$I17="Not relevant"),$I17,$I17*'Summary of area'!$C$22/'Identify beneficiaries'!$L13),"")</f>
        <v/>
      </c>
      <c r="U17" s="149" t="str">
        <f>IF('Identify beneficiaries'!K13="Y",IF(OR($I17="Qualitative",$I17="Not relevant"),$I17,$I17*'Summary of area'!$C$22/'Identify beneficiaries'!$L13),"")</f>
        <v>Qualitative</v>
      </c>
      <c r="V17" s="149" t="str">
        <f>IF(OR(I17="Qualitative",I17="Not relevant"),I17,ROUND(I17*'Summary of area'!$C$21,3-LEN(INT(I17*'Summary of area'!$C$21))))</f>
        <v>Qualitative</v>
      </c>
      <c r="X17" s="14" t="str">
        <f t="shared" si="0"/>
        <v/>
      </c>
      <c r="Y17" s="14" t="str">
        <f t="shared" si="1"/>
        <v/>
      </c>
    </row>
    <row r="18" spans="1:25" ht="26.25" thickBot="1">
      <c r="A18" s="597"/>
      <c r="B18" s="596" t="s">
        <v>579</v>
      </c>
      <c r="C18" s="596" t="s">
        <v>52</v>
      </c>
      <c r="D18" s="665">
        <f>IF('Describe baseline'!E18="-","+",IF('Describe baseline'!E18="+","-",'Describe baseline'!E18))</f>
        <v>0</v>
      </c>
      <c r="E18" s="668" t="str">
        <f>IF(ISERROR(LEFT('Describe baseline'!F18,'OUTPUT-all'!J18-2)),"",LEFT('Describe baseline'!F18,'OUTPUT-all'!J18-2))</f>
        <v/>
      </c>
      <c r="F18" s="665" t="str">
        <f>IF(ISERROR(LEFT('Describe baseline'!G18,'OUTPUT-all'!K18-2)),"",LEFT('Describe baseline'!G18,'OUTPUT-all'!K18-2))</f>
        <v/>
      </c>
      <c r="G18" s="665" t="str">
        <f>IF(ISERROR(LEFT('Describe baseline'!H18:H22,'OUTPUT-all'!L18-1)),"",LEFT('Describe baseline'!H18:H22,'OUTPUT-all'!L18-1))</f>
        <v/>
      </c>
      <c r="H18" s="371" t="str">
        <f>IF(ISERROR(LEFT('Water levels-Social Infra'!K180,'OUTPUT-all'!M18-2)),"",LEFT('Water levels-Social Infra'!K180,'OUTPUT-all'!M18-1))</f>
        <v>High</v>
      </c>
      <c r="I18" s="661" t="str">
        <f>IF('Water levels-Social Infra'!D180="Enter number of properties",IF(D18="Neutral","Not relevant","Qualitative"),ROUND('Water levels-Social Infra'!H180,3-LEN(INT('Water levels-Social Infra'!H180))))</f>
        <v>Qualitative</v>
      </c>
      <c r="J18" s="154" t="e">
        <f>FIND("(",'Describe baseline'!F18)</f>
        <v>#VALUE!</v>
      </c>
      <c r="K18" s="154" t="e">
        <f>FIND("(",'Describe baseline'!G18)</f>
        <v>#VALUE!</v>
      </c>
      <c r="L18" s="154" t="e">
        <f>FIND(":",'Describe baseline'!H18)</f>
        <v>#VALUE!</v>
      </c>
      <c r="M18" s="154">
        <f>FIND(":",'Water levels-Social Infra'!K180)</f>
        <v>5</v>
      </c>
      <c r="N18" s="19" t="s">
        <v>151</v>
      </c>
      <c r="O18" s="149" t="str">
        <f>IF('Identify beneficiaries'!E14="Y",IF(OR($I18="Qualitative",$I18="Not relevant"),$I18,ROUND($I18*'Summary of area'!$E$34/'Identify beneficiaries'!$L14,3-LEN(INT($I18*'Summary of area'!$E$34/'Identify beneficiaries'!$L14)))),"")</f>
        <v/>
      </c>
      <c r="P18" s="149" t="str">
        <f>IF('Identify beneficiaries'!F14="Y",IF(OR($I18="Qualitative",$I18="Not relevant"),$I18,ROUND($I18*'Summary of area'!$E$34/'Identify beneficiaries'!$L14,3-LEN(INT($I18*'Summary of area'!$E$34/'Identify beneficiaries'!$L14)))),"")</f>
        <v/>
      </c>
      <c r="Q18" s="149" t="str">
        <f>IF('Identify beneficiaries'!G14="Y",IF(OR($I18="Qualitative",$I18="Not relevant"),$I18,ROUND($I18*'Summary of area'!$E$34/'Identify beneficiaries'!$L14,3-LEN(INT($I18*'Summary of area'!$E$34/'Identify beneficiaries'!$L14)))),"")</f>
        <v/>
      </c>
      <c r="R18" s="149" t="str">
        <f>IF('Identify beneficiaries'!H14="Y",IF(OR($I18="Qualitative",$I18="Not relevant"),$I18,ROUND($I18*'Summary of area'!$E$34/'Identify beneficiaries'!$L14,3-LEN(INT($I18*'Summary of area'!$E$34/'Identify beneficiaries'!$L14)))),"")</f>
        <v>Qualitative</v>
      </c>
      <c r="S18" s="149" t="str">
        <f>IF('Identify beneficiaries'!I14="Y",IF(OR($I18="Qualitative",$I18="Not relevant"),$I18,ROUND($I18*'Summary of area'!$E$34/'Identify beneficiaries'!$L14,3-LEN(INT($I18*'Summary of area'!$E$34/'Identify beneficiaries'!$L14)))),"")</f>
        <v>Qualitative</v>
      </c>
      <c r="T18" s="149" t="str">
        <f>IF('Identify beneficiaries'!J14="Y",IF(OR($I18="Qualitative",$I18="Not relevant"),$I18,ROUND($I18*'Summary of area'!$E$34/'Identify beneficiaries'!$L14,3-LEN(INT($I18*'Summary of area'!$E$34/'Identify beneficiaries'!$L14)))),"")</f>
        <v/>
      </c>
      <c r="U18" s="149" t="str">
        <f>IF('Identify beneficiaries'!K14="Y",IF(OR($I18="Qualitative",$I18="Not relevant"),$I18,ROUND($I18*'Summary of area'!$E$34/'Identify beneficiaries'!$L14,3-LEN(INT($I18*'Summary of area'!$E$34/'Identify beneficiaries'!$L14)))),"")</f>
        <v/>
      </c>
      <c r="V18" s="149" t="str">
        <f>IF(OR(I18="Qualitative",I18="Not relevant"),I18,ROUND(I18*'Summary of area'!$D$34,3-LEN(INT(I18*'Summary of area'!$D$34))))</f>
        <v>Qualitative</v>
      </c>
      <c r="X18" s="14" t="str">
        <f t="shared" si="0"/>
        <v/>
      </c>
      <c r="Y18" s="14" t="str">
        <f t="shared" si="1"/>
        <v/>
      </c>
    </row>
    <row r="19" spans="1:25" ht="12.75" customHeight="1" hidden="1">
      <c r="A19" s="597"/>
      <c r="B19" s="602"/>
      <c r="C19" s="602"/>
      <c r="D19" s="666">
        <f>IF('Describe baseline'!E19="-","+",IF('Describe baseline'!E19="+","-",'Describe baseline'!E19))</f>
        <v>0</v>
      </c>
      <c r="E19" s="668" t="str">
        <f>IF(ISERROR(LEFT('Describe baseline'!F19,'OUTPUT-all'!J19-2)),"",LEFT('Describe baseline'!F19,'OUTPUT-all'!J19-2))</f>
        <v/>
      </c>
      <c r="F19" s="666" t="str">
        <f>IF(ISERROR(LEFT('Describe baseline'!G19:G23,'OUTPUT-all'!K19-2)),"",LEFT('Describe baseline'!G19:G23,'OUTPUT-all'!K19-2))</f>
        <v/>
      </c>
      <c r="G19" s="666" t="str">
        <f>IF(ISERROR(LEFT('Describe baseline'!H19:H23,'OUTPUT-all'!L19-2)),"",LEFT('Describe baseline'!H19:H23,'OUTPUT-all'!L19-2))</f>
        <v/>
      </c>
      <c r="H19" s="480"/>
      <c r="I19" s="662" t="e">
        <f>IF(D19="-",ROUND(#REF!,2-LEN(INT(#REF!)))*-1,ROUND(#REF!,2-LEN(INT(#REF!))))</f>
        <v>#REF!</v>
      </c>
      <c r="J19" s="154" t="e">
        <f>FIND("(",'Describe baseline'!F19)</f>
        <v>#VALUE!</v>
      </c>
      <c r="K19" s="154" t="e">
        <f>FIND("(",'Describe baseline'!G19)</f>
        <v>#VALUE!</v>
      </c>
      <c r="L19" s="154" t="e">
        <f>FIND(":",'Describe baseline'!H19)</f>
        <v>#VALUE!</v>
      </c>
      <c r="M19" s="364"/>
      <c r="N19" s="148"/>
      <c r="O19" s="149"/>
      <c r="P19" s="149"/>
      <c r="Q19" s="149"/>
      <c r="R19" s="149"/>
      <c r="S19" s="149"/>
      <c r="T19" s="149"/>
      <c r="U19" s="149"/>
      <c r="V19" s="149"/>
      <c r="X19" s="14" t="e">
        <f t="shared" si="0"/>
        <v>#REF!</v>
      </c>
      <c r="Y19" s="14" t="e">
        <f t="shared" si="1"/>
        <v>#REF!</v>
      </c>
    </row>
    <row r="20" spans="1:25" ht="12.75" customHeight="1" hidden="1">
      <c r="A20" s="597"/>
      <c r="B20" s="615"/>
      <c r="C20" s="615"/>
      <c r="D20" s="654">
        <f>IF('Describe baseline'!E20="-","+",IF('Describe baseline'!E20="+","-",'Describe baseline'!E20))</f>
        <v>0</v>
      </c>
      <c r="E20" s="668" t="str">
        <f>IF(ISERROR(LEFT('Describe baseline'!F20,'OUTPUT-all'!J20-2)),"",LEFT('Describe baseline'!F20,'OUTPUT-all'!J20-2))</f>
        <v/>
      </c>
      <c r="F20" s="654" t="str">
        <f>IF(ISERROR(LEFT('Describe baseline'!G20:G24,'OUTPUT-all'!K20-2)),"",LEFT('Describe baseline'!G20:G24,'OUTPUT-all'!K20-2))</f>
        <v/>
      </c>
      <c r="G20" s="654" t="str">
        <f>IF(ISERROR(LEFT('Describe baseline'!H20:H24,'OUTPUT-all'!L20-2)),"",LEFT('Describe baseline'!H20:H24,'OUTPUT-all'!L20-2))</f>
        <v/>
      </c>
      <c r="H20" s="476"/>
      <c r="I20" s="651" t="e">
        <f>IF(D20="-",ROUND(#REF!,2-LEN(INT(#REF!)))*-1,ROUND(#REF!,2-LEN(INT(#REF!))))</f>
        <v>#REF!</v>
      </c>
      <c r="J20" s="154" t="e">
        <f>FIND("(",'Describe baseline'!F20)</f>
        <v>#VALUE!</v>
      </c>
      <c r="K20" s="154" t="e">
        <f>FIND("(",'Describe baseline'!G20)</f>
        <v>#VALUE!</v>
      </c>
      <c r="L20" s="154" t="e">
        <f>FIND(":",'Describe baseline'!H20)</f>
        <v>#VALUE!</v>
      </c>
      <c r="M20" s="364"/>
      <c r="N20" s="148"/>
      <c r="O20" s="149"/>
      <c r="P20" s="149"/>
      <c r="Q20" s="149"/>
      <c r="R20" s="149"/>
      <c r="S20" s="149"/>
      <c r="T20" s="149"/>
      <c r="U20" s="149"/>
      <c r="V20" s="149"/>
      <c r="X20" s="14" t="e">
        <f t="shared" si="0"/>
        <v>#REF!</v>
      </c>
      <c r="Y20" s="14" t="e">
        <f t="shared" si="1"/>
        <v>#REF!</v>
      </c>
    </row>
    <row r="21" spans="1:25" ht="12.75" customHeight="1" hidden="1">
      <c r="A21" s="597"/>
      <c r="B21" s="615"/>
      <c r="C21" s="615"/>
      <c r="D21" s="654">
        <f>IF('Describe baseline'!E21="-","+",IF('Describe baseline'!E21="+","-",'Describe baseline'!E21))</f>
        <v>0</v>
      </c>
      <c r="E21" s="668" t="str">
        <f>IF(ISERROR(LEFT('Describe baseline'!F21,'OUTPUT-all'!J21-2)),"",LEFT('Describe baseline'!F21,'OUTPUT-all'!J21-2))</f>
        <v/>
      </c>
      <c r="F21" s="654" t="str">
        <f>IF(ISERROR(LEFT('Describe baseline'!G21:G25,'OUTPUT-all'!K21-2)),"",LEFT('Describe baseline'!G21:G25,'OUTPUT-all'!K21-2))</f>
        <v/>
      </c>
      <c r="G21" s="654" t="str">
        <f>IF(ISERROR(LEFT('Describe baseline'!H21:H25,'OUTPUT-all'!L21-2)),"",LEFT('Describe baseline'!H21:H25,'OUTPUT-all'!L21-2))</f>
        <v/>
      </c>
      <c r="H21" s="476"/>
      <c r="I21" s="651" t="e">
        <f>IF(D21="-",ROUND(#REF!,2-LEN(INT(#REF!)))*-1,ROUND(#REF!,2-LEN(INT(#REF!))))</f>
        <v>#REF!</v>
      </c>
      <c r="J21" s="154" t="e">
        <f>FIND("(",'Describe baseline'!F21)</f>
        <v>#VALUE!</v>
      </c>
      <c r="K21" s="154" t="e">
        <f>FIND("(",'Describe baseline'!G21)</f>
        <v>#VALUE!</v>
      </c>
      <c r="L21" s="154" t="e">
        <f>FIND(":",'Describe baseline'!H21)</f>
        <v>#VALUE!</v>
      </c>
      <c r="M21" s="364"/>
      <c r="N21" s="148"/>
      <c r="O21" s="149"/>
      <c r="P21" s="149"/>
      <c r="Q21" s="149"/>
      <c r="R21" s="149"/>
      <c r="S21" s="149"/>
      <c r="T21" s="149"/>
      <c r="U21" s="149"/>
      <c r="V21" s="149"/>
      <c r="X21" s="14" t="e">
        <f t="shared" si="0"/>
        <v>#REF!</v>
      </c>
      <c r="Y21" s="14" t="e">
        <f t="shared" si="1"/>
        <v>#REF!</v>
      </c>
    </row>
    <row r="22" spans="1:25" ht="12.75" customHeight="1" hidden="1">
      <c r="A22" s="597"/>
      <c r="B22" s="615"/>
      <c r="C22" s="615"/>
      <c r="D22" s="654">
        <f>IF('Describe baseline'!E22="-","+",IF('Describe baseline'!E22="+","-",'Describe baseline'!E22))</f>
        <v>0</v>
      </c>
      <c r="E22" s="668" t="str">
        <f>IF(ISERROR(LEFT('Describe baseline'!F22,'OUTPUT-all'!J22-2)),"",LEFT('Describe baseline'!F22,'OUTPUT-all'!J22-2))</f>
        <v/>
      </c>
      <c r="F22" s="654" t="str">
        <f>IF(ISERROR(LEFT('Describe baseline'!G22:G26,'OUTPUT-all'!K22-2)),"",LEFT('Describe baseline'!G22:G26,'OUTPUT-all'!K22-2))</f>
        <v/>
      </c>
      <c r="G22" s="654" t="str">
        <f>IF(ISERROR(LEFT('Describe baseline'!H22:H26,'OUTPUT-all'!L22-2)),"",LEFT('Describe baseline'!H22:H26,'OUTPUT-all'!L22-2))</f>
        <v/>
      </c>
      <c r="H22" s="476"/>
      <c r="I22" s="651" t="e">
        <f>IF(D22="-",ROUND(#REF!,2-LEN(INT(#REF!)))*-1,ROUND(#REF!,2-LEN(INT(#REF!))))</f>
        <v>#REF!</v>
      </c>
      <c r="J22" s="154" t="e">
        <f>FIND("(",'Describe baseline'!F22)</f>
        <v>#VALUE!</v>
      </c>
      <c r="K22" s="154" t="e">
        <f>FIND("(",'Describe baseline'!G22)</f>
        <v>#VALUE!</v>
      </c>
      <c r="L22" s="154" t="e">
        <f>FIND(":",'Describe baseline'!H22)</f>
        <v>#VALUE!</v>
      </c>
      <c r="M22" s="364"/>
      <c r="N22" s="148"/>
      <c r="O22" s="149"/>
      <c r="P22" s="149"/>
      <c r="Q22" s="149"/>
      <c r="R22" s="149"/>
      <c r="S22" s="149"/>
      <c r="T22" s="149"/>
      <c r="U22" s="149"/>
      <c r="V22" s="149"/>
      <c r="X22" s="14" t="e">
        <f t="shared" si="0"/>
        <v>#REF!</v>
      </c>
      <c r="Y22" s="14" t="e">
        <f t="shared" si="1"/>
        <v>#REF!</v>
      </c>
    </row>
    <row r="23" spans="1:25" ht="12.75" customHeight="1" hidden="1">
      <c r="A23" s="597"/>
      <c r="B23" s="615"/>
      <c r="C23" s="669"/>
      <c r="D23" s="655">
        <f>IF('Describe baseline'!E23="-","+",IF('Describe baseline'!E23="+","-",'Describe baseline'!E23))</f>
        <v>0</v>
      </c>
      <c r="E23" s="668" t="str">
        <f>IF(ISERROR(LEFT('Describe baseline'!F23,'OUTPUT-all'!J23-2)),"",LEFT('Describe baseline'!F23,'OUTPUT-all'!J23-2))</f>
        <v/>
      </c>
      <c r="F23" s="655" t="str">
        <f>IF(ISERROR(LEFT('Describe baseline'!G23:G27,'OUTPUT-all'!K23-2)),"",LEFT('Describe baseline'!G23:G27,'OUTPUT-all'!K23-2))</f>
        <v/>
      </c>
      <c r="G23" s="655" t="str">
        <f>IF(ISERROR(LEFT('Describe baseline'!H23:H27,'OUTPUT-all'!L23-2)),"",LEFT('Describe baseline'!H23:H27,'OUTPUT-all'!L23-2))</f>
        <v/>
      </c>
      <c r="H23" s="477"/>
      <c r="I23" s="652" t="e">
        <f>IF(D23="-",ROUND(#REF!,2-LEN(INT(#REF!)))*-1,ROUND(#REF!,2-LEN(INT(#REF!))))</f>
        <v>#REF!</v>
      </c>
      <c r="J23" s="154" t="e">
        <f>FIND("(",'Describe baseline'!F23)</f>
        <v>#VALUE!</v>
      </c>
      <c r="K23" s="154" t="e">
        <f>FIND("(",'Describe baseline'!G23)</f>
        <v>#VALUE!</v>
      </c>
      <c r="L23" s="154" t="e">
        <f>FIND(":",'Describe baseline'!H23)</f>
        <v>#VALUE!</v>
      </c>
      <c r="M23" s="364"/>
      <c r="N23" s="148"/>
      <c r="O23" s="149"/>
      <c r="P23" s="149"/>
      <c r="Q23" s="149"/>
      <c r="R23" s="149"/>
      <c r="S23" s="149"/>
      <c r="T23" s="149"/>
      <c r="U23" s="149"/>
      <c r="V23" s="149"/>
      <c r="X23" s="14" t="e">
        <f t="shared" si="0"/>
        <v>#REF!</v>
      </c>
      <c r="Y23" s="14" t="e">
        <f t="shared" si="1"/>
        <v>#REF!</v>
      </c>
    </row>
    <row r="24" spans="1:25" ht="26.25" thickBot="1">
      <c r="A24" s="597"/>
      <c r="B24" s="597"/>
      <c r="C24" s="24" t="s">
        <v>53</v>
      </c>
      <c r="D24" s="481">
        <f>IF('Describe baseline'!E24="-","+",IF('Describe baseline'!E24="+","-",'Describe baseline'!E24))</f>
        <v>0</v>
      </c>
      <c r="E24" s="481" t="str">
        <f>IF(ISERROR(LEFT('Describe baseline'!F24,'OUTPUT-all'!J24-2)),"",LEFT('Describe baseline'!F24,'OUTPUT-all'!J24-2))</f>
        <v/>
      </c>
      <c r="F24" s="481" t="str">
        <f>IF(ISERROR(LEFT('Describe baseline'!G24,'OUTPUT-all'!K24-2)),"",LEFT('Describe baseline'!G24,'OUTPUT-all'!K24-2))</f>
        <v/>
      </c>
      <c r="G24" s="481" t="str">
        <f>IF(ISERROR(LEFT('Describe baseline'!H24:H28,'OUTPUT-all'!L24-1)),"",LEFT('Describe baseline'!H24:H28,'OUTPUT-all'!L24-1))</f>
        <v/>
      </c>
      <c r="H24" s="481"/>
      <c r="I24" s="94" t="str">
        <f>IF(D24="Neutral","Not relevant","Qualitative")</f>
        <v>Qualitative</v>
      </c>
      <c r="J24" s="154" t="e">
        <f>FIND("(",'Describe baseline'!F24)</f>
        <v>#VALUE!</v>
      </c>
      <c r="K24" s="154" t="e">
        <f>FIND("(",'Describe baseline'!G24)</f>
        <v>#VALUE!</v>
      </c>
      <c r="L24" s="154" t="e">
        <f>FIND(":",'Describe baseline'!H24)</f>
        <v>#VALUE!</v>
      </c>
      <c r="M24" s="364"/>
      <c r="N24" s="19" t="s">
        <v>152</v>
      </c>
      <c r="O24" s="149" t="str">
        <f>IF('Identify beneficiaries'!E15="Y",IF(OR($I24="Qualitative",$I24="Not relevant"),$I24,$I24*'Summary of area'!$C$22/'Identify beneficiaries'!$L15),"")</f>
        <v>Qualitative</v>
      </c>
      <c r="P24" s="149" t="str">
        <f>IF('Identify beneficiaries'!F15="Y",IF(OR($I24="Qualitative",$I24="Not relevant"),$I24,$I24*'Summary of area'!$C$22/'Identify beneficiaries'!$L15),"")</f>
        <v/>
      </c>
      <c r="Q24" s="149" t="str">
        <f>IF('Identify beneficiaries'!G15="Y",IF(OR($I24="Qualitative",$I24="Not relevant"),$I24,$I24*'Summary of area'!$C$22/'Identify beneficiaries'!$L15),"")</f>
        <v/>
      </c>
      <c r="R24" s="149" t="str">
        <f>IF('Identify beneficiaries'!H15="Y",IF(OR($I24="Qualitative",$I24="Not relevant"),$I24,$I24*'Summary of area'!$C$22/'Identify beneficiaries'!$L15),"")</f>
        <v/>
      </c>
      <c r="S24" s="149" t="str">
        <f>IF('Identify beneficiaries'!I15="Y",IF(OR($I24="Qualitative",$I24="Not relevant"),$I24,$I24*'Summary of area'!$C$22/'Identify beneficiaries'!$L15),"")</f>
        <v/>
      </c>
      <c r="T24" s="149" t="str">
        <f>IF('Identify beneficiaries'!J15="Y",IF(OR($I24="Qualitative",$I24="Not relevant"),$I24,$I24*'Summary of area'!$C$22/'Identify beneficiaries'!$L15),"")</f>
        <v/>
      </c>
      <c r="U24" s="149" t="str">
        <f>IF('Identify beneficiaries'!K15="Y",IF(OR($I24="Qualitative",$I24="Not relevant"),$I24,$I24*'Summary of area'!$C$22/'Identify beneficiaries'!$L15),"")</f>
        <v/>
      </c>
      <c r="V24" s="149" t="str">
        <f>IF(OR(I24="Qualitative",I24="Not relevant"),I24,ROUND(I24*'Summary of area'!$C$21,3-LEN(INT(I24*'Summary of area'!$C$21))))</f>
        <v>Qualitative</v>
      </c>
      <c r="X24" s="14" t="str">
        <f t="shared" si="0"/>
        <v/>
      </c>
      <c r="Y24" s="14" t="str">
        <f t="shared" si="1"/>
        <v/>
      </c>
    </row>
    <row r="25" spans="1:25" ht="26.25" thickBot="1">
      <c r="A25" s="597"/>
      <c r="B25" s="598"/>
      <c r="C25" s="24" t="s">
        <v>54</v>
      </c>
      <c r="D25" s="481">
        <f>IF('Describe baseline'!E25="-","+",IF('Describe baseline'!E25="+","-",'Describe baseline'!E25))</f>
        <v>0</v>
      </c>
      <c r="E25" s="481" t="str">
        <f>IF(ISERROR(LEFT('Describe baseline'!F25,'OUTPUT-all'!J25-2)),"",LEFT('Describe baseline'!F25,'OUTPUT-all'!J25-2))</f>
        <v/>
      </c>
      <c r="F25" s="481" t="str">
        <f>IF(ISERROR(LEFT('Describe baseline'!G25,'OUTPUT-all'!K25-2)),"",LEFT('Describe baseline'!G25,'OUTPUT-all'!K25-2))</f>
        <v/>
      </c>
      <c r="G25" s="481" t="str">
        <f>IF(ISERROR(LEFT('Describe baseline'!H25:H29,'OUTPUT-all'!L25-1)),"",LEFT('Describe baseline'!H25:H29,'OUTPUT-all'!L25-1))</f>
        <v/>
      </c>
      <c r="H25" s="481"/>
      <c r="I25" s="94" t="str">
        <f>IF(D25="Neutral","Not relevant","Qualitative")</f>
        <v>Qualitative</v>
      </c>
      <c r="J25" s="154" t="e">
        <f>FIND("(",'Describe baseline'!F25)</f>
        <v>#VALUE!</v>
      </c>
      <c r="K25" s="154" t="e">
        <f>FIND("(",'Describe baseline'!G25)</f>
        <v>#VALUE!</v>
      </c>
      <c r="L25" s="154" t="e">
        <f>FIND(":",'Describe baseline'!H25)</f>
        <v>#VALUE!</v>
      </c>
      <c r="M25" s="364"/>
      <c r="N25" s="19" t="s">
        <v>153</v>
      </c>
      <c r="O25" s="149" t="str">
        <f>IF('Identify beneficiaries'!E16="Y",IF(OR($I25="Qualitative",$I25="Not relevant"),$I25,$I25*'Summary of area'!$C$22/'Identify beneficiaries'!$L16),"")</f>
        <v/>
      </c>
      <c r="P25" s="149" t="str">
        <f>IF('Identify beneficiaries'!F16="Y",IF(OR($I25="Qualitative",$I25="Not relevant"),$I25,$I25*'Summary of area'!$C$22/'Identify beneficiaries'!$L16),"")</f>
        <v/>
      </c>
      <c r="Q25" s="149" t="str">
        <f>IF('Identify beneficiaries'!G16="Y",IF(OR($I25="Qualitative",$I25="Not relevant"),$I25,$I25*'Summary of area'!$C$22/'Identify beneficiaries'!$L16),"")</f>
        <v/>
      </c>
      <c r="R25" s="149" t="str">
        <f>IF('Identify beneficiaries'!H16="Y",IF(OR($I25="Qualitative",$I25="Not relevant"),$I25,$I25*'Summary of area'!$C$22/'Identify beneficiaries'!$L16),"")</f>
        <v/>
      </c>
      <c r="S25" s="149" t="str">
        <f>IF('Identify beneficiaries'!I16="Y",IF(OR($I25="Qualitative",$I25="Not relevant"),$I25,$I25*'Summary of area'!$C$22/'Identify beneficiaries'!$L16),"")</f>
        <v/>
      </c>
      <c r="T25" s="149" t="str">
        <f>IF('Identify beneficiaries'!J16="Y",IF(OR($I25="Qualitative",$I25="Not relevant"),$I25,$I25*'Summary of area'!$C$22/'Identify beneficiaries'!$L16),"")</f>
        <v>Qualitative</v>
      </c>
      <c r="U25" s="149" t="str">
        <f>IF('Identify beneficiaries'!K16="Y",IF(OR($I25="Qualitative",$I25="Not relevant"),$I25,$I25*'Summary of area'!$C$22/'Identify beneficiaries'!$L16),"")</f>
        <v/>
      </c>
      <c r="V25" s="149" t="str">
        <f>IF(OR(I25="Qualitative",I25="Not relevant"),I25,ROUND(I25*'Summary of area'!$C$21,3-LEN(INT(I25*'Summary of area'!$C$21))))</f>
        <v>Qualitative</v>
      </c>
      <c r="X25" s="14" t="str">
        <f t="shared" si="0"/>
        <v/>
      </c>
      <c r="Y25" s="14" t="str">
        <f t="shared" si="1"/>
        <v/>
      </c>
    </row>
    <row r="26" spans="1:25" ht="24.75" customHeight="1" thickBot="1">
      <c r="A26" s="597"/>
      <c r="B26" s="596" t="s">
        <v>23</v>
      </c>
      <c r="C26" s="596" t="s">
        <v>52</v>
      </c>
      <c r="D26" s="665">
        <f>IF('Describe baseline'!E26="-","+",IF('Describe baseline'!E26="+","-",'Describe baseline'!E26))</f>
        <v>0</v>
      </c>
      <c r="E26" s="668" t="str">
        <f>IF(ISERROR(LEFT('Describe baseline'!F26,'OUTPUT-all'!J26-2)),"",LEFT('Describe baseline'!F26,'OUTPUT-all'!J26-2))</f>
        <v/>
      </c>
      <c r="F26" s="665" t="str">
        <f>IF(ISERROR(LEFT('Describe baseline'!G26,'OUTPUT-all'!K26-2)),"",LEFT('Describe baseline'!G26,'OUTPUT-all'!K26-2))</f>
        <v/>
      </c>
      <c r="G26" s="665" t="str">
        <f>IF(ISERROR(LEFT('Describe baseline'!H26:H30,'OUTPUT-all'!L26-1)),"",LEFT('Describe baseline'!H26:H30,'OUTPUT-all'!L26-1))</f>
        <v/>
      </c>
      <c r="H26" s="371" t="str">
        <f>IF(ISERROR(LEFT('Water levels-Emergency'!K163,'OUTPUT-all'!M26-2)),"",LEFT('Water levels-Emergency'!K163,'OUTPUT-all'!M26-1))</f>
        <v>High</v>
      </c>
      <c r="I26" s="661" t="str">
        <f>IF('Water levels-Emergency'!D163="Enter number of stations",IF(D26="Neutral","Not relevant","Qualitative"),ROUND('Water levels-Emergency'!H163,3-LEN(INT('Water levels-Emergency'!H163))))</f>
        <v>Qualitative</v>
      </c>
      <c r="J26" s="154" t="e">
        <f>FIND("(",'Describe baseline'!F26)</f>
        <v>#VALUE!</v>
      </c>
      <c r="K26" s="154" t="e">
        <f>FIND("(",'Describe baseline'!G26)</f>
        <v>#VALUE!</v>
      </c>
      <c r="L26" s="154" t="e">
        <f>FIND(":",'Describe baseline'!H26)</f>
        <v>#VALUE!</v>
      </c>
      <c r="M26" s="154">
        <f>FIND(":",'Water levels-Emergency'!K163)</f>
        <v>5</v>
      </c>
      <c r="N26" s="19" t="s">
        <v>157</v>
      </c>
      <c r="O26" s="149" t="str">
        <f>IF('Identify beneficiaries'!E17="Y",IF(OR($I26="Qualitative",$I26="Not relevant"),$I26,ROUND($I26*'Summary of area'!$E$35/'Identify beneficiaries'!$L17,3-LEN(INT($I26*'Summary of area'!$E$35/'Identify beneficiaries'!$L17)))),"")</f>
        <v/>
      </c>
      <c r="P26" s="149" t="str">
        <f>IF('Identify beneficiaries'!F17="Y",IF(OR($I26="Qualitative",$I26="Not relevant"),$I26,ROUND($I26*'Summary of area'!$E$35/'Identify beneficiaries'!$L17,3-LEN(INT($I26*'Summary of area'!$E$35/'Identify beneficiaries'!$L17)))),"")</f>
        <v/>
      </c>
      <c r="Q26" s="149" t="str">
        <f>IF('Identify beneficiaries'!G17="Y",IF(OR($I26="Qualitative",$I26="Not relevant"),$I26,ROUND($I26*'Summary of area'!$E$35/'Identify beneficiaries'!$L17,3-LEN(INT($I26*'Summary of area'!$E$35/'Identify beneficiaries'!$L17)))),"")</f>
        <v/>
      </c>
      <c r="R26" s="149" t="str">
        <f>IF('Identify beneficiaries'!H17="Y",IF(OR($I26="Qualitative",$I26="Not relevant"),$I26,ROUND($I26*'Summary of area'!$E$35/'Identify beneficiaries'!$L17,3-LEN(INT($I26*'Summary of area'!$E$35/'Identify beneficiaries'!$L17)))),"")</f>
        <v>Qualitative</v>
      </c>
      <c r="S26" s="149" t="str">
        <f>IF('Identify beneficiaries'!I17="Y",IF(OR($I26="Qualitative",$I26="Not relevant"),$I26,ROUND($I26*'Summary of area'!$E$35/'Identify beneficiaries'!$L17,3-LEN(INT($I26*'Summary of area'!$E$35/'Identify beneficiaries'!$L17)))),"")</f>
        <v>Qualitative</v>
      </c>
      <c r="T26" s="149" t="str">
        <f>IF('Identify beneficiaries'!J17="Y",IF(OR($I26="Qualitative",$I26="Not relevant"),$I26,ROUND($I26*'Summary of area'!$E$35/'Identify beneficiaries'!$L17,3-LEN(INT($I26*'Summary of area'!$E$35/'Identify beneficiaries'!$L17)))),"")</f>
        <v/>
      </c>
      <c r="U26" s="149" t="str">
        <f>IF('Identify beneficiaries'!K17="Y",IF(OR($I26="Qualitative",$I26="Not relevant"),$I26,ROUND($I26*'Summary of area'!$E$35/'Identify beneficiaries'!$L17,3-LEN(INT($I26*'Summary of area'!$E$35/'Identify beneficiaries'!$L17)))),"")</f>
        <v/>
      </c>
      <c r="V26" s="149" t="str">
        <f>IF(OR(I26="Qualitative",I26="Not relevant"),I26,ROUND(I26*'Summary of area'!$D$35,3-LEN(INT(I26*'Summary of area'!$D$35))))</f>
        <v>Qualitative</v>
      </c>
      <c r="X26" s="14" t="str">
        <f t="shared" si="0"/>
        <v/>
      </c>
      <c r="Y26" s="14" t="str">
        <f t="shared" si="1"/>
        <v/>
      </c>
    </row>
    <row r="27" spans="1:25" ht="13.5" hidden="1" thickBot="1">
      <c r="A27" s="597"/>
      <c r="B27" s="615"/>
      <c r="C27" s="669"/>
      <c r="D27" s="655">
        <f>IF('Describe baseline'!E27="-","+",IF('Describe baseline'!E27="+","-",'Describe baseline'!E27))</f>
        <v>0</v>
      </c>
      <c r="E27" s="668" t="str">
        <f>IF(ISERROR(LEFT('Describe baseline'!F27,'OUTPUT-all'!J27-2)),"",LEFT('Describe baseline'!F27,'OUTPUT-all'!J27-2))</f>
        <v/>
      </c>
      <c r="F27" s="655" t="str">
        <f>IF(ISERROR(LEFT('Describe baseline'!G27:G31,'OUTPUT-all'!K27-2)),"",LEFT('Describe baseline'!G27:G31,'OUTPUT-all'!K27-2))</f>
        <v/>
      </c>
      <c r="G27" s="655" t="str">
        <f>IF(ISERROR(LEFT('Describe baseline'!H27:H31,'OUTPUT-all'!L27-2)),"",LEFT('Describe baseline'!H27:H31,'OUTPUT-all'!L27-2))</f>
        <v/>
      </c>
      <c r="H27" s="477"/>
      <c r="I27" s="652" t="e">
        <f>IF(D27="-",ROUND(#REF!,2-LEN(INT(#REF!)))*-1,ROUND(#REF!,2-LEN(INT(#REF!))))</f>
        <v>#REF!</v>
      </c>
      <c r="J27" s="154" t="e">
        <f>FIND("(",'Describe baseline'!F27)</f>
        <v>#VALUE!</v>
      </c>
      <c r="K27" s="154" t="e">
        <f>FIND("(",'Describe baseline'!G27)</f>
        <v>#VALUE!</v>
      </c>
      <c r="L27" s="154" t="e">
        <f>FIND(":",'Describe baseline'!H27)</f>
        <v>#VALUE!</v>
      </c>
      <c r="M27" s="364"/>
      <c r="N27" s="148"/>
      <c r="O27" s="149"/>
      <c r="P27" s="149"/>
      <c r="Q27" s="149"/>
      <c r="R27" s="149"/>
      <c r="S27" s="149"/>
      <c r="T27" s="149"/>
      <c r="U27" s="149"/>
      <c r="V27" s="149"/>
      <c r="X27" s="14" t="e">
        <f t="shared" si="0"/>
        <v>#REF!</v>
      </c>
      <c r="Y27" s="14" t="e">
        <f t="shared" si="1"/>
        <v>#REF!</v>
      </c>
    </row>
    <row r="28" spans="1:25" ht="26.25" thickBot="1">
      <c r="A28" s="597"/>
      <c r="B28" s="615"/>
      <c r="C28" s="24" t="s">
        <v>53</v>
      </c>
      <c r="D28" s="481">
        <f>IF('Describe baseline'!E28="-","+",IF('Describe baseline'!E28="+","-",'Describe baseline'!E28))</f>
        <v>0</v>
      </c>
      <c r="E28" s="481" t="str">
        <f>IF(ISERROR(LEFT('Describe baseline'!F28,'OUTPUT-all'!J28-2)),"",LEFT('Describe baseline'!F28,'OUTPUT-all'!J28-2))</f>
        <v/>
      </c>
      <c r="F28" s="481" t="str">
        <f>IF(ISERROR(LEFT('Describe baseline'!G28,'OUTPUT-all'!K28-2)),"",LEFT('Describe baseline'!G28,'OUTPUT-all'!K28-2))</f>
        <v/>
      </c>
      <c r="G28" s="481" t="str">
        <f>IF(ISERROR(LEFT('Describe baseline'!H28:H32,'OUTPUT-all'!L28-1)),"",LEFT('Describe baseline'!H28:H32,'OUTPUT-all'!L28-1))</f>
        <v/>
      </c>
      <c r="H28" s="481"/>
      <c r="I28" s="94" t="str">
        <f>IF(D28="Neutral","Not relevant","Qualitative")</f>
        <v>Qualitative</v>
      </c>
      <c r="J28" s="154" t="e">
        <f>FIND("(",'Describe baseline'!F28)</f>
        <v>#VALUE!</v>
      </c>
      <c r="K28" s="154" t="e">
        <f>FIND("(",'Describe baseline'!G28)</f>
        <v>#VALUE!</v>
      </c>
      <c r="L28" s="154" t="e">
        <f>FIND(":",'Describe baseline'!H28)</f>
        <v>#VALUE!</v>
      </c>
      <c r="M28" s="364"/>
      <c r="N28" s="19" t="s">
        <v>158</v>
      </c>
      <c r="O28" s="149" t="str">
        <f>IF('Identify beneficiaries'!E18="Y",IF(OR($I28="Qualitative",$I28="Not relevant"),$I28,$I28*'Summary of area'!$C$22/'Identify beneficiaries'!$L18),"")</f>
        <v>Qualitative</v>
      </c>
      <c r="P28" s="149" t="str">
        <f>IF('Identify beneficiaries'!F18="Y",IF(OR($I28="Qualitative",$I28="Not relevant"),$I28,$I28*'Summary of area'!$C$22/'Identify beneficiaries'!$L18),"")</f>
        <v>Qualitative</v>
      </c>
      <c r="Q28" s="149" t="str">
        <f>IF('Identify beneficiaries'!G18="Y",IF(OR($I28="Qualitative",$I28="Not relevant"),$I28,$I28*'Summary of area'!$C$22/'Identify beneficiaries'!$L18),"")</f>
        <v>Qualitative</v>
      </c>
      <c r="R28" s="149" t="str">
        <f>IF('Identify beneficiaries'!H18="Y",IF(OR($I28="Qualitative",$I28="Not relevant"),$I28,$I28*'Summary of area'!$C$22/'Identify beneficiaries'!$L18),"")</f>
        <v>Qualitative</v>
      </c>
      <c r="S28" s="149" t="str">
        <f>IF('Identify beneficiaries'!I18="Y",IF(OR($I28="Qualitative",$I28="Not relevant"),$I28,$I28*'Summary of area'!$C$22/'Identify beneficiaries'!$L18),"")</f>
        <v/>
      </c>
      <c r="T28" s="149" t="str">
        <f>IF('Identify beneficiaries'!J18="Y",IF(OR($I28="Qualitative",$I28="Not relevant"),$I28,$I28*'Summary of area'!$C$22/'Identify beneficiaries'!$L18),"")</f>
        <v/>
      </c>
      <c r="U28" s="149" t="str">
        <f>IF('Identify beneficiaries'!K18="Y",IF(OR($I28="Qualitative",$I28="Not relevant"),$I28,$I28*'Summary of area'!$C$22/'Identify beneficiaries'!$L18),"")</f>
        <v/>
      </c>
      <c r="V28" s="149" t="str">
        <f>IF(OR(I28="Qualitative",I28="Not relevant"),I28,ROUND(I28*'Summary of area'!$C$21,3-LEN(INT(I28*'Summary of area'!$C$21))))</f>
        <v>Qualitative</v>
      </c>
      <c r="X28" s="14" t="str">
        <f t="shared" si="0"/>
        <v/>
      </c>
      <c r="Y28" s="14" t="str">
        <f t="shared" si="1"/>
        <v/>
      </c>
    </row>
    <row r="29" spans="1:25" ht="26.25" thickBot="1">
      <c r="A29" s="597"/>
      <c r="B29" s="669"/>
      <c r="C29" s="24" t="s">
        <v>54</v>
      </c>
      <c r="D29" s="481">
        <f>IF('Describe baseline'!E29="-","+",IF('Describe baseline'!E29="+","-",'Describe baseline'!E29))</f>
        <v>0</v>
      </c>
      <c r="E29" s="481" t="str">
        <f>IF(ISERROR(LEFT('Describe baseline'!F29,'OUTPUT-all'!J29-2)),"",LEFT('Describe baseline'!F29,'OUTPUT-all'!J29-2))</f>
        <v/>
      </c>
      <c r="F29" s="481" t="str">
        <f>IF(ISERROR(LEFT('Describe baseline'!G29,'OUTPUT-all'!K29-2)),"",LEFT('Describe baseline'!G29,'OUTPUT-all'!K29-2))</f>
        <v/>
      </c>
      <c r="G29" s="481" t="str">
        <f>IF(ISERROR(LEFT('Describe baseline'!H29:H33,'OUTPUT-all'!L29-1)),"",LEFT('Describe baseline'!H29:H33,'OUTPUT-all'!L29-1))</f>
        <v/>
      </c>
      <c r="H29" s="481"/>
      <c r="I29" s="94" t="str">
        <f>IF(D29="Neutral","Not relevant","Qualitative")</f>
        <v>Qualitative</v>
      </c>
      <c r="J29" s="154" t="e">
        <f>FIND("(",'Describe baseline'!F29)</f>
        <v>#VALUE!</v>
      </c>
      <c r="K29" s="154" t="e">
        <f>FIND("(",'Describe baseline'!G29)</f>
        <v>#VALUE!</v>
      </c>
      <c r="L29" s="154" t="e">
        <f>FIND(":",'Describe baseline'!H29)</f>
        <v>#VALUE!</v>
      </c>
      <c r="M29" s="364"/>
      <c r="N29" s="19" t="s">
        <v>159</v>
      </c>
      <c r="O29" s="149" t="str">
        <f>IF('Identify beneficiaries'!E19="Y",IF(OR($I29="Qualitative",$I29="Not relevant"),$I29,$I29*'Summary of area'!$C$22/'Identify beneficiaries'!$L19),"")</f>
        <v/>
      </c>
      <c r="P29" s="149" t="str">
        <f>IF('Identify beneficiaries'!F19="Y",IF(OR($I29="Qualitative",$I29="Not relevant"),$I29,$I29*'Summary of area'!$C$22/'Identify beneficiaries'!$L19),"")</f>
        <v/>
      </c>
      <c r="Q29" s="149" t="str">
        <f>IF('Identify beneficiaries'!G19="Y",IF(OR($I29="Qualitative",$I29="Not relevant"),$I29,$I29*'Summary of area'!$C$22/'Identify beneficiaries'!$L19),"")</f>
        <v/>
      </c>
      <c r="R29" s="149" t="str">
        <f>IF('Identify beneficiaries'!H19="Y",IF(OR($I29="Qualitative",$I29="Not relevant"),$I29,$I29*'Summary of area'!$C$22/'Identify beneficiaries'!$L19),"")</f>
        <v/>
      </c>
      <c r="S29" s="149" t="str">
        <f>IF('Identify beneficiaries'!I19="Y",IF(OR($I29="Qualitative",$I29="Not relevant"),$I29,$I29*'Summary of area'!$C$22/'Identify beneficiaries'!$L19),"")</f>
        <v/>
      </c>
      <c r="T29" s="149" t="str">
        <f>IF('Identify beneficiaries'!J19="Y",IF(OR($I29="Qualitative",$I29="Not relevant"),$I29,$I29*'Summary of area'!$C$22/'Identify beneficiaries'!$L19),"")</f>
        <v>Qualitative</v>
      </c>
      <c r="U29" s="149" t="str">
        <f>IF('Identify beneficiaries'!K19="Y",IF(OR($I29="Qualitative",$I29="Not relevant"),$I29,$I29*'Summary of area'!$C$22/'Identify beneficiaries'!$L19),"")</f>
        <v>Qualitative</v>
      </c>
      <c r="V29" s="149" t="str">
        <f>IF(OR(I29="Qualitative",I29="Not relevant"),I29,ROUND(I29*'Summary of area'!$C$21,3-LEN(INT(I29*'Summary of area'!$C$21))))</f>
        <v>Qualitative</v>
      </c>
      <c r="X29" s="14" t="str">
        <f t="shared" si="0"/>
        <v/>
      </c>
      <c r="Y29" s="14" t="str">
        <f t="shared" si="1"/>
        <v/>
      </c>
    </row>
    <row r="30" spans="1:25" ht="41.25" customHeight="1" thickBot="1">
      <c r="A30" s="597"/>
      <c r="B30" s="596" t="s">
        <v>71</v>
      </c>
      <c r="C30" s="596" t="s">
        <v>52</v>
      </c>
      <c r="D30" s="665">
        <f>IF('Describe baseline'!E30="-","+",IF('Describe baseline'!E30="+","-",'Describe baseline'!E30))</f>
        <v>0</v>
      </c>
      <c r="E30" s="668" t="str">
        <f>IF(ISERROR(LEFT('Describe baseline'!F30,'OUTPUT-all'!J30-2)),"",LEFT('Describe baseline'!F30,'OUTPUT-all'!J30-2))</f>
        <v/>
      </c>
      <c r="F30" s="665" t="str">
        <f>IF(ISERROR(LEFT('Describe baseline'!G30,'OUTPUT-all'!K30-2)),"",LEFT('Describe baseline'!G30,'OUTPUT-all'!K30-2))</f>
        <v/>
      </c>
      <c r="G30" s="665" t="str">
        <f>IF(ISERROR(LEFT('Describe baseline'!H30:H34,'OUTPUT-all'!L30-1)),"",LEFT('Describe baseline'!H30:H34,'OUTPUT-all'!L30-1))</f>
        <v/>
      </c>
      <c r="H30" s="371" t="str">
        <f>IF(ISERROR(LEFT('Water levels-Utilities'!K200,'OUTPUT-all'!M30-2)),"",LEFT('Water levels-Utilities'!K200,'OUTPUT-all'!M30-1))</f>
        <v>High</v>
      </c>
      <c r="I30" s="661" t="str">
        <f>IF('Water levels-Utilities'!D200="Enter number of utilities/stations",IF(D30="Neutral","Not relevant","Qualitative"),ROUND('Water levels-Utilities'!H200,3-LEN(INT('Water levels-Utilities'!H200))))</f>
        <v>Qualitative</v>
      </c>
      <c r="J30" s="154" t="e">
        <f>FIND("(",'Describe baseline'!F30)</f>
        <v>#VALUE!</v>
      </c>
      <c r="K30" s="154" t="e">
        <f>FIND("(",'Describe baseline'!G30)</f>
        <v>#VALUE!</v>
      </c>
      <c r="L30" s="154" t="e">
        <f>FIND(":",'Describe baseline'!H30)</f>
        <v>#VALUE!</v>
      </c>
      <c r="M30" s="154">
        <f>FIND(":",'Water levels-Utilities'!K200)</f>
        <v>5</v>
      </c>
      <c r="N30" s="19" t="s">
        <v>154</v>
      </c>
      <c r="O30" s="149" t="str">
        <f>IF('Identify beneficiaries'!E20="Y",IF(OR($I30="Qualitative",$I30="Not relevant"),$I30,ROUND($I30*'Summary of area'!$E$36/'Identify beneficiaries'!$L20,3-LEN(INT($I30*'Summary of area'!$E$36/'Identify beneficiaries'!$L20)))),"")</f>
        <v/>
      </c>
      <c r="P30" s="149" t="str">
        <f>IF('Identify beneficiaries'!F20="Y",IF(OR($I30="Qualitative",$I30="Not relevant"),$I30,ROUND($I30*'Summary of area'!$E$36/'Identify beneficiaries'!$L20,3-LEN(INT($I30*'Summary of area'!$E$36/'Identify beneficiaries'!$L20)))),"")</f>
        <v/>
      </c>
      <c r="Q30" s="149" t="str">
        <f>IF('Identify beneficiaries'!G20="Y",IF(OR($I30="Qualitative",$I30="Not relevant"),$I30,ROUND($I30*'Summary of area'!$E$36/'Identify beneficiaries'!$L20,3-LEN(INT($I30*'Summary of area'!$E$36/'Identify beneficiaries'!$L20)))),"")</f>
        <v/>
      </c>
      <c r="R30" s="149" t="str">
        <f>IF('Identify beneficiaries'!H20="Y",IF(OR($I30="Qualitative",$I30="Not relevant"),$I30,ROUND($I30*'Summary of area'!$E$36/'Identify beneficiaries'!$L20,3-LEN(INT($I30*'Summary of area'!$E$36/'Identify beneficiaries'!$L20)))),"")</f>
        <v/>
      </c>
      <c r="S30" s="149" t="str">
        <f>IF('Identify beneficiaries'!I20="Y",IF(OR($I30="Qualitative",$I30="Not relevant"),$I30,ROUND($I30*'Summary of area'!$E$36/'Identify beneficiaries'!$L20,3-LEN(INT($I30*'Summary of area'!$E$36/'Identify beneficiaries'!$L20)))),"")</f>
        <v>Qualitative</v>
      </c>
      <c r="T30" s="149" t="str">
        <f>IF('Identify beneficiaries'!J20="Y",IF(OR($I30="Qualitative",$I30="Not relevant"),$I30,ROUND($I30*'Summary of area'!$E$36/'Identify beneficiaries'!$L20,3-LEN(INT($I30*'Summary of area'!$E$36/'Identify beneficiaries'!$L20)))),"")</f>
        <v/>
      </c>
      <c r="U30" s="149" t="str">
        <f>IF('Identify beneficiaries'!K20="Y",IF(OR($I30="Qualitative",$I30="Not relevant"),$I30,ROUND($I30*'Summary of area'!$E$36/'Identify beneficiaries'!$L20,3-LEN(INT($I30*'Summary of area'!$E$36/'Identify beneficiaries'!$L20)))),"")</f>
        <v/>
      </c>
      <c r="V30" s="149" t="str">
        <f>IF(OR(I30="Qualitative",I30="Not relevant"),I30,ROUND(I30*'Summary of area'!$D$36,3-LEN(INT(I30*'Summary of area'!$D$36))))</f>
        <v>Qualitative</v>
      </c>
      <c r="X30" s="14" t="str">
        <f t="shared" si="0"/>
        <v/>
      </c>
      <c r="Y30" s="14" t="str">
        <f t="shared" si="1"/>
        <v/>
      </c>
    </row>
    <row r="31" spans="1:25" ht="12.75" customHeight="1" hidden="1">
      <c r="A31" s="597"/>
      <c r="B31" s="615"/>
      <c r="C31" s="615"/>
      <c r="D31" s="654">
        <f>IF('Describe baseline'!E31="-","+",IF('Describe baseline'!E31="+","-",'Describe baseline'!E31))</f>
        <v>0</v>
      </c>
      <c r="E31" s="668" t="str">
        <f>IF(ISERROR(LEFT('Describe baseline'!F31,'OUTPUT-all'!J31-2)),"",LEFT('Describe baseline'!F31,'OUTPUT-all'!J31-2))</f>
        <v/>
      </c>
      <c r="F31" s="654" t="str">
        <f>IF(ISERROR(LEFT('Describe baseline'!G31:G35,'OUTPUT-all'!K31-2)),"",LEFT('Describe baseline'!G31:G35,'OUTPUT-all'!K31-2))</f>
        <v/>
      </c>
      <c r="G31" s="654" t="str">
        <f>IF(ISERROR(LEFT('Describe baseline'!H31:H35,'OUTPUT-all'!L31-2)),"",LEFT('Describe baseline'!H31:H35,'OUTPUT-all'!L31-2))</f>
        <v/>
      </c>
      <c r="H31" s="476"/>
      <c r="I31" s="651" t="e">
        <f>IF(D31="-",ROUND(#REF!,2-LEN(INT(#REF!)))*-1,ROUND(#REF!,2-LEN(INT(#REF!))))</f>
        <v>#REF!</v>
      </c>
      <c r="J31" s="154" t="e">
        <f>FIND("(",'Describe baseline'!F31)</f>
        <v>#VALUE!</v>
      </c>
      <c r="K31" s="154" t="e">
        <f>FIND("(",'Describe baseline'!G31)</f>
        <v>#VALUE!</v>
      </c>
      <c r="L31" s="154" t="e">
        <f>FIND(":",'Describe baseline'!H31)</f>
        <v>#VALUE!</v>
      </c>
      <c r="M31" s="364"/>
      <c r="N31" s="148"/>
      <c r="O31" s="149"/>
      <c r="P31" s="149"/>
      <c r="Q31" s="149"/>
      <c r="R31" s="149"/>
      <c r="S31" s="149"/>
      <c r="T31" s="149"/>
      <c r="U31" s="149"/>
      <c r="V31" s="149"/>
      <c r="X31" s="14" t="e">
        <f t="shared" si="0"/>
        <v>#REF!</v>
      </c>
      <c r="Y31" s="14" t="e">
        <f t="shared" si="1"/>
        <v>#REF!</v>
      </c>
    </row>
    <row r="32" spans="1:25" ht="12.75" customHeight="1" hidden="1">
      <c r="A32" s="597"/>
      <c r="B32" s="615"/>
      <c r="C32" s="615"/>
      <c r="D32" s="654">
        <f>IF('Describe baseline'!E32="-","+",IF('Describe baseline'!E32="+","-",'Describe baseline'!E32))</f>
        <v>0</v>
      </c>
      <c r="E32" s="668" t="str">
        <f>IF(ISERROR(LEFT('Describe baseline'!F32,'OUTPUT-all'!J32-2)),"",LEFT('Describe baseline'!F32,'OUTPUT-all'!J32-2))</f>
        <v/>
      </c>
      <c r="F32" s="654" t="str">
        <f>IF(ISERROR(LEFT('Describe baseline'!G32:G36,'OUTPUT-all'!K32-2)),"",LEFT('Describe baseline'!G32:G36,'OUTPUT-all'!K32-2))</f>
        <v/>
      </c>
      <c r="G32" s="654" t="str">
        <f>IF(ISERROR(LEFT('Describe baseline'!H32:H36,'OUTPUT-all'!L32-2)),"",LEFT('Describe baseline'!H32:H36,'OUTPUT-all'!L32-2))</f>
        <v/>
      </c>
      <c r="H32" s="476"/>
      <c r="I32" s="651" t="e">
        <f>IF(D32="-",ROUND(#REF!,2-LEN(INT(#REF!)))*-1,ROUND(#REF!,2-LEN(INT(#REF!))))</f>
        <v>#REF!</v>
      </c>
      <c r="J32" s="154" t="e">
        <f>FIND("(",'Describe baseline'!F32)</f>
        <v>#VALUE!</v>
      </c>
      <c r="K32" s="154" t="e">
        <f>FIND("(",'Describe baseline'!G32)</f>
        <v>#VALUE!</v>
      </c>
      <c r="L32" s="154" t="e">
        <f>FIND(":",'Describe baseline'!H32)</f>
        <v>#VALUE!</v>
      </c>
      <c r="M32" s="364"/>
      <c r="N32" s="148"/>
      <c r="O32" s="149"/>
      <c r="P32" s="149"/>
      <c r="Q32" s="149"/>
      <c r="R32" s="149"/>
      <c r="S32" s="149"/>
      <c r="T32" s="149"/>
      <c r="U32" s="149"/>
      <c r="V32" s="149"/>
      <c r="X32" s="14" t="e">
        <f t="shared" si="0"/>
        <v>#REF!</v>
      </c>
      <c r="Y32" s="14" t="e">
        <f t="shared" si="1"/>
        <v>#REF!</v>
      </c>
    </row>
    <row r="33" spans="1:25" ht="12.75" customHeight="1" hidden="1">
      <c r="A33" s="597"/>
      <c r="B33" s="615"/>
      <c r="C33" s="615"/>
      <c r="D33" s="654">
        <f>IF('Describe baseline'!E33="-","+",IF('Describe baseline'!E33="+","-",'Describe baseline'!E33))</f>
        <v>0</v>
      </c>
      <c r="E33" s="668" t="str">
        <f>IF(ISERROR(LEFT('Describe baseline'!F33,'OUTPUT-all'!J33-2)),"",LEFT('Describe baseline'!F33,'OUTPUT-all'!J33-2))</f>
        <v/>
      </c>
      <c r="F33" s="654" t="str">
        <f>IF(ISERROR(LEFT('Describe baseline'!G33:G37,'OUTPUT-all'!K33-2)),"",LEFT('Describe baseline'!G33:G37,'OUTPUT-all'!K33-2))</f>
        <v/>
      </c>
      <c r="G33" s="654" t="str">
        <f>IF(ISERROR(LEFT('Describe baseline'!H33:H37,'OUTPUT-all'!L33-2)),"",LEFT('Describe baseline'!H33:H37,'OUTPUT-all'!L33-2))</f>
        <v/>
      </c>
      <c r="H33" s="476"/>
      <c r="I33" s="651" t="e">
        <f>IF(D33="-",ROUND(#REF!,2-LEN(INT(#REF!)))*-1,ROUND(#REF!,2-LEN(INT(#REF!))))</f>
        <v>#REF!</v>
      </c>
      <c r="J33" s="154" t="e">
        <f>FIND("(",'Describe baseline'!F33)</f>
        <v>#VALUE!</v>
      </c>
      <c r="K33" s="154" t="e">
        <f>FIND("(",'Describe baseline'!G33)</f>
        <v>#VALUE!</v>
      </c>
      <c r="L33" s="154" t="e">
        <f>FIND(":",'Describe baseline'!H33)</f>
        <v>#VALUE!</v>
      </c>
      <c r="M33" s="364"/>
      <c r="N33" s="148"/>
      <c r="O33" s="149"/>
      <c r="P33" s="149"/>
      <c r="Q33" s="149"/>
      <c r="R33" s="149"/>
      <c r="S33" s="149"/>
      <c r="T33" s="149"/>
      <c r="U33" s="149"/>
      <c r="V33" s="149"/>
      <c r="X33" s="14" t="e">
        <f t="shared" si="0"/>
        <v>#REF!</v>
      </c>
      <c r="Y33" s="14" t="e">
        <f t="shared" si="1"/>
        <v>#REF!</v>
      </c>
    </row>
    <row r="34" spans="1:25" ht="12.75" customHeight="1" hidden="1">
      <c r="A34" s="597"/>
      <c r="B34" s="615"/>
      <c r="C34" s="669"/>
      <c r="D34" s="655">
        <f>IF('Describe baseline'!E34="-","+",IF('Describe baseline'!E34="+","-",'Describe baseline'!E34))</f>
        <v>0</v>
      </c>
      <c r="E34" s="668" t="str">
        <f>IF(ISERROR(LEFT('Describe baseline'!F34,'OUTPUT-all'!J34-2)),"",LEFT('Describe baseline'!F34,'OUTPUT-all'!J34-2))</f>
        <v/>
      </c>
      <c r="F34" s="655" t="str">
        <f>IF(ISERROR(LEFT('Describe baseline'!G34:G38,'OUTPUT-all'!K34-2)),"",LEFT('Describe baseline'!G34:G38,'OUTPUT-all'!K34-2))</f>
        <v/>
      </c>
      <c r="G34" s="655" t="str">
        <f>IF(ISERROR(LEFT('Describe baseline'!H34:H38,'OUTPUT-all'!L34-2)),"",LEFT('Describe baseline'!H34:H38,'OUTPUT-all'!L34-2))</f>
        <v/>
      </c>
      <c r="H34" s="477"/>
      <c r="I34" s="652" t="e">
        <f>IF(D34="-",ROUND(#REF!,2-LEN(INT(#REF!)))*-1,ROUND(#REF!,2-LEN(INT(#REF!))))</f>
        <v>#REF!</v>
      </c>
      <c r="J34" s="154" t="e">
        <f>FIND("(",'Describe baseline'!F34)</f>
        <v>#VALUE!</v>
      </c>
      <c r="K34" s="154" t="e">
        <f>FIND("(",'Describe baseline'!G34)</f>
        <v>#VALUE!</v>
      </c>
      <c r="L34" s="154" t="e">
        <f>FIND(":",'Describe baseline'!H34)</f>
        <v>#VALUE!</v>
      </c>
      <c r="M34" s="364"/>
      <c r="N34" s="148"/>
      <c r="O34" s="149"/>
      <c r="P34" s="149"/>
      <c r="Q34" s="149"/>
      <c r="R34" s="149"/>
      <c r="S34" s="149"/>
      <c r="T34" s="149"/>
      <c r="U34" s="149"/>
      <c r="V34" s="149"/>
      <c r="X34" s="14" t="e">
        <f t="shared" si="0"/>
        <v>#REF!</v>
      </c>
      <c r="Y34" s="14" t="e">
        <f t="shared" si="1"/>
        <v>#REF!</v>
      </c>
    </row>
    <row r="35" spans="1:25" ht="22.5" customHeight="1" thickBot="1">
      <c r="A35" s="597"/>
      <c r="B35" s="615"/>
      <c r="C35" s="24" t="s">
        <v>53</v>
      </c>
      <c r="D35" s="481">
        <f>IF('Describe baseline'!E35="-","+",IF('Describe baseline'!E35="+","-",'Describe baseline'!E35))</f>
        <v>0</v>
      </c>
      <c r="E35" s="481" t="str">
        <f>IF(ISERROR(LEFT('Describe baseline'!F35,'OUTPUT-all'!J35-2)),"",LEFT('Describe baseline'!F35,'OUTPUT-all'!J35-2))</f>
        <v/>
      </c>
      <c r="F35" s="481" t="str">
        <f>IF(ISERROR(LEFT('Describe baseline'!G35,'OUTPUT-all'!K35-2)),"",LEFT('Describe baseline'!G35,'OUTPUT-all'!K35-2))</f>
        <v/>
      </c>
      <c r="G35" s="481" t="str">
        <f>IF(ISERROR(LEFT('Describe baseline'!H35:H39,'OUTPUT-all'!L35-1)),"",LEFT('Describe baseline'!H35:H39,'OUTPUT-all'!L35-1))</f>
        <v/>
      </c>
      <c r="H35" s="481"/>
      <c r="I35" s="94" t="str">
        <f>IF(D35="Neutral","Not relevant","Qualitative")</f>
        <v>Qualitative</v>
      </c>
      <c r="J35" s="154" t="e">
        <f>FIND("(",'Describe baseline'!F35)</f>
        <v>#VALUE!</v>
      </c>
      <c r="K35" s="154" t="e">
        <f>FIND("(",'Describe baseline'!G35)</f>
        <v>#VALUE!</v>
      </c>
      <c r="L35" s="154" t="e">
        <f>FIND(":",'Describe baseline'!H35)</f>
        <v>#VALUE!</v>
      </c>
      <c r="M35" s="364"/>
      <c r="N35" s="19" t="s">
        <v>155</v>
      </c>
      <c r="O35" s="149" t="str">
        <f>IF('Identify beneficiaries'!E21="Y",IF(OR($I35="Qualitative",$I35="Not relevant"),$I35,$I35*'Summary of area'!$C$22/'Identify beneficiaries'!$L21),"")</f>
        <v>Qualitative</v>
      </c>
      <c r="P35" s="149" t="str">
        <f>IF('Identify beneficiaries'!F21="Y",IF(OR($I35="Qualitative",$I35="Not relevant"),$I35,$I35*'Summary of area'!$C$22/'Identify beneficiaries'!$L21),"")</f>
        <v>Qualitative</v>
      </c>
      <c r="Q35" s="149" t="str">
        <f>IF('Identify beneficiaries'!G21="Y",IF(OR($I35="Qualitative",$I35="Not relevant"),$I35,$I35*'Summary of area'!$C$22/'Identify beneficiaries'!$L21),"")</f>
        <v>Qualitative</v>
      </c>
      <c r="R35" s="149" t="str">
        <f>IF('Identify beneficiaries'!H21="Y",IF(OR($I35="Qualitative",$I35="Not relevant"),$I35,$I35*'Summary of area'!$C$22/'Identify beneficiaries'!$L21),"")</f>
        <v>Qualitative</v>
      </c>
      <c r="S35" s="149" t="str">
        <f>IF('Identify beneficiaries'!I21="Y",IF(OR($I35="Qualitative",$I35="Not relevant"),$I35,$I35*'Summary of area'!$C$22/'Identify beneficiaries'!$L21),"")</f>
        <v/>
      </c>
      <c r="T35" s="149" t="str">
        <f>IF('Identify beneficiaries'!J21="Y",IF(OR($I35="Qualitative",$I35="Not relevant"),$I35,$I35*'Summary of area'!$C$22/'Identify beneficiaries'!$L21),"")</f>
        <v/>
      </c>
      <c r="U35" s="149" t="str">
        <f>IF('Identify beneficiaries'!K21="Y",IF(OR($I35="Qualitative",$I35="Not relevant"),$I35,$I35*'Summary of area'!$C$22/'Identify beneficiaries'!$L21),"")</f>
        <v/>
      </c>
      <c r="V35" s="149" t="str">
        <f>IF(OR(I35="Qualitative",I35="Not relevant"),I35,ROUND(I35*'Summary of area'!$C$21,3-LEN(INT(I35*'Summary of area'!$C$21))))</f>
        <v>Qualitative</v>
      </c>
      <c r="X35" s="14" t="str">
        <f t="shared" si="0"/>
        <v/>
      </c>
      <c r="Y35" s="14" t="str">
        <f t="shared" si="1"/>
        <v/>
      </c>
    </row>
    <row r="36" spans="1:25" ht="26.25" thickBot="1">
      <c r="A36" s="597"/>
      <c r="B36" s="669"/>
      <c r="C36" s="24" t="s">
        <v>54</v>
      </c>
      <c r="D36" s="481">
        <f>IF('Describe baseline'!E36="-","+",IF('Describe baseline'!E36="+","-",'Describe baseline'!E36))</f>
        <v>0</v>
      </c>
      <c r="E36" s="481" t="str">
        <f>IF(ISERROR(LEFT('Describe baseline'!F36,'OUTPUT-all'!J36-2)),"",LEFT('Describe baseline'!F36,'OUTPUT-all'!J36-2))</f>
        <v/>
      </c>
      <c r="F36" s="481" t="str">
        <f>IF(ISERROR(LEFT('Describe baseline'!G36,'OUTPUT-all'!K36-2)),"",LEFT('Describe baseline'!G36,'OUTPUT-all'!K36-2))</f>
        <v/>
      </c>
      <c r="G36" s="481" t="str">
        <f>IF(ISERROR(LEFT('Describe baseline'!H36:H40,'OUTPUT-all'!L36-1)),"",LEFT('Describe baseline'!H36:H40,'OUTPUT-all'!L36-1))</f>
        <v/>
      </c>
      <c r="H36" s="481"/>
      <c r="I36" s="94" t="str">
        <f>IF(D36="Neutral","Not relevant","Qualitative")</f>
        <v>Qualitative</v>
      </c>
      <c r="J36" s="154" t="e">
        <f>FIND("(",'Describe baseline'!F36)</f>
        <v>#VALUE!</v>
      </c>
      <c r="K36" s="154" t="e">
        <f>FIND("(",'Describe baseline'!G36)</f>
        <v>#VALUE!</v>
      </c>
      <c r="L36" s="154" t="e">
        <f>FIND(":",'Describe baseline'!H36)</f>
        <v>#VALUE!</v>
      </c>
      <c r="M36" s="364"/>
      <c r="N36" s="19" t="s">
        <v>156</v>
      </c>
      <c r="O36" s="149" t="str">
        <f>IF('Identify beneficiaries'!E22="Y",IF(OR($I36="Qualitative",$I36="Not relevant"),$I36,$I36*'Summary of area'!$C$22/'Identify beneficiaries'!$L22),"")</f>
        <v/>
      </c>
      <c r="P36" s="149" t="str">
        <f>IF('Identify beneficiaries'!F22="Y",IF(OR($I36="Qualitative",$I36="Not relevant"),$I36,$I36*'Summary of area'!$C$22/'Identify beneficiaries'!$L22),"")</f>
        <v/>
      </c>
      <c r="Q36" s="149" t="str">
        <f>IF('Identify beneficiaries'!G22="Y",IF(OR($I36="Qualitative",$I36="Not relevant"),$I36,$I36*'Summary of area'!$C$22/'Identify beneficiaries'!$L22),"")</f>
        <v/>
      </c>
      <c r="R36" s="149" t="str">
        <f>IF('Identify beneficiaries'!H22="Y",IF(OR($I36="Qualitative",$I36="Not relevant"),$I36,$I36*'Summary of area'!$C$22/'Identify beneficiaries'!$L22),"")</f>
        <v/>
      </c>
      <c r="S36" s="149" t="str">
        <f>IF('Identify beneficiaries'!I22="Y",IF(OR($I36="Qualitative",$I36="Not relevant"),$I36,$I36*'Summary of area'!$C$22/'Identify beneficiaries'!$L22),"")</f>
        <v/>
      </c>
      <c r="T36" s="149" t="str">
        <f>IF('Identify beneficiaries'!J22="Y",IF(OR($I36="Qualitative",$I36="Not relevant"),$I36,$I36*'Summary of area'!$C$22/'Identify beneficiaries'!$L22),"")</f>
        <v>Qualitative</v>
      </c>
      <c r="U36" s="149" t="str">
        <f>IF('Identify beneficiaries'!K22="Y",IF(OR($I36="Qualitative",$I36="Not relevant"),$I36,$I36*'Summary of area'!$C$22/'Identify beneficiaries'!$L22),"")</f>
        <v>Qualitative</v>
      </c>
      <c r="V36" s="149" t="str">
        <f>IF(OR(I36="Qualitative",I36="Not relevant"),I36,ROUND(I36*'Summary of area'!$C$21,3-LEN(INT(I36*'Summary of area'!$C$21))))</f>
        <v>Qualitative</v>
      </c>
      <c r="X36" s="14" t="str">
        <f t="shared" si="0"/>
        <v/>
      </c>
      <c r="Y36" s="14" t="str">
        <f t="shared" si="1"/>
        <v/>
      </c>
    </row>
    <row r="37" spans="1:25" ht="25.5" customHeight="1" thickBot="1">
      <c r="A37" s="597"/>
      <c r="B37" s="596" t="s">
        <v>815</v>
      </c>
      <c r="C37" s="596" t="s">
        <v>52</v>
      </c>
      <c r="D37" s="665">
        <f>IF('Describe baseline'!E37="-","+",IF('Describe baseline'!E37="+","-",'Describe baseline'!E37))</f>
        <v>0</v>
      </c>
      <c r="E37" s="668" t="str">
        <f>IF(ISERROR(LEFT('Describe baseline'!F37,'OUTPUT-all'!J37-2)),"",LEFT('Describe baseline'!F37,'OUTPUT-all'!J37-2))</f>
        <v/>
      </c>
      <c r="F37" s="665" t="str">
        <f>IF(ISERROR(LEFT('Describe baseline'!G37,'OUTPUT-all'!K37-2)),"",LEFT('Describe baseline'!G37,'OUTPUT-all'!K37-2))</f>
        <v/>
      </c>
      <c r="G37" s="665" t="str">
        <f>IF(ISERROR(LEFT('Describe baseline'!H37:H41,'OUTPUT-all'!L37-1)),"",LEFT('Describe baseline'!H37:H41,'OUTPUT-all'!L37-1))</f>
        <v/>
      </c>
      <c r="H37" s="371" t="str">
        <f>"Road: "&amp;IF(ISERROR(LEFT('Water levels-Transport (road)'!K224,'OUTPUT-all'!M37-2)),"",LEFT('Water levels-Transport (road)'!K225,'OUTPUT-all'!M37-1))</f>
        <v>Road: High</v>
      </c>
      <c r="I37" s="485" t="str">
        <f>IF('Water levels-Transport (road)'!D224="Enter delay",IF(D37="Neutral","Not relevant","Qualitative"),ROUND('Water levels-Transport (road)'!H224,3-LEN(INT('Water levels-Transport (road)'!H224))))</f>
        <v>Qualitative</v>
      </c>
      <c r="J37" s="154" t="e">
        <f>FIND("(",'Describe baseline'!F37)</f>
        <v>#VALUE!</v>
      </c>
      <c r="K37" s="154" t="e">
        <f>FIND("(",'Describe baseline'!G37)</f>
        <v>#VALUE!</v>
      </c>
      <c r="L37" s="154" t="e">
        <f>FIND(":",'Describe baseline'!H37)</f>
        <v>#VALUE!</v>
      </c>
      <c r="M37" s="154">
        <f>FIND(":",'Water levels-Transport (road)'!K224)</f>
        <v>5</v>
      </c>
      <c r="N37" s="19" t="s">
        <v>160</v>
      </c>
      <c r="O37" s="149" t="str">
        <f>IF('Identify beneficiaries'!E23="Y",IF(OR($I37="Qualitative",$I37="Not relevant"),$I37,ROUND($I37*'Summary of area'!$E$37/'Identify beneficiaries'!$L23,3-LEN(INT($I37*'Summary of area'!$E$37/'Identify beneficiaries'!$L23)))),"")</f>
        <v/>
      </c>
      <c r="P37" s="149" t="str">
        <f>IF('Identify beneficiaries'!F23="Y",IF(OR($I37="Qualitative",$I37="Not relevant"),$I37,ROUND($I37*'Summary of area'!$E$37/'Identify beneficiaries'!$L23,3-LEN(INT($I37*'Summary of area'!$E$37/'Identify beneficiaries'!$L23)))),"")</f>
        <v/>
      </c>
      <c r="Q37" s="149" t="str">
        <f>IF('Identify beneficiaries'!G23="Y",IF(OR($I37="Qualitative",$I37="Not relevant"),$I37,ROUND($I37*'Summary of area'!$E$37/'Identify beneficiaries'!$L23,3-LEN(INT($I37*'Summary of area'!$E$37/'Identify beneficiaries'!$L23)))),"")</f>
        <v/>
      </c>
      <c r="R37" s="149" t="str">
        <f>IF('Identify beneficiaries'!H23="Y",IF(OR($I37="Qualitative",$I37="Not relevant"),$I37,ROUND($I37*'Summary of area'!$E$37/'Identify beneficiaries'!$L23,3-LEN(INT($I37*'Summary of area'!$E$37/'Identify beneficiaries'!$L23)))),"")</f>
        <v>Qualitative</v>
      </c>
      <c r="S37" s="149" t="str">
        <f>IF('Identify beneficiaries'!I23="Y",IF(OR($I37="Qualitative",$I37="Not relevant"),$I37,ROUND($I37*'Summary of area'!$E$37/'Identify beneficiaries'!$L23,3-LEN(INT($I37*'Summary of area'!$E$37/'Identify beneficiaries'!$L23)))),"")</f>
        <v>Qualitative</v>
      </c>
      <c r="T37" s="149" t="str">
        <f>IF('Identify beneficiaries'!J23="Y",IF(OR($I37="Qualitative",$I37="Not relevant"),$I37,ROUND($I37*'Summary of area'!$E$37/'Identify beneficiaries'!$L23,3-LEN(INT($I37*'Summary of area'!$E$37/'Identify beneficiaries'!$L23)))),"")</f>
        <v/>
      </c>
      <c r="U37" s="149" t="str">
        <f>IF('Identify beneficiaries'!K23="Y",IF(OR($I37="Qualitative",$I37="Not relevant"),$I37,ROUND($I37*'Summary of area'!$E$37/'Identify beneficiaries'!$L23,3-LEN(INT($I37*'Summary of area'!$E$37/'Identify beneficiaries'!$L23)))),"")</f>
        <v/>
      </c>
      <c r="V37" s="149" t="str">
        <f>IF(OR(I37="Qualitative",I37="Not relevant"),I37,ROUND(I37*'Summary of area'!$D$37,3-LEN(INT(I37*'Summary of area'!$D$37))))</f>
        <v>Qualitative</v>
      </c>
      <c r="X37" s="14" t="str">
        <f t="shared" si="0"/>
        <v/>
      </c>
      <c r="Y37" s="14" t="str">
        <f t="shared" si="1"/>
        <v/>
      </c>
    </row>
    <row r="38" spans="1:25" ht="25.5" customHeight="1" thickBot="1">
      <c r="A38" s="597"/>
      <c r="B38" s="602"/>
      <c r="C38" s="602"/>
      <c r="D38" s="666">
        <f>IF('Describe baseline'!E38="-","+",IF('Describe baseline'!E38="+","-",'Describe baseline'!E38))</f>
        <v>0</v>
      </c>
      <c r="E38" s="668" t="str">
        <f>IF(ISERROR(LEFT('Describe baseline'!F38,'OUTPUT-all'!J38-2)),"",LEFT('Describe baseline'!F38,'OUTPUT-all'!J38-2))</f>
        <v/>
      </c>
      <c r="F38" s="666" t="str">
        <f>IF(ISERROR(LEFT('Describe baseline'!G38:G42,'OUTPUT-all'!K38-2)),"",LEFT('Describe baseline'!G38:G42,'OUTPUT-all'!K38-2))</f>
        <v/>
      </c>
      <c r="G38" s="666" t="str">
        <f>IF(ISERROR(LEFT('Describe baseline'!H38:H42,'OUTPUT-all'!L38-2)),"",LEFT('Describe baseline'!H38:H42,'OUTPUT-all'!L38-2))</f>
        <v/>
      </c>
      <c r="H38" s="371" t="str">
        <f>"Rail: "&amp;IF(ISERROR(LEFT('Water levels-Transport (rail)'!K175,'OUTPUT-all'!M38-2)),"",LEFT('Water levels-Transport (rail)'!K175,'OUTPUT-all'!M38-1))</f>
        <v xml:space="preserve">Rail: </v>
      </c>
      <c r="I38" s="485">
        <f>IF('Water levels-Transport (rail)'!D173="Enter delay",IF(D38="Neutral","Not relevant","Qualitative"),ROUND('Water levels-Transport (rail)'!H173,3-LEN(INT('Water levels-Transport (rail)'!H173))))</f>
        <v>0</v>
      </c>
      <c r="J38" s="154" t="e">
        <f>FIND("(",'Describe baseline'!F38)</f>
        <v>#VALUE!</v>
      </c>
      <c r="K38" s="154" t="e">
        <f>FIND("(",'Describe baseline'!G38)</f>
        <v>#VALUE!</v>
      </c>
      <c r="L38" s="154" t="e">
        <f>FIND(":",'Describe baseline'!H38)</f>
        <v>#VALUE!</v>
      </c>
      <c r="M38" s="154" t="e">
        <f>FIND(":",'Water levels-Transport (rail)'!K173)</f>
        <v>#VALUE!</v>
      </c>
      <c r="N38" s="19" t="s">
        <v>160</v>
      </c>
      <c r="O38" s="149" t="str">
        <f>IF('Identify beneficiaries'!E24="Y",IF(OR($I38="Qualitative",$I38="Not relevant"),$I38,ROUND($I38*'Summary of area'!$E$38/'Identify beneficiaries'!$L24,3-LEN(INT($I38*'Summary of area'!$E$38/'Identify beneficiaries'!$L24)))),"")</f>
        <v/>
      </c>
      <c r="P38" s="149" t="str">
        <f>IF('Identify beneficiaries'!F24="Y",IF(OR($I38="Qualitative",$I38="Not relevant"),$I38,ROUND($I38*'Summary of area'!$E$38/'Identify beneficiaries'!$L24,3-LEN(INT($I38*'Summary of area'!$E$38/'Identify beneficiaries'!$L24)))),"")</f>
        <v/>
      </c>
      <c r="Q38" s="149" t="str">
        <f>IF('Identify beneficiaries'!G24="Y",IF(OR($I38="Qualitative",$I38="Not relevant"),$I38,ROUND($I38*'Summary of area'!$E$38/'Identify beneficiaries'!$L24,3-LEN(INT($I38*'Summary of area'!$E$38/'Identify beneficiaries'!$L24)))),"")</f>
        <v/>
      </c>
      <c r="R38" s="149" t="str">
        <f>IF('Identify beneficiaries'!H24="Y",IF(OR($I38="Qualitative",$I38="Not relevant"),$I38,ROUND($I38*'Summary of area'!$E$38/'Identify beneficiaries'!$L24,3-LEN(INT($I38*'Summary of area'!$E$38/'Identify beneficiaries'!$L24)))),"")</f>
        <v/>
      </c>
      <c r="S38" s="149">
        <f>IF('Identify beneficiaries'!I24="Y",IF(OR($I38="Qualitative",$I38="Not relevant"),$I38,ROUND($I38*'Summary of area'!$E$38/'Identify beneficiaries'!$L24,3-LEN(INT($I38*'Summary of area'!$E$38/'Identify beneficiaries'!$L24)))),"")</f>
        <v>0</v>
      </c>
      <c r="T38" s="149" t="str">
        <f>IF('Identify beneficiaries'!J24="Y",IF(OR($I38="Qualitative",$I38="Not relevant"),$I38,ROUND($I38*'Summary of area'!$E$38/'Identify beneficiaries'!$L24,3-LEN(INT($I38*'Summary of area'!$E$38/'Identify beneficiaries'!$L24)))),"")</f>
        <v/>
      </c>
      <c r="U38" s="149" t="str">
        <f>IF('Identify beneficiaries'!K24="Y",IF(OR($I38="Qualitative",$I38="Not relevant"),$I38,ROUND($I38*'Summary of area'!$E$38/'Identify beneficiaries'!$L24,3-LEN(INT($I38*'Summary of area'!$E$38/'Identify beneficiaries'!$L24)))),"")</f>
        <v/>
      </c>
      <c r="V38" s="149">
        <f>IF(OR(I38="Qualitative",I38="Not relevant"),I38,ROUND(I38*'Summary of area'!$D$38,3-LEN(INT(I38*'Summary of area'!$D$38))))</f>
        <v>0</v>
      </c>
      <c r="X38" s="14" t="str">
        <f t="shared" si="0"/>
        <v/>
      </c>
      <c r="Y38" s="14" t="str">
        <f t="shared" si="1"/>
        <v/>
      </c>
    </row>
    <row r="39" spans="1:25" ht="12.75" customHeight="1" hidden="1">
      <c r="A39" s="597"/>
      <c r="B39" s="602"/>
      <c r="C39" s="602"/>
      <c r="D39" s="666">
        <f>IF('Describe baseline'!E39="-","+",IF('Describe baseline'!E39="+","-",'Describe baseline'!E39))</f>
        <v>0</v>
      </c>
      <c r="E39" s="668" t="str">
        <f>IF(ISERROR(LEFT('Describe baseline'!F39,'OUTPUT-all'!J39-2)),"",LEFT('Describe baseline'!F39,'OUTPUT-all'!J39-2))</f>
        <v/>
      </c>
      <c r="F39" s="666" t="str">
        <f>IF(ISERROR(LEFT('Describe baseline'!G39:G43,'OUTPUT-all'!K39-2)),"",LEFT('Describe baseline'!G39:G43,'OUTPUT-all'!K39-2))</f>
        <v/>
      </c>
      <c r="G39" s="666" t="str">
        <f>IF(ISERROR(LEFT('Describe baseline'!H39:H43,'OUTPUT-all'!L39-2)),"",LEFT('Describe baseline'!H39:H43,'OUTPUT-all'!L39-2))</f>
        <v/>
      </c>
      <c r="H39" s="480"/>
      <c r="I39" s="486" t="e">
        <f>IF(D39="-",ROUND(#REF!,3-LEN(INT(#REF!)))*-1,ROUND(#REF!,3-LEN(INT(#REF!))))</f>
        <v>#REF!</v>
      </c>
      <c r="J39" s="154" t="e">
        <f>FIND("(",'Describe baseline'!F39)</f>
        <v>#VALUE!</v>
      </c>
      <c r="K39" s="154" t="e">
        <f>FIND("(",'Describe baseline'!G39)</f>
        <v>#VALUE!</v>
      </c>
      <c r="L39" s="154" t="e">
        <f>FIND(":",'Describe baseline'!H39)</f>
        <v>#VALUE!</v>
      </c>
      <c r="M39" s="154">
        <f>FIND(":",'Water levels-Transport (rail)'!K175)</f>
        <v>5</v>
      </c>
      <c r="N39" s="148"/>
      <c r="O39" s="149"/>
      <c r="P39" s="149"/>
      <c r="Q39" s="149"/>
      <c r="R39" s="149"/>
      <c r="S39" s="149"/>
      <c r="T39" s="149"/>
      <c r="U39" s="149"/>
      <c r="V39" s="149"/>
      <c r="X39" s="14" t="e">
        <f t="shared" si="0"/>
        <v>#REF!</v>
      </c>
      <c r="Y39" s="14" t="e">
        <f t="shared" si="1"/>
        <v>#REF!</v>
      </c>
    </row>
    <row r="40" spans="1:25" ht="12.75" customHeight="1" hidden="1">
      <c r="A40" s="597"/>
      <c r="B40" s="615"/>
      <c r="C40" s="615"/>
      <c r="D40" s="654">
        <f>IF('Describe baseline'!E40="-","+",IF('Describe baseline'!E40="+","-",'Describe baseline'!E40))</f>
        <v>0</v>
      </c>
      <c r="E40" s="668" t="str">
        <f>IF(ISERROR(LEFT('Describe baseline'!F40,'OUTPUT-all'!J40-2)),"",LEFT('Describe baseline'!F40,'OUTPUT-all'!J40-2))</f>
        <v/>
      </c>
      <c r="F40" s="654" t="str">
        <f>IF(ISERROR(LEFT('Describe baseline'!G40:G44,'OUTPUT-all'!K40-2)),"",LEFT('Describe baseline'!G40:G44,'OUTPUT-all'!K40-2))</f>
        <v/>
      </c>
      <c r="G40" s="654" t="str">
        <f>IF(ISERROR(LEFT('Describe baseline'!H40:H44,'OUTPUT-all'!L40-2)),"",LEFT('Describe baseline'!H40:H44,'OUTPUT-all'!L40-2))</f>
        <v/>
      </c>
      <c r="H40" s="476"/>
      <c r="I40" s="483" t="e">
        <f>IF(D40="-",ROUND(#REF!,3-LEN(INT(#REF!)))*-1,ROUND(#REF!,3-LEN(INT(#REF!))))</f>
        <v>#REF!</v>
      </c>
      <c r="J40" s="154" t="e">
        <f>FIND("(",'Describe baseline'!F40)</f>
        <v>#VALUE!</v>
      </c>
      <c r="K40" s="154" t="e">
        <f>FIND("(",'Describe baseline'!G40)</f>
        <v>#VALUE!</v>
      </c>
      <c r="L40" s="154" t="e">
        <f>FIND(":",'Describe baseline'!H40)</f>
        <v>#VALUE!</v>
      </c>
      <c r="M40" s="154" t="e">
        <f>FIND(":",'Water levels-Transport (rail)'!K176)</f>
        <v>#VALUE!</v>
      </c>
      <c r="N40" s="148"/>
      <c r="O40" s="149"/>
      <c r="P40" s="149"/>
      <c r="Q40" s="149"/>
      <c r="R40" s="149"/>
      <c r="S40" s="149"/>
      <c r="T40" s="149"/>
      <c r="U40" s="149"/>
      <c r="V40" s="149"/>
      <c r="X40" s="14" t="e">
        <f t="shared" si="0"/>
        <v>#REF!</v>
      </c>
      <c r="Y40" s="14" t="e">
        <f t="shared" si="1"/>
        <v>#REF!</v>
      </c>
    </row>
    <row r="41" spans="1:25" ht="12.75" customHeight="1" hidden="1">
      <c r="A41" s="597"/>
      <c r="B41" s="615"/>
      <c r="C41" s="679"/>
      <c r="D41" s="667">
        <f>IF('Describe baseline'!E41="-","+",IF('Describe baseline'!E41="+","-",'Describe baseline'!E41))</f>
        <v>0</v>
      </c>
      <c r="E41" s="668" t="str">
        <f>IF(ISERROR(LEFT('Describe baseline'!F41,'OUTPUT-all'!J41-2)),"",LEFT('Describe baseline'!F41,'OUTPUT-all'!J41-2))</f>
        <v/>
      </c>
      <c r="F41" s="667" t="str">
        <f>IF(ISERROR(LEFT('Describe baseline'!G41:G45,'OUTPUT-all'!K41-2)),"",LEFT('Describe baseline'!G41:G45,'OUTPUT-all'!K41-2))</f>
        <v/>
      </c>
      <c r="G41" s="667" t="str">
        <f>IF(ISERROR(LEFT('Describe baseline'!H41:H45,'OUTPUT-all'!L41-2)),"",LEFT('Describe baseline'!H41:H45,'OUTPUT-all'!L41-2))</f>
        <v/>
      </c>
      <c r="H41" s="477"/>
      <c r="I41" s="398" t="e">
        <f>IF(D41="-",ROUND(#REF!,3-LEN(INT(#REF!)))*-1,ROUND(#REF!,3-LEN(INT(#REF!))))</f>
        <v>#REF!</v>
      </c>
      <c r="J41" s="154" t="e">
        <f>FIND("(",'Describe baseline'!F41)</f>
        <v>#VALUE!</v>
      </c>
      <c r="K41" s="154" t="e">
        <f>FIND("(",'Describe baseline'!G41)</f>
        <v>#VALUE!</v>
      </c>
      <c r="L41" s="154" t="e">
        <f>FIND(":",'Describe baseline'!H41)</f>
        <v>#VALUE!</v>
      </c>
      <c r="M41" s="154" t="e">
        <f>FIND(":",'Water levels-Transport (rail)'!K177)</f>
        <v>#VALUE!</v>
      </c>
      <c r="N41" s="148"/>
      <c r="O41" s="149"/>
      <c r="P41" s="149"/>
      <c r="Q41" s="149"/>
      <c r="R41" s="149"/>
      <c r="S41" s="149"/>
      <c r="T41" s="149"/>
      <c r="U41" s="149"/>
      <c r="V41" s="149"/>
      <c r="X41" s="14" t="e">
        <f t="shared" si="0"/>
        <v>#REF!</v>
      </c>
      <c r="Y41" s="14" t="e">
        <f t="shared" si="1"/>
        <v>#REF!</v>
      </c>
    </row>
    <row r="42" spans="1:25" ht="39" customHeight="1" thickBot="1">
      <c r="A42" s="597"/>
      <c r="B42" s="615"/>
      <c r="C42" s="596" t="s">
        <v>53</v>
      </c>
      <c r="D42" s="665">
        <f>IF('Describe baseline'!E42="-","+",IF('Describe baseline'!E42="+","-",'Describe baseline'!E42))</f>
        <v>0</v>
      </c>
      <c r="E42" s="665" t="str">
        <f>IF(ISERROR(LEFT('Describe baseline'!F42,'OUTPUT-all'!J42-2)),"",LEFT('Describe baseline'!F42,'OUTPUT-all'!J42-2))</f>
        <v/>
      </c>
      <c r="F42" s="665" t="str">
        <f>IF(ISERROR(LEFT('Describe baseline'!G42,'OUTPUT-all'!K42-2)),"",LEFT('Describe baseline'!G42,'OUTPUT-all'!K42-2))</f>
        <v/>
      </c>
      <c r="G42" s="665" t="str">
        <f>IF(ISERROR(LEFT('Describe baseline'!H42:H46,'OUTPUT-all'!L42-1)),"",LEFT('Describe baseline'!H42:H46,'OUTPUT-all'!L42-1))</f>
        <v/>
      </c>
      <c r="H42" s="371" t="str">
        <f>"Road: "&amp;IF(ISERROR(LEFT('Water levels-Transport (road)'!K225,'OUTPUT-all'!M42-2)),"",LEFT('Water levels-Transport (road)'!K225,'OUTPUT-all'!M42-1))</f>
        <v>Road: High</v>
      </c>
      <c r="I42" s="485" t="str">
        <f>IF('Water levels-Transport (road)'!D225="Enter delay",IF(D37="Neutral","Not relevant","Qualitative"),ROUND('Water levels-Transport (road)'!H225,3-LEN(INT('Water levels-Transport (road)'!H225))))</f>
        <v>Qualitative</v>
      </c>
      <c r="J42" s="154" t="e">
        <f>FIND("(",'Describe baseline'!F42)</f>
        <v>#VALUE!</v>
      </c>
      <c r="K42" s="154" t="e">
        <f>FIND("(",'Describe baseline'!G42)</f>
        <v>#VALUE!</v>
      </c>
      <c r="L42" s="154" t="e">
        <f>FIND(":",'Describe baseline'!H42)</f>
        <v>#VALUE!</v>
      </c>
      <c r="M42" s="154">
        <f>FIND(":",'Water levels-Transport (road)'!K225)</f>
        <v>5</v>
      </c>
      <c r="N42" s="19" t="s">
        <v>829</v>
      </c>
      <c r="O42" s="149" t="str">
        <f>IF('Identify beneficiaries'!E25="Y",IF(OR($I42="Qualitative",$I42="Not relevant"),$I42,$I42*'Summary of area'!$E$37/'Identify beneficiaries'!$L25),"")</f>
        <v>Qualitative</v>
      </c>
      <c r="P42" s="149" t="str">
        <f>IF('Identify beneficiaries'!F25="Y",IF(OR($I42="Qualitative",$I42="Not relevant"),$I42,$I42*'Summary of area'!$E$37/'Identify beneficiaries'!$L25),"")</f>
        <v>Qualitative</v>
      </c>
      <c r="Q42" s="149" t="str">
        <f>IF('Identify beneficiaries'!G25="Y",IF(OR($I42="Qualitative",$I42="Not relevant"),$I42,$I42*'Summary of area'!$E$37/'Identify beneficiaries'!$L25),"")</f>
        <v>Qualitative</v>
      </c>
      <c r="R42" s="149" t="str">
        <f>IF('Identify beneficiaries'!H25="Y",IF(OR($I42="Qualitative",$I42="Not relevant"),$I42,$I42*'Summary of area'!$E$37/'Identify beneficiaries'!$L25),"")</f>
        <v>Qualitative</v>
      </c>
      <c r="S42" s="149" t="str">
        <f>IF('Identify beneficiaries'!I25="Y",IF(OR($I42="Qualitative",$I42="Not relevant"),$I42,$I42*'Summary of area'!$E$37/'Identify beneficiaries'!$L25),"")</f>
        <v/>
      </c>
      <c r="T42" s="149" t="str">
        <f>IF('Identify beneficiaries'!J25="Y",IF(OR($I42="Qualitative",$I42="Not relevant"),$I42,$I42*'Summary of area'!$E$37/'Identify beneficiaries'!$L25),"")</f>
        <v>Qualitative</v>
      </c>
      <c r="U42" s="149" t="str">
        <f>IF('Identify beneficiaries'!K25="Y",IF(OR($I42="Qualitative",$I42="Not relevant"),$I42,$I42*'Summary of area'!$E$37/'Identify beneficiaries'!$L25),"")</f>
        <v/>
      </c>
      <c r="V42" s="149" t="str">
        <f>IF(OR(I42="Qualitative",I42="Not relevant"),I42,ROUND(I42*'Summary of area'!$D$37,3-LEN(INT(I42*'Summary of area'!$D$37))))</f>
        <v>Qualitative</v>
      </c>
      <c r="X42" s="14" t="str">
        <f t="shared" si="0"/>
        <v/>
      </c>
      <c r="Y42" s="14" t="str">
        <f t="shared" si="1"/>
        <v/>
      </c>
    </row>
    <row r="43" spans="1:22" ht="39" customHeight="1" thickBot="1">
      <c r="A43" s="597"/>
      <c r="B43" s="615"/>
      <c r="C43" s="598"/>
      <c r="D43" s="689"/>
      <c r="E43" s="689"/>
      <c r="F43" s="689"/>
      <c r="G43" s="689"/>
      <c r="H43" s="371" t="str">
        <f>"Rail: "&amp;IF(ISERROR(LEFT('Water levels-Transport (rail)'!K175,'OUTPUT-all'!M43-2)),"",LEFT('Water levels-Transport (rail)'!K175,'OUTPUT-all'!M43-1))</f>
        <v>Rail: High</v>
      </c>
      <c r="I43" s="485" t="str">
        <f>IF('Water levels-Transport (rail)'!D175="Enter delay",IF(D38="Neutral","Not relevant","Qualitative"),ROUND('Water levels-Transport (rail)'!H175,3-LEN(INT('Water levels-Transport (rail)'!H175))))</f>
        <v>Qualitative</v>
      </c>
      <c r="J43" s="154" t="e">
        <f>FIND("(",'Describe baseline'!F42)</f>
        <v>#VALUE!</v>
      </c>
      <c r="K43" s="154" t="e">
        <f>FIND("(",'Describe baseline'!G42)</f>
        <v>#VALUE!</v>
      </c>
      <c r="L43" s="154" t="e">
        <f>FIND(":",'Describe baseline'!H42)</f>
        <v>#VALUE!</v>
      </c>
      <c r="M43" s="154">
        <f>FIND(":",'Water levels-Transport (rail)'!K175)</f>
        <v>5</v>
      </c>
      <c r="N43" s="19" t="s">
        <v>830</v>
      </c>
      <c r="O43" s="149" t="str">
        <f>IF('Identify beneficiaries'!E26="Y",IF(OR($I43="Qualitative",$I43="Not relevant"),$I43,$I43*'Summary of area'!$E$38/'Identify beneficiaries'!$L26),"")</f>
        <v>Qualitative</v>
      </c>
      <c r="P43" s="149" t="str">
        <f>IF('Identify beneficiaries'!F26="Y",IF(OR($I43="Qualitative",$I43="Not relevant"),$I43,$I43*'Summary of area'!$E$38/'Identify beneficiaries'!$L26),"")</f>
        <v>Qualitative</v>
      </c>
      <c r="Q43" s="149" t="str">
        <f>IF('Identify beneficiaries'!G26="Y",IF(OR($I43="Qualitative",$I43="Not relevant"),$I43,$I43*'Summary of area'!$E$38/'Identify beneficiaries'!$L26),"")</f>
        <v>Qualitative</v>
      </c>
      <c r="R43" s="149" t="str">
        <f>IF('Identify beneficiaries'!H26="Y",IF(OR($I43="Qualitative",$I43="Not relevant"),$I43,$I43*'Summary of area'!$E$38/'Identify beneficiaries'!$L26),"")</f>
        <v>Qualitative</v>
      </c>
      <c r="S43" s="149" t="str">
        <f>IF('Identify beneficiaries'!I26="Y",IF(OR($I43="Qualitative",$I43="Not relevant"),$I43,$I43*'Summary of area'!$E$38/'Identify beneficiaries'!$L26),"")</f>
        <v/>
      </c>
      <c r="T43" s="149" t="str">
        <f>IF('Identify beneficiaries'!J26="Y",IF(OR($I43="Qualitative",$I43="Not relevant"),$I43,$I43*'Summary of area'!$E$38/'Identify beneficiaries'!$L26),"")</f>
        <v>Qualitative</v>
      </c>
      <c r="U43" s="149" t="str">
        <f>IF('Identify beneficiaries'!K26="Y",IF(OR($I43="Qualitative",$I43="Not relevant"),$I43,$I43*'Summary of area'!$E$38/'Identify beneficiaries'!$L26),"")</f>
        <v/>
      </c>
      <c r="V43" s="149" t="str">
        <f>IF(OR(I43="Qualitative",I43="Not relevant"),I43,ROUND(I43*'Summary of area'!$D$38,3-LEN(INT(I43*'Summary of area'!$D$38))))</f>
        <v>Qualitative</v>
      </c>
    </row>
    <row r="44" spans="1:25" ht="26.25" thickBot="1">
      <c r="A44" s="609"/>
      <c r="B44" s="616"/>
      <c r="C44" s="28" t="s">
        <v>54</v>
      </c>
      <c r="D44" s="29">
        <f>IF('Describe baseline'!E43="-","+",IF('Describe baseline'!E43="+","-",'Describe baseline'!E43))</f>
        <v>0</v>
      </c>
      <c r="E44" s="29" t="str">
        <f>IF(ISERROR(LEFT('Describe baseline'!F43,'OUTPUT-all'!J44-2)),"",LEFT('Describe baseline'!F43,'OUTPUT-all'!J44-2))</f>
        <v/>
      </c>
      <c r="F44" s="29" t="str">
        <f>IF(ISERROR(LEFT('Describe baseline'!G43,'OUTPUT-all'!K44-2)),"",LEFT('Describe baseline'!G43,'OUTPUT-all'!K44-2))</f>
        <v/>
      </c>
      <c r="G44" s="29" t="str">
        <f>IF(ISERROR(LEFT('Describe baseline'!H43:H47,'OUTPUT-all'!L44-1)),"",LEFT('Describe baseline'!H43:H47,'OUTPUT-all'!L44-1))</f>
        <v/>
      </c>
      <c r="H44" s="29"/>
      <c r="I44" s="99" t="str">
        <f>IF(D44="Neutral","Not relevant","Qualitative")</f>
        <v>Qualitative</v>
      </c>
      <c r="J44" s="154" t="e">
        <f>FIND("(",'Describe baseline'!F43)</f>
        <v>#VALUE!</v>
      </c>
      <c r="K44" s="154" t="e">
        <f>FIND("(",'Describe baseline'!G43)</f>
        <v>#VALUE!</v>
      </c>
      <c r="L44" s="154" t="e">
        <f>FIND(":",'Describe baseline'!H43)</f>
        <v>#VALUE!</v>
      </c>
      <c r="M44" s="364"/>
      <c r="N44" s="62" t="s">
        <v>161</v>
      </c>
      <c r="O44" s="150" t="str">
        <f>IF('Identify beneficiaries'!E27="Y",IF(OR($I44="Qualitative",$I44="Not relevant"),$I44,$I44*'Summary of area'!$C$22/'Identify beneficiaries'!$L27),"")</f>
        <v/>
      </c>
      <c r="P44" s="150" t="str">
        <f>IF('Identify beneficiaries'!F27="Y",IF(OR($I44="Qualitative",$I44="Not relevant"),$I44,$I44*'Summary of area'!$C$22/'Identify beneficiaries'!$L27),"")</f>
        <v/>
      </c>
      <c r="Q44" s="150" t="str">
        <f>IF('Identify beneficiaries'!G27="Y",IF(OR($I44="Qualitative",$I44="Not relevant"),$I44,$I44*'Summary of area'!$C$22/'Identify beneficiaries'!$L27),"")</f>
        <v/>
      </c>
      <c r="R44" s="150" t="str">
        <f>IF('Identify beneficiaries'!H27="Y",IF(OR($I44="Qualitative",$I44="Not relevant"),$I44,$I44*'Summary of area'!$C$22/'Identify beneficiaries'!$L27),"")</f>
        <v/>
      </c>
      <c r="S44" s="150" t="str">
        <f>IF('Identify beneficiaries'!I27="Y",IF(OR($I44="Qualitative",$I44="Not relevant"),$I44,$I44*'Summary of area'!$C$22/'Identify beneficiaries'!$L27),"")</f>
        <v/>
      </c>
      <c r="T44" s="150" t="str">
        <f>IF('Identify beneficiaries'!J27="Y",IF(OR($I44="Qualitative",$I44="Not relevant"),$I44,$I44*'Summary of area'!$C$22/'Identify beneficiaries'!$L27),"")</f>
        <v>Qualitative</v>
      </c>
      <c r="U44" s="150" t="str">
        <f>IF('Identify beneficiaries'!K27="Y",IF(OR($I44="Qualitative",$I44="Not relevant"),$I44,$I44*'Summary of area'!$C$22/'Identify beneficiaries'!$L27),"")</f>
        <v>Qualitative</v>
      </c>
      <c r="V44" s="149" t="str">
        <f>IF(OR(I44="Qualitative",I44="Not relevant"),I44,ROUND(I44*'Summary of area'!$C$21,3-LEN(INT(I44*'Summary of area'!$C$21))))</f>
        <v>Qualitative</v>
      </c>
      <c r="X44" s="14" t="str">
        <f aca="true" t="shared" si="2" ref="X44:X107">IF(I44="Qualitative",E44,"")</f>
        <v/>
      </c>
      <c r="Y44" s="14" t="str">
        <f aca="true" t="shared" si="3" ref="Y44:Y107">IF(I44="Qualitative",F44,"")</f>
        <v/>
      </c>
    </row>
    <row r="45" spans="1:25" ht="39" customHeight="1" hidden="1" thickBot="1">
      <c r="A45" s="670" t="s">
        <v>40</v>
      </c>
      <c r="B45" s="614" t="s">
        <v>25</v>
      </c>
      <c r="C45" s="30" t="s">
        <v>52</v>
      </c>
      <c r="D45" s="31">
        <f>IF('Describe baseline'!E44="-","+",IF('Describe baseline'!E44="+","-",'Describe baseline'!E44))</f>
        <v>0</v>
      </c>
      <c r="E45" s="31" t="str">
        <f>IF(ISERROR(LEFT('Describe baseline'!F44,'OUTPUT-all'!J45-2)),"",LEFT('Describe baseline'!F44,'OUTPUT-all'!J45-2))</f>
        <v/>
      </c>
      <c r="F45" s="31" t="str">
        <f>IF(ISERROR(LEFT('Describe baseline'!G44,'OUTPUT-all'!K45-2)),"",LEFT('Describe baseline'!G44,'OUTPUT-all'!K45-2))</f>
        <v/>
      </c>
      <c r="G45" s="31" t="str">
        <f>IF(ISERROR(LEFT('Describe baseline'!H44:H48,'OUTPUT-all'!L45-1)),"",LEFT('Describe baseline'!H44:H48,'OUTPUT-all'!L45-1))</f>
        <v/>
      </c>
      <c r="H45" s="31"/>
      <c r="I45" s="100" t="str">
        <f>IF(D45="Neutral","Not relevant","Qualitative")</f>
        <v>Qualitative</v>
      </c>
      <c r="J45" s="154" t="e">
        <f>FIND("(",'Describe baseline'!F44)</f>
        <v>#VALUE!</v>
      </c>
      <c r="K45" s="154" t="e">
        <f>FIND("(",'Describe baseline'!G44)</f>
        <v>#VALUE!</v>
      </c>
      <c r="L45" s="154" t="e">
        <f>FIND(":",'Describe baseline'!H44)</f>
        <v>#VALUE!</v>
      </c>
      <c r="M45" s="154"/>
      <c r="N45" s="61" t="s">
        <v>162</v>
      </c>
      <c r="O45" s="147" t="str">
        <f>IF('Identify beneficiaries'!E28="Y",IF(OR($I45="Qualitative",$I45="Not relevant"),$I45,$I45*'Summary of area'!$C$22/'Identify beneficiaries'!$L28),"")</f>
        <v>Qualitative</v>
      </c>
      <c r="P45" s="147" t="str">
        <f>IF('Identify beneficiaries'!F28="Y",IF(OR($I45="Qualitative",$I45="Not relevant"),$I45,$I45*'Summary of area'!$C$22/'Identify beneficiaries'!$L28),"")</f>
        <v/>
      </c>
      <c r="Q45" s="147" t="str">
        <f>IF('Identify beneficiaries'!G28="Y",IF(OR($I45="Qualitative",$I45="Not relevant"),$I45,$I45*'Summary of area'!$C$22/'Identify beneficiaries'!$L28),"")</f>
        <v/>
      </c>
      <c r="R45" s="147" t="str">
        <f>IF('Identify beneficiaries'!H28="Y",IF(OR($I45="Qualitative",$I45="Not relevant"),$I45,$I45*'Summary of area'!$C$22/'Identify beneficiaries'!$L28),"")</f>
        <v/>
      </c>
      <c r="S45" s="147" t="str">
        <f>IF('Identify beneficiaries'!I28="Y",IF(OR($I45="Qualitative",$I45="Not relevant"),$I45,$I45*'Summary of area'!$C$22/'Identify beneficiaries'!$L28),"")</f>
        <v/>
      </c>
      <c r="T45" s="147" t="str">
        <f>IF('Identify beneficiaries'!J28="Y",IF(OR($I45="Qualitative",$I45="Not relevant"),$I45,$I45*'Summary of area'!$C$22/'Identify beneficiaries'!$L28),"")</f>
        <v>Qualitative</v>
      </c>
      <c r="U45" s="147" t="str">
        <f>IF('Identify beneficiaries'!K28="Y",IF(OR($I45="Qualitative",$I45="Not relevant"),$I45,$I45*'Summary of area'!$C$22/'Identify beneficiaries'!$L28),"")</f>
        <v/>
      </c>
      <c r="V45" s="147" t="str">
        <f>IF(OR(I45="Qualitative",I45="Not relevant"),I45,ROUND(I45*'Summary of area'!$C$21,3-LEN(INT(I45*'Summary of area'!$C$21))))</f>
        <v>Qualitative</v>
      </c>
      <c r="X45" s="14" t="str">
        <f t="shared" si="2"/>
        <v/>
      </c>
      <c r="Y45" s="14" t="str">
        <f t="shared" si="3"/>
        <v/>
      </c>
    </row>
    <row r="46" spans="1:25" ht="39" customHeight="1" hidden="1" thickBot="1">
      <c r="A46" s="607"/>
      <c r="B46" s="597"/>
      <c r="C46" s="20" t="s">
        <v>53</v>
      </c>
      <c r="D46" s="21">
        <f>IF('Describe baseline'!E45="-","+",IF('Describe baseline'!E45="+","-",'Describe baseline'!E45))</f>
        <v>0</v>
      </c>
      <c r="E46" s="21" t="str">
        <f>IF(ISERROR(LEFT('Describe baseline'!F45,'OUTPUT-all'!J46-2)),"",LEFT('Describe baseline'!F45,'OUTPUT-all'!J46-2))</f>
        <v/>
      </c>
      <c r="F46" s="21" t="str">
        <f>IF(ISERROR(LEFT('Describe baseline'!G45,'OUTPUT-all'!K46-2)),"",LEFT('Describe baseline'!G45,'OUTPUT-all'!K46-2))</f>
        <v/>
      </c>
      <c r="G46" s="21" t="str">
        <f>IF(ISERROR(LEFT('Describe baseline'!H45:H49,'OUTPUT-all'!L46-1)),"",LEFT('Describe baseline'!H45:H49,'OUTPUT-all'!L46-1))</f>
        <v/>
      </c>
      <c r="H46" s="21"/>
      <c r="I46" s="101" t="str">
        <f>IF(D46="Neutral","Not relevant","Qualitative")</f>
        <v>Qualitative</v>
      </c>
      <c r="J46" s="154" t="e">
        <f>FIND("(",'Describe baseline'!F45)</f>
        <v>#VALUE!</v>
      </c>
      <c r="K46" s="154" t="e">
        <f>FIND("(",'Describe baseline'!G45)</f>
        <v>#VALUE!</v>
      </c>
      <c r="L46" s="154" t="e">
        <f>FIND(":",'Describe baseline'!H45)</f>
        <v>#VALUE!</v>
      </c>
      <c r="M46" s="364"/>
      <c r="N46" s="19" t="s">
        <v>163</v>
      </c>
      <c r="O46" s="149" t="str">
        <f>IF('Identify beneficiaries'!E29="Y",IF(OR($I46="Qualitative",$I46="Not relevant"),$I46,$I46*'Summary of area'!$C$22/'Identify beneficiaries'!$L29),"")</f>
        <v/>
      </c>
      <c r="P46" s="149" t="str">
        <f>IF('Identify beneficiaries'!F29="Y",IF(OR($I46="Qualitative",$I46="Not relevant"),$I46,$I46*'Summary of area'!$C$22/'Identify beneficiaries'!$L29),"")</f>
        <v/>
      </c>
      <c r="Q46" s="149" t="str">
        <f>IF('Identify beneficiaries'!G29="Y",IF(OR($I46="Qualitative",$I46="Not relevant"),$I46,$I46*'Summary of area'!$C$22/'Identify beneficiaries'!$L29),"")</f>
        <v>Qualitative</v>
      </c>
      <c r="R46" s="149" t="str">
        <f>IF('Identify beneficiaries'!H29="Y",IF(OR($I46="Qualitative",$I46="Not relevant"),$I46,$I46*'Summary of area'!$C$22/'Identify beneficiaries'!$L29),"")</f>
        <v/>
      </c>
      <c r="S46" s="149" t="str">
        <f>IF('Identify beneficiaries'!I29="Y",IF(OR($I46="Qualitative",$I46="Not relevant"),$I46,$I46*'Summary of area'!$C$22/'Identify beneficiaries'!$L29),"")</f>
        <v/>
      </c>
      <c r="T46" s="149" t="str">
        <f>IF('Identify beneficiaries'!J29="Y",IF(OR($I46="Qualitative",$I46="Not relevant"),$I46,$I46*'Summary of area'!$C$22/'Identify beneficiaries'!$L29),"")</f>
        <v/>
      </c>
      <c r="U46" s="149" t="str">
        <f>IF('Identify beneficiaries'!K29="Y",IF(OR($I46="Qualitative",$I46="Not relevant"),$I46,$I46*'Summary of area'!$C$22/'Identify beneficiaries'!$L29),"")</f>
        <v/>
      </c>
      <c r="V46" s="149" t="str">
        <f>IF(OR(I46="Qualitative",I46="Not relevant"),I46,ROUND(I46*'Summary of area'!$C$21,3-LEN(INT(I46*'Summary of area'!$C$21))))</f>
        <v>Qualitative</v>
      </c>
      <c r="X46" s="14" t="str">
        <f t="shared" si="2"/>
        <v/>
      </c>
      <c r="Y46" s="14" t="str">
        <f t="shared" si="3"/>
        <v/>
      </c>
    </row>
    <row r="47" spans="1:25" ht="51.75" hidden="1" thickBot="1">
      <c r="A47" s="617"/>
      <c r="B47" s="609"/>
      <c r="C47" s="32" t="s">
        <v>54</v>
      </c>
      <c r="D47" s="33">
        <f>IF('Describe baseline'!E46="-","+",IF('Describe baseline'!E46="+","-",'Describe baseline'!E46))</f>
        <v>0</v>
      </c>
      <c r="E47" s="33" t="str">
        <f>IF(ISERROR(LEFT('Describe baseline'!F46,'OUTPUT-all'!J47-2)),"",LEFT('Describe baseline'!F46,'OUTPUT-all'!J47-2))</f>
        <v/>
      </c>
      <c r="F47" s="33" t="str">
        <f>IF(ISERROR(LEFT('Describe baseline'!G46,'OUTPUT-all'!K47-2)),"",LEFT('Describe baseline'!G46,'OUTPUT-all'!K47-2))</f>
        <v/>
      </c>
      <c r="G47" s="33" t="str">
        <f>IF(ISERROR(LEFT('Describe baseline'!H46:H50,'OUTPUT-all'!L47-1)),"",LEFT('Describe baseline'!H46:H50,'OUTPUT-all'!L47-1))</f>
        <v/>
      </c>
      <c r="H47" s="33"/>
      <c r="I47" s="102" t="str">
        <f>IF(D47="Neutral","Not relevant","Qualitative")</f>
        <v>Qualitative</v>
      </c>
      <c r="J47" s="154" t="e">
        <f>FIND("(",'Describe baseline'!F46)</f>
        <v>#VALUE!</v>
      </c>
      <c r="K47" s="154" t="e">
        <f>FIND("(",'Describe baseline'!G46)</f>
        <v>#VALUE!</v>
      </c>
      <c r="L47" s="154" t="e">
        <f>FIND(":",'Describe baseline'!H46)</f>
        <v>#VALUE!</v>
      </c>
      <c r="M47" s="364"/>
      <c r="N47" s="62" t="s">
        <v>164</v>
      </c>
      <c r="O47" s="150" t="str">
        <f>IF('Identify beneficiaries'!E30="Y",IF(OR($I47="Qualitative",$I47="Not relevant"),$I47,$I47*'Summary of area'!$C$22/'Identify beneficiaries'!$L30),"")</f>
        <v/>
      </c>
      <c r="P47" s="150" t="str">
        <f>IF('Identify beneficiaries'!F30="Y",IF(OR($I47="Qualitative",$I47="Not relevant"),$I47,$I47*'Summary of area'!$C$22/'Identify beneficiaries'!$L30),"")</f>
        <v/>
      </c>
      <c r="Q47" s="150" t="str">
        <f>IF('Identify beneficiaries'!G30="Y",IF(OR($I47="Qualitative",$I47="Not relevant"),$I47,$I47*'Summary of area'!$C$22/'Identify beneficiaries'!$L30),"")</f>
        <v/>
      </c>
      <c r="R47" s="150" t="str">
        <f>IF('Identify beneficiaries'!H30="Y",IF(OR($I47="Qualitative",$I47="Not relevant"),$I47,$I47*'Summary of area'!$C$22/'Identify beneficiaries'!$L30),"")</f>
        <v>Qualitative</v>
      </c>
      <c r="S47" s="150" t="str">
        <f>IF('Identify beneficiaries'!I30="Y",IF(OR($I47="Qualitative",$I47="Not relevant"),$I47,$I47*'Summary of area'!$C$22/'Identify beneficiaries'!$L30),"")</f>
        <v/>
      </c>
      <c r="T47" s="150" t="str">
        <f>IF('Identify beneficiaries'!J30="Y",IF(OR($I47="Qualitative",$I47="Not relevant"),$I47,$I47*'Summary of area'!$C$22/'Identify beneficiaries'!$L30),"")</f>
        <v>Qualitative</v>
      </c>
      <c r="U47" s="150" t="str">
        <f>IF('Identify beneficiaries'!K30="Y",IF(OR($I47="Qualitative",$I47="Not relevant"),$I47,$I47*'Summary of area'!$C$22/'Identify beneficiaries'!$L30),"")</f>
        <v/>
      </c>
      <c r="V47" s="150" t="str">
        <f>IF(OR(I47="Qualitative",I47="Not relevant"),I47,ROUND(I47*'Summary of area'!$C$21,3-LEN(INT(I47*'Summary of area'!$C$21))))</f>
        <v>Qualitative</v>
      </c>
      <c r="X47" s="14" t="str">
        <f t="shared" si="2"/>
        <v/>
      </c>
      <c r="Y47" s="14" t="str">
        <f t="shared" si="3"/>
        <v/>
      </c>
    </row>
    <row r="48" spans="1:25" ht="39" hidden="1" thickBot="1">
      <c r="A48" s="611" t="s">
        <v>3</v>
      </c>
      <c r="B48" s="614" t="s">
        <v>26</v>
      </c>
      <c r="C48" s="30" t="s">
        <v>52</v>
      </c>
      <c r="D48" s="31">
        <f>IF('Describe baseline'!E47="-","+",IF('Describe baseline'!E47="+","-",'Describe baseline'!E47))</f>
        <v>0</v>
      </c>
      <c r="E48" s="31" t="str">
        <f>IF(ISERROR(LEFT('Describe baseline'!F47,'OUTPUT-all'!J48-2)),"",LEFT('Describe baseline'!F47,'OUTPUT-all'!J48-2))</f>
        <v/>
      </c>
      <c r="F48" s="31" t="str">
        <f>IF(ISERROR(LEFT('Describe baseline'!G47,'OUTPUT-all'!K48-2)),"",LEFT('Describe baseline'!G47,'OUTPUT-all'!K48-2))</f>
        <v/>
      </c>
      <c r="G48" s="31" t="str">
        <f>IF(ISERROR(LEFT('Describe baseline'!H47,'OUTPUT-all'!L48-1)),"",LEFT('Describe baseline'!H47,'OUTPUT-all'!L48-1))</f>
        <v/>
      </c>
      <c r="H48" s="31"/>
      <c r="I48" s="100" t="str">
        <f>IF(D48="Neutral","Not relevant","Qualitative")</f>
        <v>Qualitative</v>
      </c>
      <c r="J48" s="154" t="e">
        <f>FIND("(",'Describe baseline'!F47)</f>
        <v>#VALUE!</v>
      </c>
      <c r="K48" s="154" t="e">
        <f>FIND("(",'Describe baseline'!G47)</f>
        <v>#VALUE!</v>
      </c>
      <c r="L48" s="154" t="e">
        <f>FIND(":",'Describe baseline'!H47)</f>
        <v>#VALUE!</v>
      </c>
      <c r="M48" s="154"/>
      <c r="N48" s="61" t="s">
        <v>165</v>
      </c>
      <c r="O48" s="147" t="str">
        <f>IF('Identify beneficiaries'!E31="Y",IF(OR($I48="Qualitative",$I48="Not relevant"),$I48,$I48*'Summary of area'!$C$22/'Identify beneficiaries'!$L31),"")</f>
        <v>Qualitative</v>
      </c>
      <c r="P48" s="147" t="str">
        <f>IF('Identify beneficiaries'!F31="Y",IF(OR($I48="Qualitative",$I48="Not relevant"),$I48,$I48*'Summary of area'!$C$22/'Identify beneficiaries'!$L31),"")</f>
        <v>Qualitative</v>
      </c>
      <c r="Q48" s="147" t="str">
        <f>IF('Identify beneficiaries'!G31="Y",IF(OR($I48="Qualitative",$I48="Not relevant"),$I48,$I48*'Summary of area'!$C$22/'Identify beneficiaries'!$L31),"")</f>
        <v>Qualitative</v>
      </c>
      <c r="R48" s="147" t="str">
        <f>IF('Identify beneficiaries'!H31="Y",IF(OR($I48="Qualitative",$I48="Not relevant"),$I48,$I48*'Summary of area'!$C$22/'Identify beneficiaries'!$L31),"")</f>
        <v>Qualitative</v>
      </c>
      <c r="S48" s="147" t="str">
        <f>IF('Identify beneficiaries'!I31="Y",IF(OR($I48="Qualitative",$I48="Not relevant"),$I48,$I48*'Summary of area'!$C$22/'Identify beneficiaries'!$L31),"")</f>
        <v/>
      </c>
      <c r="T48" s="147" t="str">
        <f>IF('Identify beneficiaries'!J31="Y",IF(OR($I48="Qualitative",$I48="Not relevant"),$I48,$I48*'Summary of area'!$C$22/'Identify beneficiaries'!$L31),"")</f>
        <v/>
      </c>
      <c r="U48" s="147" t="str">
        <f>IF('Identify beneficiaries'!K31="Y",IF(OR($I48="Qualitative",$I48="Not relevant"),$I48,$I48*'Summary of area'!$C$22/'Identify beneficiaries'!$L31),"")</f>
        <v/>
      </c>
      <c r="V48" s="147" t="str">
        <f>IF(OR(I48="Qualitative",I48="Not relevant"),I48,ROUND(I48*'Summary of area'!$C$21,3-LEN(INT(I48*'Summary of area'!$C$21))))</f>
        <v>Qualitative</v>
      </c>
      <c r="X48" s="14" t="str">
        <f t="shared" si="2"/>
        <v/>
      </c>
      <c r="Y48" s="14" t="str">
        <f t="shared" si="3"/>
        <v/>
      </c>
    </row>
    <row r="49" spans="1:25" ht="13.5" hidden="1" thickBot="1">
      <c r="A49" s="612"/>
      <c r="B49" s="615"/>
      <c r="C49" s="55" t="s">
        <v>53</v>
      </c>
      <c r="D49" s="57"/>
      <c r="E49" s="57"/>
      <c r="F49" s="57"/>
      <c r="G49" s="57"/>
      <c r="H49" s="57"/>
      <c r="I49" s="97"/>
      <c r="J49" s="154" t="e">
        <f>FIND("(",'Describe baseline'!F48)</f>
        <v>#VALUE!</v>
      </c>
      <c r="K49" s="154" t="e">
        <f>FIND("(",'Describe baseline'!G48)</f>
        <v>#VALUE!</v>
      </c>
      <c r="L49" s="154" t="e">
        <f>FIND(":",'Describe baseline'!H48)</f>
        <v>#VALUE!</v>
      </c>
      <c r="M49" s="364"/>
      <c r="N49" s="97"/>
      <c r="O49" s="97"/>
      <c r="P49" s="97"/>
      <c r="Q49" s="97"/>
      <c r="R49" s="97"/>
      <c r="S49" s="97"/>
      <c r="T49" s="97"/>
      <c r="U49" s="97"/>
      <c r="V49" s="97"/>
      <c r="X49" s="14" t="str">
        <f t="shared" si="2"/>
        <v/>
      </c>
      <c r="Y49" s="14" t="str">
        <f t="shared" si="3"/>
        <v/>
      </c>
    </row>
    <row r="50" spans="1:25" ht="13.5" hidden="1" thickBot="1">
      <c r="A50" s="613"/>
      <c r="B50" s="616"/>
      <c r="C50" s="58" t="s">
        <v>54</v>
      </c>
      <c r="D50" s="60"/>
      <c r="E50" s="60"/>
      <c r="F50" s="60"/>
      <c r="G50" s="60"/>
      <c r="H50" s="60"/>
      <c r="I50" s="98"/>
      <c r="J50" s="154" t="e">
        <f>FIND("(",'Describe baseline'!F49)</f>
        <v>#VALUE!</v>
      </c>
      <c r="K50" s="154" t="e">
        <f>FIND("(",'Describe baseline'!G49)</f>
        <v>#VALUE!</v>
      </c>
      <c r="L50" s="154" t="e">
        <f>FIND(":",'Describe baseline'!H49)</f>
        <v>#VALUE!</v>
      </c>
      <c r="M50" s="364"/>
      <c r="N50" s="98"/>
      <c r="O50" s="98"/>
      <c r="P50" s="98"/>
      <c r="Q50" s="98"/>
      <c r="R50" s="98"/>
      <c r="S50" s="98"/>
      <c r="T50" s="98"/>
      <c r="U50" s="98"/>
      <c r="V50" s="98"/>
      <c r="X50" s="14" t="str">
        <f t="shared" si="2"/>
        <v/>
      </c>
      <c r="Y50" s="14" t="str">
        <f t="shared" si="3"/>
        <v/>
      </c>
    </row>
    <row r="51" spans="1:25" ht="15.75" thickBot="1">
      <c r="A51" s="686" t="s">
        <v>4</v>
      </c>
      <c r="B51" s="687"/>
      <c r="C51" s="4"/>
      <c r="D51" s="96"/>
      <c r="E51" s="96"/>
      <c r="F51" s="96"/>
      <c r="G51" s="96"/>
      <c r="H51" s="96"/>
      <c r="I51" s="103"/>
      <c r="J51" s="154" t="e">
        <f>FIND("(",'Describe baseline'!F50)</f>
        <v>#VALUE!</v>
      </c>
      <c r="K51" s="154" t="e">
        <f>FIND("(",'Describe baseline'!G50)</f>
        <v>#VALUE!</v>
      </c>
      <c r="L51" s="154" t="e">
        <f>FIND(":",'Describe baseline'!H50)</f>
        <v>#VALUE!</v>
      </c>
      <c r="M51" s="365"/>
      <c r="O51" s="147"/>
      <c r="P51" s="147"/>
      <c r="Q51" s="147"/>
      <c r="R51" s="147"/>
      <c r="S51" s="147"/>
      <c r="T51" s="147"/>
      <c r="U51" s="147"/>
      <c r="V51" s="147"/>
      <c r="X51" s="14" t="str">
        <f t="shared" si="2"/>
        <v/>
      </c>
      <c r="Y51" s="14" t="str">
        <f t="shared" si="3"/>
        <v/>
      </c>
    </row>
    <row r="52" spans="1:25" ht="15" customHeight="1" thickBot="1">
      <c r="A52" s="606" t="s">
        <v>5</v>
      </c>
      <c r="B52" s="608" t="s">
        <v>27</v>
      </c>
      <c r="C52" s="608" t="s">
        <v>52</v>
      </c>
      <c r="D52" s="663">
        <f>IF('Describe baseline'!E51="-","+",IF('Describe baseline'!E51="+","-",'Describe baseline'!E51))</f>
        <v>0</v>
      </c>
      <c r="E52" s="663" t="str">
        <f>IF(ISERROR(LEFT('Describe baseline'!F51,'OUTPUT-all'!J52-2)),"",LEFT('Describe baseline'!F51,'OUTPUT-all'!J52-2))</f>
        <v/>
      </c>
      <c r="F52" s="663" t="str">
        <f>IF(ISERROR(LEFT('Describe baseline'!G51,'OUTPUT-all'!K52-2)),"",LEFT('Describe baseline'!G51,'OUTPUT-all'!K52-2))</f>
        <v/>
      </c>
      <c r="G52" s="663" t="str">
        <f>IF(ISERROR(LEFT('Describe baseline'!H51,'OUTPUT-all'!L52-1)),"",LEFT('Describe baseline'!H51,'OUTPUT-all'!L52-1))</f>
        <v/>
      </c>
      <c r="H52" s="371" t="str">
        <f>IF(ISERROR(LEFT('Food production'!K267,'OUTPUT-all'!M52-1)),"",LEFT('Food production'!K267,'OUTPUT-all'!M52-1))</f>
        <v>High</v>
      </c>
      <c r="I52" s="658">
        <f>IF('Food production'!D267="Enter number of hecatres",IF(D52="Neutral","Not relevant","Qualitative"),ROUND('Food production'!H267,3-LEN(INT('Food production'!H267))))</f>
        <v>0</v>
      </c>
      <c r="J52" s="154" t="e">
        <f>FIND("(",'Describe baseline'!F51)</f>
        <v>#VALUE!</v>
      </c>
      <c r="K52" s="154" t="e">
        <f>FIND("(",'Describe baseline'!G51)</f>
        <v>#VALUE!</v>
      </c>
      <c r="L52" s="154" t="e">
        <f>FIND(":",'Describe baseline'!H51)</f>
        <v>#VALUE!</v>
      </c>
      <c r="M52" s="154">
        <f>FIND(":",'Food production'!K267)</f>
        <v>5</v>
      </c>
      <c r="N52" s="61" t="s">
        <v>163</v>
      </c>
      <c r="O52" s="147" t="str">
        <f>IF('Identify beneficiaries'!E35="Y",IF(OR($I52="Qualitative",$I52="Not relevant"),$I52,ROUND($I52*'Summary of area'!$E$39/'Identify beneficiaries'!$L35,3-LEN(INT($I52*'Summary of area'!$E$39/'Identify beneficiaries'!$L35)))),"")</f>
        <v/>
      </c>
      <c r="P52" s="147" t="str">
        <f>IF('Identify beneficiaries'!F35="Y",IF(OR($I52="Qualitative",$I52="Not relevant"),$I52,ROUND($I52*'Summary of area'!$E$39/'Identify beneficiaries'!$L35,3-LEN(INT($I52*'Summary of area'!$E$39/'Identify beneficiaries'!$L35)))),"")</f>
        <v/>
      </c>
      <c r="Q52" s="147">
        <f>IF('Identify beneficiaries'!G35="Y",IF(OR($I52="Qualitative",$I52="Not relevant"),$I52,ROUND($I52*'Summary of area'!$E$39/'Identify beneficiaries'!$L35,3-LEN(INT($I52*'Summary of area'!$E$39/'Identify beneficiaries'!$L35)))),"")</f>
        <v>0</v>
      </c>
      <c r="R52" s="147" t="str">
        <f>IF('Identify beneficiaries'!H35="Y",IF(OR($I52="Qualitative",$I52="Not relevant"),$I52,ROUND($I52*'Summary of area'!$E$39/'Identify beneficiaries'!$L35,3-LEN(INT($I52*'Summary of area'!$E$39/'Identify beneficiaries'!$L35)))),"")</f>
        <v/>
      </c>
      <c r="S52" s="147" t="str">
        <f>IF('Identify beneficiaries'!I35="Y",IF(OR($I52="Qualitative",$I52="Not relevant"),$I52,ROUND($I52*'Summary of area'!$E$39/'Identify beneficiaries'!$L35,3-LEN(INT($I52*'Summary of area'!$E$39/'Identify beneficiaries'!$L35)))),"")</f>
        <v/>
      </c>
      <c r="T52" s="147" t="str">
        <f>IF('Identify beneficiaries'!J35="Y",IF(OR($I52="Qualitative",$I52="Not relevant"),$I52,ROUND($I52*'Summary of area'!$E$39/'Identify beneficiaries'!$L35,3-LEN(INT($I52*'Summary of area'!$E$39/'Identify beneficiaries'!$L35)))),"")</f>
        <v/>
      </c>
      <c r="U52" s="147" t="str">
        <f>IF('Identify beneficiaries'!K35="Y",IF(OR($I52="Qualitative",$I52="Not relevant"),$I52,ROUND($I52*'Summary of area'!$E$39/'Identify beneficiaries'!$L35,3-LEN(INT($I52*'Summary of area'!$E$39/'Identify beneficiaries'!$L35)))),"")</f>
        <v/>
      </c>
      <c r="V52" s="147">
        <f>IF(OR(I52="Qualitative",I52="Not relevant"),I52,ROUND(I52*'Summary of area'!$D$39,3-LEN(INT(I52*'Summary of area'!$D$39))))</f>
        <v>0</v>
      </c>
      <c r="X52" s="14" t="str">
        <f t="shared" si="2"/>
        <v/>
      </c>
      <c r="Y52" s="14" t="str">
        <f t="shared" si="3"/>
        <v/>
      </c>
    </row>
    <row r="53" spans="1:25" ht="13.5" hidden="1" thickBot="1">
      <c r="A53" s="607"/>
      <c r="B53" s="597"/>
      <c r="C53" s="669"/>
      <c r="D53" s="655">
        <f>IF('Describe baseline'!E52="-","+",IF('Describe baseline'!E52="+","-",'Describe baseline'!E52))</f>
        <v>0</v>
      </c>
      <c r="E53" s="664" t="str">
        <f>IF(ISERROR(LEFT('Describe baseline'!F52,'OUTPUT-all'!J53-2)),"",LEFT('Describe baseline'!F52,'OUTPUT-all'!J53-2))</f>
        <v/>
      </c>
      <c r="F53" s="655" t="str">
        <f>IF(ISERROR(LEFT('Describe baseline'!G52:G56,'OUTPUT-all'!K53-2)),"",LEFT('Describe baseline'!G52:G56,'OUTPUT-all'!K53-2))</f>
        <v/>
      </c>
      <c r="G53" s="655" t="str">
        <f>IF(ISERROR(LEFT('Describe baseline'!H52:H56,'OUTPUT-all'!L53-2)),"",LEFT('Describe baseline'!H52:H56,'OUTPUT-all'!L53-2))</f>
        <v/>
      </c>
      <c r="H53" s="477"/>
      <c r="I53" s="652" t="e">
        <f>ROUND(#REF!,2-LEN(INT(#REF!)))</f>
        <v>#REF!</v>
      </c>
      <c r="J53" s="154" t="e">
        <f>FIND("(",'Describe baseline'!F52)</f>
        <v>#VALUE!</v>
      </c>
      <c r="K53" s="154" t="e">
        <f>FIND("(",'Describe baseline'!G52)</f>
        <v>#VALUE!</v>
      </c>
      <c r="L53" s="154" t="e">
        <f>FIND(":",'Describe baseline'!H52)</f>
        <v>#VALUE!</v>
      </c>
      <c r="M53" s="364"/>
      <c r="N53" s="148"/>
      <c r="O53" s="149"/>
      <c r="P53" s="149"/>
      <c r="Q53" s="149"/>
      <c r="R53" s="149"/>
      <c r="S53" s="149"/>
      <c r="T53" s="149"/>
      <c r="U53" s="149"/>
      <c r="V53" s="149" t="e">
        <f>IF(OR(I53="Qualitative",I53="Not relevant"),I53,ROUND(I53*'Summary of area'!$C$21,3-LEN(INT(I53*'Summary of area'!$C$21))))</f>
        <v>#REF!</v>
      </c>
      <c r="X53" s="14" t="e">
        <f t="shared" si="2"/>
        <v>#REF!</v>
      </c>
      <c r="Y53" s="14" t="e">
        <f t="shared" si="3"/>
        <v>#REF!</v>
      </c>
    </row>
    <row r="54" spans="1:25" ht="13.5" thickBot="1">
      <c r="A54" s="607"/>
      <c r="B54" s="597"/>
      <c r="C54" s="24" t="s">
        <v>53</v>
      </c>
      <c r="D54" s="481">
        <f>IF('Describe baseline'!E53="-","+",IF('Describe baseline'!E53="+","-",'Describe baseline'!E53))</f>
        <v>0</v>
      </c>
      <c r="E54" s="481" t="str">
        <f>IF(ISERROR(LEFT('Describe baseline'!F53,'OUTPUT-all'!J54-2)),"",LEFT('Describe baseline'!F53,'OUTPUT-all'!J54-2))</f>
        <v/>
      </c>
      <c r="F54" s="481" t="str">
        <f>IF(ISERROR(LEFT('Describe baseline'!G53,'OUTPUT-all'!K54-2)),"",LEFT('Describe baseline'!G53,'OUTPUT-all'!K54-2))</f>
        <v/>
      </c>
      <c r="G54" s="481" t="str">
        <f>IF(ISERROR(LEFT('Describe baseline'!H53,'OUTPUT-all'!L54-1)),"",LEFT('Describe baseline'!H53,'OUTPUT-all'!L54-1))</f>
        <v/>
      </c>
      <c r="H54" s="481"/>
      <c r="I54" s="94" t="str">
        <f>IF(D54="Neutral","Not relevant","Qualitative")</f>
        <v>Qualitative</v>
      </c>
      <c r="J54" s="154" t="e">
        <f>FIND("(",'Describe baseline'!F53)</f>
        <v>#VALUE!</v>
      </c>
      <c r="K54" s="154" t="e">
        <f>FIND("(",'Describe baseline'!G53)</f>
        <v>#VALUE!</v>
      </c>
      <c r="L54" s="154" t="e">
        <f>FIND(":",'Describe baseline'!H53)</f>
        <v>#VALUE!</v>
      </c>
      <c r="M54" s="364"/>
      <c r="N54" s="19" t="s">
        <v>166</v>
      </c>
      <c r="O54" s="149" t="str">
        <f>IF('Identify beneficiaries'!E36="Y",IF(OR($I54="Qualitative",$I54="Not relevant"),$I54,$I54*'Summary of area'!$C$22/'Identify beneficiaries'!$L36),"")</f>
        <v>Qualitative</v>
      </c>
      <c r="P54" s="149" t="str">
        <f>IF('Identify beneficiaries'!F36="Y",IF(OR($I54="Qualitative",$I54="Not relevant"),$I54,$I54*'Summary of area'!$C$22/'Identify beneficiaries'!$L36),"")</f>
        <v/>
      </c>
      <c r="Q54" s="149" t="str">
        <f>IF('Identify beneficiaries'!G36="Y",IF(OR($I54="Qualitative",$I54="Not relevant"),$I54,$I54*'Summary of area'!$C$22/'Identify beneficiaries'!$L36),"")</f>
        <v/>
      </c>
      <c r="R54" s="149" t="str">
        <f>IF('Identify beneficiaries'!H36="Y",IF(OR($I54="Qualitative",$I54="Not relevant"),$I54,$I54*'Summary of area'!$C$22/'Identify beneficiaries'!$L36),"")</f>
        <v/>
      </c>
      <c r="S54" s="149" t="str">
        <f>IF('Identify beneficiaries'!I36="Y",IF(OR($I54="Qualitative",$I54="Not relevant"),$I54,$I54*'Summary of area'!$C$22/'Identify beneficiaries'!$L36),"")</f>
        <v/>
      </c>
      <c r="T54" s="149" t="str">
        <f>IF('Identify beneficiaries'!J36="Y",IF(OR($I54="Qualitative",$I54="Not relevant"),$I54,$I54*'Summary of area'!$C$22/'Identify beneficiaries'!$L36),"")</f>
        <v>Qualitative</v>
      </c>
      <c r="U54" s="149" t="str">
        <f>IF('Identify beneficiaries'!K36="Y",IF(OR($I54="Qualitative",$I54="Not relevant"),$I54,$I54*'Summary of area'!$C$22/'Identify beneficiaries'!$L36),"")</f>
        <v/>
      </c>
      <c r="V54" s="149" t="str">
        <f>IF(OR(I54="Qualitative",I54="Not relevant"),I54,ROUND(I54*'Summary of area'!$C$21,3-LEN(INT(I54*'Summary of area'!$C$21))))</f>
        <v>Qualitative</v>
      </c>
      <c r="X54" s="14" t="str">
        <f t="shared" si="2"/>
        <v/>
      </c>
      <c r="Y54" s="14" t="str">
        <f t="shared" si="3"/>
        <v/>
      </c>
    </row>
    <row r="55" spans="1:25" ht="19.5" customHeight="1" thickBot="1">
      <c r="A55" s="617"/>
      <c r="B55" s="609"/>
      <c r="C55" s="28" t="s">
        <v>54</v>
      </c>
      <c r="D55" s="481">
        <f>IF('Describe baseline'!E54="-","+",IF('Describe baseline'!E54="+","-",'Describe baseline'!E54))</f>
        <v>0</v>
      </c>
      <c r="E55" s="481" t="str">
        <f>IF(ISERROR(LEFT('Describe baseline'!F54,'OUTPUT-all'!J55-2)),"",LEFT('Describe baseline'!F54,'OUTPUT-all'!J55-2))</f>
        <v/>
      </c>
      <c r="F55" s="481" t="str">
        <f>IF(ISERROR(LEFT('Describe baseline'!G54,'OUTPUT-all'!K55-2)),"",LEFT('Describe baseline'!G54,'OUTPUT-all'!K55-2))</f>
        <v/>
      </c>
      <c r="G55" s="481" t="str">
        <f>IF(ISERROR(LEFT('Describe baseline'!H54:H58,'OUTPUT-all'!L55-1)),"",LEFT('Describe baseline'!H54:H58,'OUTPUT-all'!L55-1))</f>
        <v/>
      </c>
      <c r="H55" s="481"/>
      <c r="I55" s="94" t="str">
        <f>IF(D55="Neutral","Not relevant","Qualitative")</f>
        <v>Qualitative</v>
      </c>
      <c r="J55" s="325" t="e">
        <f>FIND("(",'Describe baseline'!F54)</f>
        <v>#VALUE!</v>
      </c>
      <c r="K55" s="325" t="e">
        <f>FIND("(",'Describe baseline'!G54)</f>
        <v>#VALUE!</v>
      </c>
      <c r="L55" s="154" t="e">
        <f>FIND(":",'Describe baseline'!H54)</f>
        <v>#VALUE!</v>
      </c>
      <c r="M55" s="364"/>
      <c r="N55" s="19" t="s">
        <v>697</v>
      </c>
      <c r="O55" s="149" t="str">
        <f>IF('Identify beneficiaries'!E37="Y",IF(OR($I55="Qualitative",$I55="Not relevant"),$I55,$I55*'Summary of area'!$C$22/'Identify beneficiaries'!$L37),"")</f>
        <v/>
      </c>
      <c r="P55" s="149" t="str">
        <f>IF('Identify beneficiaries'!F37="Y",IF(OR($I55="Qualitative",$I55="Not relevant"),$I55,$I55*'Summary of area'!$C$22/'Identify beneficiaries'!$L37),"")</f>
        <v/>
      </c>
      <c r="Q55" s="149" t="str">
        <f>IF('Identify beneficiaries'!G37="Y",IF(OR($I55="Qualitative",$I55="Not relevant"),$I55,$I55*'Summary of area'!$C$22/'Identify beneficiaries'!$L37),"")</f>
        <v/>
      </c>
      <c r="R55" s="149" t="str">
        <f>IF('Identify beneficiaries'!H37="Y",IF(OR($I55="Qualitative",$I55="Not relevant"),$I55,$I55*'Summary of area'!$C$22/'Identify beneficiaries'!$L37),"")</f>
        <v/>
      </c>
      <c r="S55" s="149" t="str">
        <f>IF('Identify beneficiaries'!I37="Y",IF(OR($I55="Qualitative",$I55="Not relevant"),$I55,$I55*'Summary of area'!$C$22/'Identify beneficiaries'!$L37),"")</f>
        <v/>
      </c>
      <c r="T55" s="149" t="str">
        <f>IF('Identify beneficiaries'!J37="Y",IF(OR($I55="Qualitative",$I55="Not relevant"),$I55,$I55*'Summary of area'!$C$22/'Identify beneficiaries'!$L37),"")</f>
        <v>Qualitative</v>
      </c>
      <c r="U55" s="149" t="str">
        <f>IF('Identify beneficiaries'!K37="Y",IF(OR($I55="Qualitative",$I55="Not relevant"),$I55,$I55*'Summary of area'!$C$22/'Identify beneficiaries'!$L37),"")</f>
        <v/>
      </c>
      <c r="V55" s="149" t="str">
        <f>IF(OR(I55="Qualitative",I55="Not relevant"),I55,ROUND(I55*'Summary of area'!$C$21,3-LEN(INT(I55*'Summary of area'!$C$21))))</f>
        <v>Qualitative</v>
      </c>
      <c r="X55" s="14" t="str">
        <f t="shared" si="2"/>
        <v/>
      </c>
      <c r="Y55" s="14" t="str">
        <f t="shared" si="3"/>
        <v/>
      </c>
    </row>
    <row r="56" spans="1:25" ht="26.25" hidden="1" thickBot="1">
      <c r="A56" s="611" t="s">
        <v>6</v>
      </c>
      <c r="B56" s="614" t="s">
        <v>28</v>
      </c>
      <c r="C56" s="30" t="s">
        <v>52</v>
      </c>
      <c r="D56" s="31">
        <f>IF('Describe baseline'!E55="-","+",IF('Describe baseline'!E55="+","-",'Describe baseline'!E55))</f>
        <v>0</v>
      </c>
      <c r="E56" s="31" t="str">
        <f>IF(ISERROR(LEFT('Describe baseline'!F55,'OUTPUT-all'!J56-2)),"",LEFT('Describe baseline'!F55,'OUTPUT-all'!J56-2))</f>
        <v/>
      </c>
      <c r="F56" s="31" t="str">
        <f>IF(ISERROR(LEFT('Describe baseline'!G55,'OUTPUT-all'!K56-2)),"",LEFT('Describe baseline'!G55,'OUTPUT-all'!K56-2))</f>
        <v/>
      </c>
      <c r="G56" s="31" t="str">
        <f>IF(ISERROR(LEFT('Describe baseline'!H55:H59,'OUTPUT-all'!L56-1)),"",LEFT('Describe baseline'!H55:H59,'OUTPUT-all'!L56-1))</f>
        <v/>
      </c>
      <c r="H56" s="31"/>
      <c r="I56" s="100" t="str">
        <f>IF(D56="Neutral","Not relevant","Qualitative")</f>
        <v>Qualitative</v>
      </c>
      <c r="J56" s="154" t="e">
        <f>FIND("(",'Describe baseline'!F55)</f>
        <v>#VALUE!</v>
      </c>
      <c r="K56" s="154" t="e">
        <f>FIND("(",'Describe baseline'!G55)</f>
        <v>#VALUE!</v>
      </c>
      <c r="L56" s="154" t="e">
        <f>FIND(":",'Describe baseline'!H55)</f>
        <v>#VALUE!</v>
      </c>
      <c r="M56" s="154"/>
      <c r="N56" s="61" t="s">
        <v>167</v>
      </c>
      <c r="O56" s="147" t="str">
        <f>IF('Identify beneficiaries'!E38="Y",IF(OR($I56="Qualitative",$I56="Not relevant"),$I56,$I56*'Summary of area'!$C$22/'Identify beneficiaries'!$L38),"")</f>
        <v>Qualitative</v>
      </c>
      <c r="P56" s="147" t="str">
        <f>IF('Identify beneficiaries'!F38="Y",IF(OR($I56="Qualitative",$I56="Not relevant"),$I56,$I56*'Summary of area'!$C$22/'Identify beneficiaries'!$L38),"")</f>
        <v/>
      </c>
      <c r="Q56" s="147" t="str">
        <f>IF('Identify beneficiaries'!G38="Y",IF(OR($I56="Qualitative",$I56="Not relevant"),$I56,$I56*'Summary of area'!$C$22/'Identify beneficiaries'!$L38),"")</f>
        <v>Qualitative</v>
      </c>
      <c r="R56" s="147" t="str">
        <f>IF('Identify beneficiaries'!H38="Y",IF(OR($I56="Qualitative",$I56="Not relevant"),$I56,$I56*'Summary of area'!$C$22/'Identify beneficiaries'!$L38),"")</f>
        <v/>
      </c>
      <c r="S56" s="147" t="str">
        <f>IF('Identify beneficiaries'!I38="Y",IF(OR($I56="Qualitative",$I56="Not relevant"),$I56,$I56*'Summary of area'!$C$22/'Identify beneficiaries'!$L38),"")</f>
        <v/>
      </c>
      <c r="T56" s="147" t="str">
        <f>IF('Identify beneficiaries'!J38="Y",IF(OR($I56="Qualitative",$I56="Not relevant"),$I56,$I56*'Summary of area'!$C$22/'Identify beneficiaries'!$L38),"")</f>
        <v>Qualitative</v>
      </c>
      <c r="U56" s="147" t="str">
        <f>IF('Identify beneficiaries'!K38="Y",IF(OR($I56="Qualitative",$I56="Not relevant"),$I56,$I56*'Summary of area'!$C$22/'Identify beneficiaries'!$L38),"")</f>
        <v/>
      </c>
      <c r="V56" s="147" t="str">
        <f>IF(OR(I56="Qualitative",I56="Not relevant"),I56,ROUND(I56*'Summary of area'!$C$21,3-LEN(INT(I56*'Summary of area'!$C$21))))</f>
        <v>Qualitative</v>
      </c>
      <c r="X56" s="14" t="str">
        <f t="shared" si="2"/>
        <v/>
      </c>
      <c r="Y56" s="14" t="str">
        <f t="shared" si="3"/>
        <v/>
      </c>
    </row>
    <row r="57" spans="1:25" ht="13.5" hidden="1" thickBot="1">
      <c r="A57" s="607"/>
      <c r="B57" s="597"/>
      <c r="C57" s="55" t="s">
        <v>53</v>
      </c>
      <c r="D57" s="57"/>
      <c r="E57" s="57"/>
      <c r="F57" s="57"/>
      <c r="G57" s="57"/>
      <c r="H57" s="57"/>
      <c r="I57" s="97"/>
      <c r="J57" s="154" t="e">
        <f>FIND("(",'Describe baseline'!F56)</f>
        <v>#VALUE!</v>
      </c>
      <c r="K57" s="154" t="e">
        <f>FIND("(",'Describe baseline'!G56)</f>
        <v>#VALUE!</v>
      </c>
      <c r="L57" s="154" t="e">
        <f>FIND(":",'Describe baseline'!H56)</f>
        <v>#VALUE!</v>
      </c>
      <c r="M57" s="364"/>
      <c r="N57" s="97"/>
      <c r="O57" s="97"/>
      <c r="P57" s="97"/>
      <c r="Q57" s="97"/>
      <c r="R57" s="97"/>
      <c r="S57" s="97"/>
      <c r="T57" s="97"/>
      <c r="U57" s="97"/>
      <c r="V57" s="97"/>
      <c r="X57" s="14" t="str">
        <f t="shared" si="2"/>
        <v/>
      </c>
      <c r="Y57" s="14" t="str">
        <f t="shared" si="3"/>
        <v/>
      </c>
    </row>
    <row r="58" spans="1:25" ht="13.5" hidden="1" thickBot="1">
      <c r="A58" s="617"/>
      <c r="B58" s="609"/>
      <c r="C58" s="58" t="s">
        <v>54</v>
      </c>
      <c r="D58" s="60"/>
      <c r="E58" s="60"/>
      <c r="F58" s="60"/>
      <c r="G58" s="60"/>
      <c r="H58" s="60"/>
      <c r="I58" s="98"/>
      <c r="J58" s="154" t="e">
        <f>FIND("(",'Describe baseline'!F57)</f>
        <v>#VALUE!</v>
      </c>
      <c r="K58" s="154" t="e">
        <f>FIND("(",'Describe baseline'!G57)</f>
        <v>#VALUE!</v>
      </c>
      <c r="L58" s="154" t="e">
        <f>FIND(":",'Describe baseline'!H57)</f>
        <v>#VALUE!</v>
      </c>
      <c r="M58" s="364"/>
      <c r="N58" s="98"/>
      <c r="O58" s="98"/>
      <c r="P58" s="98"/>
      <c r="Q58" s="98"/>
      <c r="R58" s="98"/>
      <c r="S58" s="98"/>
      <c r="T58" s="98"/>
      <c r="U58" s="98"/>
      <c r="V58" s="98"/>
      <c r="X58" s="14" t="str">
        <f t="shared" si="2"/>
        <v/>
      </c>
      <c r="Y58" s="14" t="str">
        <f t="shared" si="3"/>
        <v/>
      </c>
    </row>
    <row r="59" spans="1:25" ht="13.5" hidden="1" thickBot="1">
      <c r="A59" s="611" t="s">
        <v>43</v>
      </c>
      <c r="B59" s="614" t="s">
        <v>44</v>
      </c>
      <c r="C59" s="30" t="s">
        <v>52</v>
      </c>
      <c r="D59" s="31">
        <f>IF('Describe baseline'!E58="-","+",IF('Describe baseline'!E58="+","-",'Describe baseline'!E58))</f>
        <v>0</v>
      </c>
      <c r="E59" s="31" t="str">
        <f>IF(ISERROR(LEFT('Describe baseline'!F58,'OUTPUT-all'!J59-2)),"",LEFT('Describe baseline'!F58,'OUTPUT-all'!J59-2))</f>
        <v/>
      </c>
      <c r="F59" s="31" t="str">
        <f>IF(ISERROR(LEFT('Describe baseline'!G58,'OUTPUT-all'!K59-2)),"",LEFT('Describe baseline'!G58,'OUTPUT-all'!K59-2))</f>
        <v/>
      </c>
      <c r="G59" s="31" t="str">
        <f>IF(ISERROR(LEFT('Describe baseline'!H58,'OUTPUT-all'!L59-1)),"",LEFT('Describe baseline'!H58,'OUTPUT-all'!L59-1))</f>
        <v/>
      </c>
      <c r="H59" s="372" t="str">
        <f>IF(ISERROR(LEFT('Energy (direct)'!K96,'OUTPUT-all'!M59-1)),"",LEFT('Energy (direct)'!K96,'OUTPUT-all'!M59-1))</f>
        <v>High</v>
      </c>
      <c r="I59" s="101" t="str">
        <f>IF('Energy (direct)'!D96="Enter number of power stations and/or length of power lines",IF(D59="Neutral","Not relevant","Qualitative"),ROUND('Energy (direct)'!H96,3-LEN(INT('Energy (direct)'!H96))))</f>
        <v>Qualitative</v>
      </c>
      <c r="J59" s="154" t="e">
        <f>FIND("(",'Describe baseline'!F58)</f>
        <v>#VALUE!</v>
      </c>
      <c r="K59" s="154" t="e">
        <f>FIND("(",'Describe baseline'!G58)</f>
        <v>#VALUE!</v>
      </c>
      <c r="L59" s="154" t="e">
        <f>FIND(":",'Describe baseline'!H58)</f>
        <v>#VALUE!</v>
      </c>
      <c r="M59" s="154">
        <f>FIND(":",'Energy (direct)'!K96)</f>
        <v>5</v>
      </c>
      <c r="N59" s="61" t="s">
        <v>168</v>
      </c>
      <c r="O59" s="147" t="str">
        <f>IF('Identify beneficiaries'!E41="Y",IF(OR($I59="Qualitative",$I59="Not relevant"),$I59,$I59*'Summary of area'!$E$40/'Identify beneficiaries'!$L41),"")</f>
        <v/>
      </c>
      <c r="P59" s="147" t="str">
        <f>IF('Identify beneficiaries'!F41="Y",IF(OR($I59="Qualitative",$I59="Not relevant"),$I59,$I59*'Summary of area'!$E$40/'Identify beneficiaries'!$L41),"")</f>
        <v/>
      </c>
      <c r="Q59" s="147" t="str">
        <f>IF('Identify beneficiaries'!G41="Y",IF(OR($I59="Qualitative",$I59="Not relevant"),$I59,$I59*'Summary of area'!$E$40/'Identify beneficiaries'!$L41),"")</f>
        <v/>
      </c>
      <c r="R59" s="147" t="str">
        <f>IF('Identify beneficiaries'!H41="Y",IF(OR($I59="Qualitative",$I59="Not relevant"),$I59,$I59*'Summary of area'!$E$40/'Identify beneficiaries'!$L41),"")</f>
        <v/>
      </c>
      <c r="S59" s="147" t="str">
        <f>IF('Identify beneficiaries'!I41="Y",IF(OR($I59="Qualitative",$I59="Not relevant"),$I59,$I59*'Summary of area'!$E$40/'Identify beneficiaries'!$L41),"")</f>
        <v>Qualitative</v>
      </c>
      <c r="T59" s="147" t="str">
        <f>IF('Identify beneficiaries'!J41="Y",IF(OR($I59="Qualitative",$I59="Not relevant"),$I59,$I59*'Summary of area'!$E$40/'Identify beneficiaries'!$L41),"")</f>
        <v/>
      </c>
      <c r="U59" s="147" t="str">
        <f>IF('Identify beneficiaries'!K41="Y",IF(OR($I59="Qualitative",$I59="Not relevant"),$I59,$I59*'Summary of area'!$E$40/'Identify beneficiaries'!$L41),"")</f>
        <v/>
      </c>
      <c r="V59" s="147" t="str">
        <f>IF(OR(I59="Qualitative",I59="Not relevant"),I59,ROUND(I59*'Summary of area'!$D$40,3-LEN(INT(I59*'Summary of area'!$D$40))))</f>
        <v>Qualitative</v>
      </c>
      <c r="X59" s="14" t="str">
        <f t="shared" si="2"/>
        <v/>
      </c>
      <c r="Y59" s="14" t="str">
        <f t="shared" si="3"/>
        <v/>
      </c>
    </row>
    <row r="60" spans="1:25" ht="13.5" hidden="1" thickBot="1">
      <c r="A60" s="607"/>
      <c r="B60" s="597"/>
      <c r="C60" s="20" t="s">
        <v>53</v>
      </c>
      <c r="D60" s="21">
        <f>IF('Describe baseline'!E59="-","+",IF('Describe baseline'!E59="+","-",'Describe baseline'!E59))</f>
        <v>0</v>
      </c>
      <c r="E60" s="21" t="str">
        <f>IF(ISERROR(LEFT('Describe baseline'!F59,'OUTPUT-all'!J60-2)),"",LEFT('Describe baseline'!F59,'OUTPUT-all'!J60-2))</f>
        <v/>
      </c>
      <c r="F60" s="21" t="str">
        <f>IF(ISERROR(LEFT('Describe baseline'!G59,'OUTPUT-all'!K60-2)),"",LEFT('Describe baseline'!G59,'OUTPUT-all'!K60-2))</f>
        <v/>
      </c>
      <c r="G60" s="21" t="str">
        <f>IF(ISERROR(LEFT('Describe baseline'!H59,'OUTPUT-all'!L60-1)),"",LEFT('Describe baseline'!H59,'OUTPUT-all'!L60-1))</f>
        <v/>
      </c>
      <c r="H60" s="372" t="str">
        <f>IF(ISERROR(LEFT('Energy (indirect)'!N169,'OUTPUT-all'!M60-1)),"",LEFT('Energy (indirect)'!N169,'OUTPUT-all'!M60-1))</f>
        <v>High</v>
      </c>
      <c r="I60" s="101" t="str">
        <f>IF('Energy (indirect)'!D169="Enter number of properties affected by power outages",IF(D60="Neutral","Not relevant","Qualitative"),ROUND('Energy (indirect)'!K169,3-LEN(INT('Energy (indirect)'!K169))))</f>
        <v>Qualitative</v>
      </c>
      <c r="J60" s="154" t="e">
        <f>FIND("(",'Describe baseline'!F59)</f>
        <v>#VALUE!</v>
      </c>
      <c r="K60" s="154" t="e">
        <f>FIND("(",'Describe baseline'!G59)</f>
        <v>#VALUE!</v>
      </c>
      <c r="L60" s="154" t="e">
        <f>FIND(":",'Describe baseline'!H59)</f>
        <v>#VALUE!</v>
      </c>
      <c r="M60" s="154">
        <f>FIND(":",'Energy (indirect)'!N169)</f>
        <v>5</v>
      </c>
      <c r="N60" s="19" t="s">
        <v>169</v>
      </c>
      <c r="O60" s="149" t="str">
        <f>IF('Identify beneficiaries'!E42="Y",IF(OR($I60="Qualitative",$I60="Not relevant"),$I60,ROUND($I60*'Summary of area'!$E$41/'Identify beneficiaries'!$L42,3-LEN(INT($I60*'Summary of area'!$E$41/'Identify beneficiaries'!$L42)))),"")</f>
        <v>Qualitative</v>
      </c>
      <c r="P60" s="149" t="str">
        <f>IF('Identify beneficiaries'!F42="Y",IF(OR($I60="Qualitative",$I60="Not relevant"),$I60,ROUND($I60*'Summary of area'!$E$41/'Identify beneficiaries'!$L42,3-LEN(INT($I60*'Summary of area'!$E$41/'Identify beneficiaries'!$L42)))),"")</f>
        <v>Qualitative</v>
      </c>
      <c r="Q60" s="149" t="str">
        <f>IF('Identify beneficiaries'!G42="Y",IF(OR($I60="Qualitative",$I60="Not relevant"),$I60,ROUND($I60*'Summary of area'!$E$41/'Identify beneficiaries'!$L42,3-LEN(INT($I60*'Summary of area'!$E$41/'Identify beneficiaries'!$L42)))),"")</f>
        <v>Qualitative</v>
      </c>
      <c r="R60" s="149" t="str">
        <f>IF('Identify beneficiaries'!H42="Y",IF(OR($I60="Qualitative",$I60="Not relevant"),$I60,ROUND($I60*'Summary of area'!$E$41/'Identify beneficiaries'!$L42,3-LEN(INT($I60*'Summary of area'!$E$41/'Identify beneficiaries'!$L42)))),"")</f>
        <v>Qualitative</v>
      </c>
      <c r="S60" s="149" t="str">
        <f>IF('Identify beneficiaries'!I42="Y",IF(OR($I60="Qualitative",$I60="Not relevant"),$I60,ROUND($I60*'Summary of area'!$E$41/'Identify beneficiaries'!$L42,3-LEN(INT($I60*'Summary of area'!$E$41/'Identify beneficiaries'!$L42)))),"")</f>
        <v/>
      </c>
      <c r="T60" s="149" t="str">
        <f>IF('Identify beneficiaries'!J42="Y",IF(OR($I60="Qualitative",$I60="Not relevant"),$I60,ROUND($I60*'Summary of area'!$E$41/'Identify beneficiaries'!$L42,3-LEN(INT($I60*'Summary of area'!$E$41/'Identify beneficiaries'!$L42)))),"")</f>
        <v>Qualitative</v>
      </c>
      <c r="U60" s="149" t="str">
        <f>IF('Identify beneficiaries'!K42="Y",IF(OR($I60="Qualitative",$I60="Not relevant"),$I60,ROUND($I60*'Summary of area'!$E$41/'Identify beneficiaries'!$L42,3-LEN(INT($I60*'Summary of area'!$E$41/'Identify beneficiaries'!$L42)))),"")</f>
        <v>Qualitative</v>
      </c>
      <c r="V60" s="149" t="str">
        <f>IF(OR(I60="Qualitative",I60="Not relevant"),I60,ROUND(I60*'Summary of area'!$D$41,3-LEN(INT(I60*'Summary of area'!$D$41))))</f>
        <v>Qualitative</v>
      </c>
      <c r="X60" s="14" t="str">
        <f t="shared" si="2"/>
        <v/>
      </c>
      <c r="Y60" s="14" t="str">
        <f t="shared" si="3"/>
        <v/>
      </c>
    </row>
    <row r="61" spans="1:25" ht="13.5" hidden="1" thickBot="1">
      <c r="A61" s="617"/>
      <c r="B61" s="609"/>
      <c r="C61" s="58" t="s">
        <v>54</v>
      </c>
      <c r="D61" s="60"/>
      <c r="E61" s="60"/>
      <c r="F61" s="60"/>
      <c r="G61" s="60"/>
      <c r="H61" s="60"/>
      <c r="I61" s="98"/>
      <c r="J61" s="154" t="e">
        <f>FIND("(",'Describe baseline'!F60)</f>
        <v>#VALUE!</v>
      </c>
      <c r="K61" s="154" t="e">
        <f>FIND("(",'Describe baseline'!G60)</f>
        <v>#VALUE!</v>
      </c>
      <c r="L61" s="154" t="e">
        <f>FIND(":",'Describe baseline'!H60)</f>
        <v>#VALUE!</v>
      </c>
      <c r="M61" s="364"/>
      <c r="N61" s="98"/>
      <c r="O61" s="98"/>
      <c r="P61" s="98"/>
      <c r="Q61" s="98"/>
      <c r="R61" s="98"/>
      <c r="S61" s="98"/>
      <c r="T61" s="98"/>
      <c r="U61" s="98"/>
      <c r="V61" s="98"/>
      <c r="X61" s="14" t="str">
        <f t="shared" si="2"/>
        <v/>
      </c>
      <c r="Y61" s="14" t="str">
        <f t="shared" si="3"/>
        <v/>
      </c>
    </row>
    <row r="62" spans="1:25" ht="26.25" hidden="1" thickBot="1">
      <c r="A62" s="670" t="s">
        <v>7</v>
      </c>
      <c r="B62" s="614" t="s">
        <v>64</v>
      </c>
      <c r="C62" s="30" t="s">
        <v>52</v>
      </c>
      <c r="D62" s="31">
        <f>IF('Describe baseline'!E61="-","+",IF('Describe baseline'!E61="+","-",'Describe baseline'!E61))</f>
        <v>0</v>
      </c>
      <c r="E62" s="31" t="str">
        <f>IF(ISERROR(LEFT('Describe baseline'!F61,'OUTPUT-all'!J62-2)),"",LEFT('Describe baseline'!F61,'OUTPUT-all'!J62-2))</f>
        <v/>
      </c>
      <c r="F62" s="31" t="str">
        <f>IF(ISERROR(LEFT('Describe baseline'!G61,'OUTPUT-all'!K62-2)),"",LEFT('Describe baseline'!G61,'OUTPUT-all'!K62-2))</f>
        <v/>
      </c>
      <c r="G62" s="31" t="str">
        <f>IF(ISERROR(LEFT('Describe baseline'!H61:H65,'OUTPUT-all'!L62-1)),"",LEFT('Describe baseline'!H61:H65,'OUTPUT-all'!L62-1))</f>
        <v/>
      </c>
      <c r="H62" s="31"/>
      <c r="I62" s="100" t="str">
        <f>IF(D62="Neutral","Not relevant","Qualitative")</f>
        <v>Qualitative</v>
      </c>
      <c r="J62" s="154" t="e">
        <f>FIND("(",'Describe baseline'!F61)</f>
        <v>#VALUE!</v>
      </c>
      <c r="K62" s="154" t="e">
        <f>FIND("(",'Describe baseline'!G61)</f>
        <v>#VALUE!</v>
      </c>
      <c r="L62" s="154" t="e">
        <f>FIND(":",'Describe baseline'!H61)</f>
        <v>#VALUE!</v>
      </c>
      <c r="M62" s="154"/>
      <c r="N62" s="61" t="s">
        <v>170</v>
      </c>
      <c r="O62" s="147" t="str">
        <f>IF('Identify beneficiaries'!E44="Y",IF(OR($I62="Qualitative",$I62="Not relevant"),$I62,$I62*'Summary of area'!$C$22/'Identify beneficiaries'!$L44),"")</f>
        <v/>
      </c>
      <c r="P62" s="147" t="str">
        <f>IF('Identify beneficiaries'!F44="Y",IF(OR($I62="Qualitative",$I62="Not relevant"),$I62,$I62*'Summary of area'!$C$22/'Identify beneficiaries'!$L44),"")</f>
        <v/>
      </c>
      <c r="Q62" s="147" t="str">
        <f>IF('Identify beneficiaries'!G44="Y",IF(OR($I62="Qualitative",$I62="Not relevant"),$I62,$I62*'Summary of area'!$C$22/'Identify beneficiaries'!$L44),"")</f>
        <v>Qualitative</v>
      </c>
      <c r="R62" s="147" t="str">
        <f>IF('Identify beneficiaries'!H44="Y",IF(OR($I62="Qualitative",$I62="Not relevant"),$I62,$I62*'Summary of area'!$C$22/'Identify beneficiaries'!$L44),"")</f>
        <v/>
      </c>
      <c r="S62" s="147" t="str">
        <f>IF('Identify beneficiaries'!I44="Y",IF(OR($I62="Qualitative",$I62="Not relevant"),$I62,$I62*'Summary of area'!$C$22/'Identify beneficiaries'!$L44),"")</f>
        <v/>
      </c>
      <c r="T62" s="147" t="str">
        <f>IF('Identify beneficiaries'!J44="Y",IF(OR($I62="Qualitative",$I62="Not relevant"),$I62,$I62*'Summary of area'!$C$22/'Identify beneficiaries'!$L44),"")</f>
        <v/>
      </c>
      <c r="U62" s="147" t="str">
        <f>IF('Identify beneficiaries'!K44="Y",IF(OR($I62="Qualitative",$I62="Not relevant"),$I62,$I62*'Summary of area'!$C$22/'Identify beneficiaries'!$L44),"")</f>
        <v/>
      </c>
      <c r="V62" s="147" t="str">
        <f>IF(OR(I62="Qualitative",I62="Not relevant"),I62,ROUND(I62*'Summary of area'!$C$21,3-LEN(INT(I62*'Summary of area'!$C$21))))</f>
        <v>Qualitative</v>
      </c>
      <c r="X62" s="14" t="str">
        <f t="shared" si="2"/>
        <v/>
      </c>
      <c r="Y62" s="14" t="str">
        <f t="shared" si="3"/>
        <v/>
      </c>
    </row>
    <row r="63" spans="1:25" ht="13.5" hidden="1" thickBot="1">
      <c r="A63" s="607"/>
      <c r="B63" s="597"/>
      <c r="C63" s="20" t="s">
        <v>53</v>
      </c>
      <c r="D63" s="21">
        <f>IF('Describe baseline'!E62="-","+",IF('Describe baseline'!E62="+","-",'Describe baseline'!E62))</f>
        <v>0</v>
      </c>
      <c r="E63" s="21" t="str">
        <f>IF(ISERROR(LEFT('Describe baseline'!F62,'OUTPUT-all'!J63-2)),"",LEFT('Describe baseline'!F62,'OUTPUT-all'!J63-2))</f>
        <v/>
      </c>
      <c r="F63" s="21" t="str">
        <f>IF(ISERROR(LEFT('Describe baseline'!G62,'OUTPUT-all'!K63-2)),"",LEFT('Describe baseline'!G62,'OUTPUT-all'!K63-2))</f>
        <v/>
      </c>
      <c r="G63" s="21" t="str">
        <f>IF(ISERROR(LEFT('Describe baseline'!H62,'OUTPUT-all'!L63-1)),"",LEFT('Describe baseline'!H62,'OUTPUT-all'!L63-1))</f>
        <v/>
      </c>
      <c r="H63" s="21"/>
      <c r="I63" s="101" t="str">
        <f>IF(D63="Neutral","Not relevant","Qualitative")</f>
        <v>Qualitative</v>
      </c>
      <c r="J63" s="154" t="e">
        <f>FIND("(",'Describe baseline'!F62)</f>
        <v>#VALUE!</v>
      </c>
      <c r="K63" s="154" t="e">
        <f>FIND("(",'Describe baseline'!G62)</f>
        <v>#VALUE!</v>
      </c>
      <c r="L63" s="154" t="e">
        <f>FIND(":",'Describe baseline'!H62)</f>
        <v>#VALUE!</v>
      </c>
      <c r="M63" s="364"/>
      <c r="N63" s="19" t="s">
        <v>166</v>
      </c>
      <c r="O63" s="149" t="str">
        <f>IF('Identify beneficiaries'!E45="Y",IF(OR($I63="Qualitative",$I63="Not relevant"),$I63,$I63*'Summary of area'!$C$22/'Identify beneficiaries'!$L45),"")</f>
        <v>Qualitative</v>
      </c>
      <c r="P63" s="149" t="str">
        <f>IF('Identify beneficiaries'!F45="Y",IF(OR($I63="Qualitative",$I63="Not relevant"),$I63,$I63*'Summary of area'!$C$22/'Identify beneficiaries'!$L45),"")</f>
        <v>Qualitative</v>
      </c>
      <c r="Q63" s="149" t="str">
        <f>IF('Identify beneficiaries'!G45="Y",IF(OR($I63="Qualitative",$I63="Not relevant"),$I63,$I63*'Summary of area'!$C$22/'Identify beneficiaries'!$L45),"")</f>
        <v/>
      </c>
      <c r="R63" s="149" t="str">
        <f>IF('Identify beneficiaries'!H45="Y",IF(OR($I63="Qualitative",$I63="Not relevant"),$I63,$I63*'Summary of area'!$C$22/'Identify beneficiaries'!$L45),"")</f>
        <v>Qualitative</v>
      </c>
      <c r="S63" s="149" t="str">
        <f>IF('Identify beneficiaries'!I45="Y",IF(OR($I63="Qualitative",$I63="Not relevant"),$I63,$I63*'Summary of area'!$C$22/'Identify beneficiaries'!$L45),"")</f>
        <v/>
      </c>
      <c r="T63" s="149" t="str">
        <f>IF('Identify beneficiaries'!J45="Y",IF(OR($I63="Qualitative",$I63="Not relevant"),$I63,$I63*'Summary of area'!$C$22/'Identify beneficiaries'!$L45),"")</f>
        <v>Qualitative</v>
      </c>
      <c r="U63" s="149" t="str">
        <f>IF('Identify beneficiaries'!K45="Y",IF(OR($I63="Qualitative",$I63="Not relevant"),$I63,$I63*'Summary of area'!$C$22/'Identify beneficiaries'!$L45),"")</f>
        <v>Qualitative</v>
      </c>
      <c r="V63" s="149" t="str">
        <f>IF(OR(I63="Qualitative",I63="Not relevant"),I63,ROUND(I63*'Summary of area'!$C$21,3-LEN(INT(I63*'Summary of area'!$C$21))))</f>
        <v>Qualitative</v>
      </c>
      <c r="X63" s="14" t="str">
        <f t="shared" si="2"/>
        <v/>
      </c>
      <c r="Y63" s="14" t="str">
        <f t="shared" si="3"/>
        <v/>
      </c>
    </row>
    <row r="64" spans="1:25" ht="13.5" hidden="1" thickBot="1">
      <c r="A64" s="617"/>
      <c r="B64" s="609"/>
      <c r="C64" s="58" t="s">
        <v>54</v>
      </c>
      <c r="D64" s="60"/>
      <c r="E64" s="60"/>
      <c r="F64" s="60"/>
      <c r="G64" s="60"/>
      <c r="H64" s="60"/>
      <c r="I64" s="98"/>
      <c r="J64" s="154" t="e">
        <f>FIND("(",'Describe baseline'!F63)</f>
        <v>#VALUE!</v>
      </c>
      <c r="K64" s="154" t="e">
        <f>FIND("(",'Describe baseline'!G63)</f>
        <v>#VALUE!</v>
      </c>
      <c r="L64" s="154" t="e">
        <f>FIND(":",'Describe baseline'!H63)</f>
        <v>#VALUE!</v>
      </c>
      <c r="M64" s="364"/>
      <c r="N64" s="98"/>
      <c r="O64" s="98"/>
      <c r="P64" s="98"/>
      <c r="Q64" s="98"/>
      <c r="R64" s="98"/>
      <c r="S64" s="98"/>
      <c r="T64" s="98"/>
      <c r="U64" s="98"/>
      <c r="V64" s="98"/>
      <c r="X64" s="14" t="str">
        <f t="shared" si="2"/>
        <v/>
      </c>
      <c r="Y64" s="14" t="str">
        <f t="shared" si="3"/>
        <v/>
      </c>
    </row>
    <row r="65" spans="1:25" ht="24.75" customHeight="1" thickBot="1">
      <c r="A65" s="606" t="s">
        <v>2</v>
      </c>
      <c r="B65" s="608" t="s">
        <v>65</v>
      </c>
      <c r="C65" s="608" t="s">
        <v>52</v>
      </c>
      <c r="D65" s="663">
        <f>IF('Describe baseline'!E64="-","+",IF('Describe baseline'!E64="+","-",'Describe baseline'!E64))</f>
        <v>0</v>
      </c>
      <c r="E65" s="663" t="str">
        <f>IF(ISERROR(LEFT('Describe baseline'!F64,'OUTPUT-all'!J65-2)),"",LEFT('Describe baseline'!F64,'OUTPUT-all'!J65-2))</f>
        <v/>
      </c>
      <c r="F65" s="663" t="str">
        <f>IF(ISERROR(LEFT('Describe baseline'!G64,'OUTPUT-all'!K65-2)),"",LEFT('Describe baseline'!G64,'OUTPUT-all'!K65-2))</f>
        <v/>
      </c>
      <c r="G65" s="663" t="str">
        <f>IF(ISERROR(LEFT('Describe baseline'!H64,'OUTPUT-all'!L65-1)),"",LEFT('Describe baseline'!H64,'OUTPUT-all'!L65-1))</f>
        <v/>
      </c>
      <c r="H65" s="371" t="str">
        <f>"Designated sites:  "&amp;IF(ISERROR(LEFT('Designated biodiversity sites'!K134,'OUTPUT-all'!M65-1)),"",LEFT('Designated biodiversity sites'!K134,'OUTPUT-all'!M65-1))</f>
        <v>Designated sites:  High</v>
      </c>
      <c r="I65" s="484" t="str">
        <f>IF('Designated biodiversity sites'!D134="Enter number of hectares",IF(D65="Neutral","Not relevant","Qualitative"),ROUND('Designated biodiversity sites'!H134,3-LEN(INT('Designated biodiversity sites'!H134))))</f>
        <v>Qualitative</v>
      </c>
      <c r="J65" s="154" t="e">
        <f>FIND("(",'Describe baseline'!F64)</f>
        <v>#VALUE!</v>
      </c>
      <c r="K65" s="154" t="e">
        <f>FIND("(",'Describe baseline'!G64)</f>
        <v>#VALUE!</v>
      </c>
      <c r="L65" s="154" t="e">
        <f>FIND(":",'Describe baseline'!H64)</f>
        <v>#VALUE!</v>
      </c>
      <c r="M65" s="154">
        <f>FIND(":",'Designated biodiversity sites'!K134)</f>
        <v>5</v>
      </c>
      <c r="N65" s="446" t="s">
        <v>171</v>
      </c>
      <c r="O65" s="147" t="str">
        <f>IF(OR('Identify beneficiaries'!E47="Y",'Identify beneficiaries'!E48="Y",'Identify beneficiaries'!E49="Y"),IF(OR($I65="Qualitative",$I65="Not relevant"),$I65,ROUND($I65*'Summary of area'!$E$42/'Identify beneficiaries'!$L47,3-LEN(INT($I65*'Summary of area'!$E$42/'Identify beneficiaries'!$L47)))),"")</f>
        <v>Qualitative</v>
      </c>
      <c r="P65" s="147" t="str">
        <f>IF(OR('Identify beneficiaries'!F47="Y",'Identify beneficiaries'!F48="Y",'Identify beneficiaries'!F49="Y"),IF(OR($I65="Qualitative",$I65="Not relevant"),$I65,ROUND($I65*'Summary of area'!$E$42/'Identify beneficiaries'!$L47,3-LEN(INT($I65*'Summary of area'!$E$42/'Identify beneficiaries'!$L47)))),"")</f>
        <v/>
      </c>
      <c r="Q65" s="147" t="str">
        <f>IF(OR('Identify beneficiaries'!G47="Y",'Identify beneficiaries'!G48="Y",'Identify beneficiaries'!G49="Y"),IF(OR($I65="Qualitative",$I65="Not relevant"),$I65,ROUND($I65*'Summary of area'!$E$42/'Identify beneficiaries'!$L47,3-LEN(INT($I65*'Summary of area'!$E$42/'Identify beneficiaries'!$L47)))),"")</f>
        <v>Qualitative</v>
      </c>
      <c r="R65" s="147" t="str">
        <f>IF(OR('Identify beneficiaries'!H47="Y",'Identify beneficiaries'!H48="Y",'Identify beneficiaries'!H49="Y"),IF(OR($I65="Qualitative",$I65="Not relevant"),$I65,ROUND($I65*'Summary of area'!$E$42/'Identify beneficiaries'!$L47,3-LEN(INT($I65*'Summary of area'!$E$42/'Identify beneficiaries'!$L47)))),"")</f>
        <v>Qualitative</v>
      </c>
      <c r="S65" s="147" t="str">
        <f>IF(OR('Identify beneficiaries'!I47="Y",'Identify beneficiaries'!I48="Y",'Identify beneficiaries'!I49="Y"),IF(OR($I65="Qualitative",$I65="Not relevant"),$I65,ROUND($I65*'Summary of area'!$E$42/'Identify beneficiaries'!$L47,3-LEN(INT($I65*'Summary of area'!$E$42/'Identify beneficiaries'!$L47)))),"")</f>
        <v/>
      </c>
      <c r="T65" s="147" t="str">
        <f>IF(OR('Identify beneficiaries'!J47="Y",'Identify beneficiaries'!J48="Y",'Identify beneficiaries'!J49="Y"),IF(OR($I65="Qualitative",$I65="Not relevant"),$I65,ROUND($I65*'Summary of area'!$E$42/'Identify beneficiaries'!$L47,3-LEN(INT($I65*'Summary of area'!$E$42/'Identify beneficiaries'!$L47)))),"")</f>
        <v>Qualitative</v>
      </c>
      <c r="U65" s="147" t="str">
        <f>IF(OR('Identify beneficiaries'!K47="Y",'Identify beneficiaries'!K48="Y",'Identify beneficiaries'!K49="Y"),IF(OR($I65="Qualitative",$I65="Not relevant"),$I65,ROUND($I65*'Summary of area'!$E$42/'Identify beneficiaries'!$L47,3-LEN(INT($I65*'Summary of area'!$E$42/'Identify beneficiaries'!$L47)))),"")</f>
        <v/>
      </c>
      <c r="V65" s="147" t="str">
        <f>IF(OR(I65="Qualitative",I65="Not relevant"),I65,ROUND(I65*'Summary of area'!$D$42,3-LEN(INT(I65*'Summary of area'!$D$42))))</f>
        <v>Qualitative</v>
      </c>
      <c r="X65" s="14" t="str">
        <f t="shared" si="2"/>
        <v/>
      </c>
      <c r="Y65" s="14" t="str">
        <f t="shared" si="3"/>
        <v/>
      </c>
    </row>
    <row r="66" spans="1:25" ht="40.5" customHeight="1" thickBot="1">
      <c r="A66" s="612"/>
      <c r="B66" s="597"/>
      <c r="C66" s="669"/>
      <c r="D66" s="655">
        <f>IF('Describe baseline'!E65="-","+",IF('Describe baseline'!E65="+","-",'Describe baseline'!E65))</f>
        <v>0</v>
      </c>
      <c r="E66" s="664" t="str">
        <f>IF(ISERROR(LEFT('Describe baseline'!F65,'OUTPUT-all'!J66-2)),"",LEFT('Describe baseline'!F65,'OUTPUT-all'!J66-2))</f>
        <v/>
      </c>
      <c r="F66" s="655" t="str">
        <f>IF(ISERROR(LEFT('Describe baseline'!G65:G69,'OUTPUT-all'!K66-2)),"",LEFT('Describe baseline'!G65:G69,'OUTPUT-all'!K66-2))</f>
        <v/>
      </c>
      <c r="G66" s="655" t="str">
        <f>IF(ISERROR(LEFT('Describe baseline'!H65:H69,'OUTPUT-all'!L66-2)),"",LEFT('Describe baseline'!H65:H69,'OUTPUT-all'!L66-2))</f>
        <v/>
      </c>
      <c r="H66" s="371" t="str">
        <f>"Non-designated land:  "&amp;IF(ISERROR(LEFT('Biodiversity - non-designated'!Q79,'OUTPUT-all'!M66-1)),"",LEFT('Biodiversity - non-designated'!Q79,'OUTPUT-all'!M66-1))</f>
        <v>Non-designated land:  High</v>
      </c>
      <c r="I66" s="94" t="str">
        <f>IF('Biodiversity - non-designated'!C79="Enter ha and/or km of watercourses",IF(D66="Neutral","Not relevant","Qualitative"),ROUND('Biodiversity - non-designated'!O79,3-LEN(INT('Biodiversity - non-designated'!O79))))</f>
        <v>Qualitative</v>
      </c>
      <c r="J66" s="154" t="e">
        <f>FIND("(",'Describe baseline'!F65)</f>
        <v>#VALUE!</v>
      </c>
      <c r="K66" s="154" t="e">
        <f>FIND("(",'Describe baseline'!G65)</f>
        <v>#VALUE!</v>
      </c>
      <c r="L66" s="154" t="e">
        <f>FIND(":",'Describe baseline'!H65)</f>
        <v>#VALUE!</v>
      </c>
      <c r="M66" s="154">
        <f>FIND(":",'Biodiversity - non-designated'!Q79)</f>
        <v>5</v>
      </c>
      <c r="N66" s="19" t="s">
        <v>171</v>
      </c>
      <c r="O66" s="149" t="str">
        <f>IF(OR('Identify beneficiaries'!E48="Y",'Identify beneficiaries'!E49="Y",'Identify beneficiaries'!E47="Y"),IF(OR($I66="Qualitative",$I66="Not relevant"),$I66,ROUND($I66*'Summary of area'!$E$42/'Identify beneficiaries'!$L47,3-LEN(INT($I66*'Summary of area'!$E$42/'Identify beneficiaries'!$L47)))),"")</f>
        <v>Qualitative</v>
      </c>
      <c r="P66" s="149" t="str">
        <f>IF(OR('Identify beneficiaries'!F48="Y",'Identify beneficiaries'!F49="Y",'Identify beneficiaries'!F47="Y"),IF(OR($I66="Qualitative",$I66="Not relevant"),$I66,ROUND($I66*'Summary of area'!$E$42/'Identify beneficiaries'!$L47,3-LEN(INT($I66*'Summary of area'!$E$42/'Identify beneficiaries'!$L47)))),"")</f>
        <v/>
      </c>
      <c r="Q66" s="149" t="str">
        <f>IF(OR('Identify beneficiaries'!G48="Y",'Identify beneficiaries'!G49="Y",'Identify beneficiaries'!G47="Y"),IF(OR($I66="Qualitative",$I66="Not relevant"),$I66,ROUND($I66*'Summary of area'!$E$42/'Identify beneficiaries'!$L47,3-LEN(INT($I66*'Summary of area'!$E$42/'Identify beneficiaries'!$L47)))),"")</f>
        <v>Qualitative</v>
      </c>
      <c r="R66" s="149" t="str">
        <f>IF(OR('Identify beneficiaries'!H48="Y",'Identify beneficiaries'!H49="Y",'Identify beneficiaries'!H47="Y"),IF(OR($I66="Qualitative",$I66="Not relevant"),$I66,ROUND($I66*'Summary of area'!$E$42/'Identify beneficiaries'!$L47,3-LEN(INT($I66*'Summary of area'!$E$42/'Identify beneficiaries'!$L47)))),"")</f>
        <v>Qualitative</v>
      </c>
      <c r="S66" s="149" t="str">
        <f>IF(OR('Identify beneficiaries'!I48="Y",'Identify beneficiaries'!I49="Y",'Identify beneficiaries'!I47="Y"),IF(OR($I66="Qualitative",$I66="Not relevant"),$I66,ROUND($I66*'Summary of area'!$E$42/'Identify beneficiaries'!$L47,3-LEN(INT($I66*'Summary of area'!$E$42/'Identify beneficiaries'!$L47)))),"")</f>
        <v/>
      </c>
      <c r="T66" s="149" t="str">
        <f>IF(OR('Identify beneficiaries'!J48="Y",'Identify beneficiaries'!J49="Y",'Identify beneficiaries'!J47="Y"),IF(OR($I66="Qualitative",$I66="Not relevant"),$I66,ROUND($I66*'Summary of area'!$E$42/'Identify beneficiaries'!$L47,3-LEN(INT($I66*'Summary of area'!$E$42/'Identify beneficiaries'!$L47)))),"")</f>
        <v>Qualitative</v>
      </c>
      <c r="U66" s="149" t="str">
        <f>IF(OR('Identify beneficiaries'!K48="Y",'Identify beneficiaries'!K49="Y",'Identify beneficiaries'!K47="Y"),IF(OR($I66="Qualitative",$I66="Not relevant"),$I66,ROUND($I66*'Summary of area'!$E$42/'Identify beneficiaries'!$L47,3-LEN(INT($I66*'Summary of area'!$E$42/'Identify beneficiaries'!$L47)))),"")</f>
        <v/>
      </c>
      <c r="V66" s="149" t="str">
        <f>IF(OR(I66="Qualitative",I66="Not relevant"),I66,ROUND(I66*'Summary of area'!$D$42,3-LEN(INT(I66*'Summary of area'!$D$42))))</f>
        <v>Qualitative</v>
      </c>
      <c r="X66" s="14" t="str">
        <f t="shared" si="2"/>
        <v/>
      </c>
      <c r="Y66" s="14" t="str">
        <f t="shared" si="3"/>
        <v/>
      </c>
    </row>
    <row r="67" spans="1:25" ht="26.25" thickBot="1">
      <c r="A67" s="607"/>
      <c r="B67" s="597"/>
      <c r="C67" s="24" t="s">
        <v>53</v>
      </c>
      <c r="D67" s="481">
        <f>IF('Describe baseline'!E66="-","+",IF('Describe baseline'!E66="+","-",'Describe baseline'!E66))</f>
        <v>0</v>
      </c>
      <c r="E67" s="481" t="str">
        <f>IF(ISERROR(LEFT('Describe baseline'!F66,'OUTPUT-all'!J67-2)),"",LEFT('Describe baseline'!F66,'OUTPUT-all'!J67-2))</f>
        <v/>
      </c>
      <c r="F67" s="481" t="str">
        <f>IF(ISERROR(LEFT('Describe baseline'!G66,'OUTPUT-all'!K67-2)),"",LEFT('Describe baseline'!G66,'OUTPUT-all'!K67-2))</f>
        <v/>
      </c>
      <c r="G67" s="481" t="str">
        <f>IF(ISERROR(LEFT('Describe baseline'!H66:H70,'OUTPUT-all'!L67-1)),"",LEFT('Describe baseline'!H66:H70,'OUTPUT-all'!L67-1))</f>
        <v/>
      </c>
      <c r="H67" s="481"/>
      <c r="I67" s="94" t="str">
        <f>IF(D67="Neutral","Not relevant","Qualitative")</f>
        <v>Qualitative</v>
      </c>
      <c r="J67" s="154" t="e">
        <f>FIND("(",'Describe baseline'!F66)</f>
        <v>#VALUE!</v>
      </c>
      <c r="K67" s="154" t="e">
        <f>FIND("(",'Describe baseline'!G66)</f>
        <v>#VALUE!</v>
      </c>
      <c r="L67" s="154" t="e">
        <f>FIND(":",'Describe baseline'!H66)</f>
        <v>#VALUE!</v>
      </c>
      <c r="M67" s="364"/>
      <c r="N67" s="19" t="s">
        <v>163</v>
      </c>
      <c r="O67" s="149" t="str">
        <f>IF('Identify beneficiaries'!E48="Y",IF(OR($I67="Qualitative",$I67="Not relevant"),"Captured above",$I67*'Summary of area'!$C$22/'Identify beneficiaries'!$L48),"")</f>
        <v/>
      </c>
      <c r="P67" s="149" t="str">
        <f>IF('Identify beneficiaries'!F48="Y",IF(OR($I67="Qualitative",$I67="Not relevant"),"Captured above",$I67*'Summary of area'!$C$22/'Identify beneficiaries'!$L48),"")</f>
        <v/>
      </c>
      <c r="Q67" s="149" t="str">
        <f>IF('Identify beneficiaries'!G48="Y",IF(OR($I67="Qualitative",$I67="Not relevant"),"Captured above",$I67*'Summary of area'!$C$22/'Identify beneficiaries'!$L48),"")</f>
        <v>Captured above</v>
      </c>
      <c r="R67" s="149" t="str">
        <f>IF('Identify beneficiaries'!H48="Y",IF(OR($I67="Qualitative",$I67="Not relevant"),"Captured above",$I67*'Summary of area'!$C$22/'Identify beneficiaries'!$L48),"")</f>
        <v/>
      </c>
      <c r="S67" s="149" t="str">
        <f>IF('Identify beneficiaries'!I48="Y",IF(OR($I67="Qualitative",$I67="Not relevant"),"Captured above",$I67*'Summary of area'!$C$22/'Identify beneficiaries'!$L48),"")</f>
        <v/>
      </c>
      <c r="T67" s="149" t="str">
        <f>IF('Identify beneficiaries'!J48="Y",IF(OR($I67="Qualitative",$I67="Not relevant"),"Captured above",$I67*'Summary of area'!$C$22/'Identify beneficiaries'!$L48),"")</f>
        <v/>
      </c>
      <c r="U67" s="149" t="str">
        <f>IF('Identify beneficiaries'!K48="Y",IF(OR($I67="Qualitative",$I67="Not relevant"),"Captured above",$I67*'Summary of area'!$C$22/'Identify beneficiaries'!$L48),"")</f>
        <v/>
      </c>
      <c r="V67" s="149" t="str">
        <f>IF(OR(I67="Qualitative",I67="Not relevant"),"Captured above",ROUND(I67*'Summary of area'!$D$42,3-LEN(INT(I67*'Summary of area'!$D$42))))</f>
        <v>Captured above</v>
      </c>
      <c r="X67" s="14" t="str">
        <f t="shared" si="2"/>
        <v/>
      </c>
      <c r="Y67" s="14" t="str">
        <f t="shared" si="3"/>
        <v/>
      </c>
    </row>
    <row r="68" spans="1:25" ht="26.25" thickBot="1">
      <c r="A68" s="617"/>
      <c r="B68" s="609"/>
      <c r="C68" s="28" t="s">
        <v>54</v>
      </c>
      <c r="D68" s="481">
        <f>IF('Describe baseline'!E67="-","+",IF('Describe baseline'!E67="+","-",'Describe baseline'!E67))</f>
        <v>0</v>
      </c>
      <c r="E68" s="29" t="str">
        <f>IF(ISERROR(LEFT('Describe baseline'!F67,'OUTPUT-all'!J68-2)),"",LEFT('Describe baseline'!F67,'OUTPUT-all'!J68-2))</f>
        <v/>
      </c>
      <c r="F68" s="29" t="str">
        <f>IF(ISERROR(LEFT('Describe baseline'!G67,'OUTPUT-all'!K68-2)),"",LEFT('Describe baseline'!G67,'OUTPUT-all'!K68-2))</f>
        <v/>
      </c>
      <c r="G68" s="29" t="str">
        <f>IF(ISERROR(LEFT('Describe baseline'!H67:H71,'OUTPUT-all'!L68-1)),"",LEFT('Describe baseline'!H67:H71,'OUTPUT-all'!L68-1))</f>
        <v/>
      </c>
      <c r="H68" s="479"/>
      <c r="I68" s="94" t="str">
        <f>IF(D68="Neutral","Not relevant","Qualitative")</f>
        <v>Qualitative</v>
      </c>
      <c r="J68" s="154" t="e">
        <f>FIND("(",'Describe baseline'!F67)</f>
        <v>#VALUE!</v>
      </c>
      <c r="K68" s="154" t="e">
        <f>FIND("(",'Describe baseline'!G67)</f>
        <v>#VALUE!</v>
      </c>
      <c r="L68" s="154" t="e">
        <f>FIND(":",'Describe baseline'!H67)</f>
        <v>#VALUE!</v>
      </c>
      <c r="M68" s="364"/>
      <c r="N68" s="62" t="s">
        <v>172</v>
      </c>
      <c r="O68" s="150" t="str">
        <f>IF('Identify beneficiaries'!E49="Y",IF(OR($I68="Qualitative",$I68="Not relevant"),"Captured above",$I68*'Summary of area'!$C$22/'Identify beneficiaries'!$L49),"")</f>
        <v/>
      </c>
      <c r="P68" s="150" t="str">
        <f>IF('Identify beneficiaries'!F49="Y",IF(OR($I68="Qualitative",$I68="Not relevant"),"Captured above",$I68*'Summary of area'!$C$22/'Identify beneficiaries'!$L49),"")</f>
        <v/>
      </c>
      <c r="Q68" s="150" t="str">
        <f>IF('Identify beneficiaries'!G49="Y",IF(OR($I68="Qualitative",$I68="Not relevant"),"Captured above",$I68*'Summary of area'!$C$22/'Identify beneficiaries'!$L49),"")</f>
        <v/>
      </c>
      <c r="R68" s="150" t="str">
        <f>IF('Identify beneficiaries'!H49="Y",IF(OR($I68="Qualitative",$I68="Not relevant"),"Captured above",$I68*'Summary of area'!$C$22/'Identify beneficiaries'!$L49),"")</f>
        <v/>
      </c>
      <c r="S68" s="150" t="str">
        <f>IF('Identify beneficiaries'!I49="Y",IF(OR($I68="Qualitative",$I68="Not relevant"),"Captured above",$I68*'Summary of area'!$C$22/'Identify beneficiaries'!$L49),"")</f>
        <v/>
      </c>
      <c r="T68" s="150" t="str">
        <f>IF('Identify beneficiaries'!J49="Y",IF(OR($I68="Qualitative",$I68="Not relevant"),"Captured above",$I68*'Summary of area'!$C$22/'Identify beneficiaries'!$L49),"")</f>
        <v>Captured above</v>
      </c>
      <c r="U68" s="150" t="str">
        <f>IF('Identify beneficiaries'!K49="Y",IF(OR($I68="Qualitative",$I68="Not relevant"),"Captured above",$I68*'Summary of area'!$C$22/'Identify beneficiaries'!$L49),"")</f>
        <v/>
      </c>
      <c r="V68" s="150" t="str">
        <f>IF(OR(I68="Qualitative",I68="Not relevant"),"Captured above",ROUND(I68*'Summary of area'!$D$42,3-LEN(INT(I68*'Summary of area'!$D$42))))</f>
        <v>Captured above</v>
      </c>
      <c r="X68" s="14" t="str">
        <f t="shared" si="2"/>
        <v/>
      </c>
      <c r="Y68" s="14" t="str">
        <f t="shared" si="3"/>
        <v/>
      </c>
    </row>
    <row r="69" spans="1:25" ht="13.5" hidden="1" thickBot="1">
      <c r="A69" s="611" t="s">
        <v>69</v>
      </c>
      <c r="B69" s="614" t="s">
        <v>29</v>
      </c>
      <c r="C69" s="30" t="s">
        <v>52</v>
      </c>
      <c r="D69" s="31">
        <f>IF('Describe baseline'!E68="-","+",IF('Describe baseline'!E68="+","-",'Describe baseline'!E68))</f>
        <v>0</v>
      </c>
      <c r="E69" s="31" t="str">
        <f>IF(ISERROR(LEFT('Describe baseline'!F68,'OUTPUT-all'!J69-2)),"",LEFT('Describe baseline'!F68,'OUTPUT-all'!J69-2))</f>
        <v/>
      </c>
      <c r="F69" s="31" t="str">
        <f>IF(ISERROR(LEFT('Describe baseline'!G68,'OUTPUT-all'!K69-2)),"",LEFT('Describe baseline'!G68,'OUTPUT-all'!K69-2))</f>
        <v/>
      </c>
      <c r="G69" s="31" t="str">
        <f>IF(ISERROR(LEFT('Describe baseline'!H68,'OUTPUT-all'!L69-1)),"",LEFT('Describe baseline'!H68,'OUTPUT-all'!L69-1))</f>
        <v/>
      </c>
      <c r="H69" s="374" t="str">
        <f>IF(ISERROR(LEFT('Water supply'!N155,'OUTPUT-all'!M69-1)),"",LEFT('Water supply'!N155,'OUTPUT-all'!M69-1))</f>
        <v>High</v>
      </c>
      <c r="I69" s="100" t="str">
        <f>IF('Water supply'!D155="Enter number of licences (direct benefits)",IF(D69="Neutral","Not relevant","Qualitative"),ROUND('Water supply'!K155,3-LEN(INT('Water supply'!K155))))</f>
        <v>Qualitative</v>
      </c>
      <c r="J69" s="154" t="e">
        <f>FIND("(",'Describe baseline'!F68)</f>
        <v>#VALUE!</v>
      </c>
      <c r="K69" s="154" t="e">
        <f>FIND("(",'Describe baseline'!G68)</f>
        <v>#VALUE!</v>
      </c>
      <c r="L69" s="154" t="e">
        <f>FIND(":",'Describe baseline'!H68)</f>
        <v>#VALUE!</v>
      </c>
      <c r="M69" s="154">
        <f>FIND(":",'Water supply'!N155)</f>
        <v>5</v>
      </c>
      <c r="N69" s="61" t="s">
        <v>173</v>
      </c>
      <c r="O69" s="147" t="str">
        <f>IF('Identify beneficiaries'!E50="Y",IF(OR($I69="Qualitative",$I69="Not relevant"),$I69,ROUND($I69*'Summary of area'!$E$44/'Identify beneficiaries'!$L50,3-LEN(INT($I69*'Summary of area'!$E$44/'Identify beneficiaries'!$L50)))),"")</f>
        <v/>
      </c>
      <c r="P69" s="147" t="str">
        <f>IF('Identify beneficiaries'!F50="Y",IF(OR($I69="Qualitative",$I69="Not relevant"),$I69,ROUND($I69*'Summary of area'!$E$44/'Identify beneficiaries'!$L50,3-LEN(INT($I69*'Summary of area'!$E$44/'Identify beneficiaries'!$L50)))),"")</f>
        <v>Qualitative</v>
      </c>
      <c r="Q69" s="147" t="str">
        <f>IF('Identify beneficiaries'!G50="Y",IF(OR($I69="Qualitative",$I69="Not relevant"),$I69,ROUND($I69*'Summary of area'!$E$44/'Identify beneficiaries'!$L50,3-LEN(INT($I69*'Summary of area'!$E$44/'Identify beneficiaries'!$L50)))),"")</f>
        <v>Qualitative</v>
      </c>
      <c r="R69" s="147" t="str">
        <f>IF('Identify beneficiaries'!H50="Y",IF(OR($I69="Qualitative",$I69="Not relevant"),$I69,ROUND($I69*'Summary of area'!$E$44/'Identify beneficiaries'!$L50,3-LEN(INT($I69*'Summary of area'!$E$44/'Identify beneficiaries'!$L50)))),"")</f>
        <v/>
      </c>
      <c r="S69" s="147" t="str">
        <f>IF('Identify beneficiaries'!I50="Y",IF(OR($I69="Qualitative",$I69="Not relevant"),$I69,ROUND($I69*'Summary of area'!$E$44/'Identify beneficiaries'!$L50,3-LEN(INT($I69*'Summary of area'!$E$44/'Identify beneficiaries'!$L50)))),"")</f>
        <v>Qualitative</v>
      </c>
      <c r="T69" s="147" t="str">
        <f>IF('Identify beneficiaries'!J50="Y",IF(OR($I69="Qualitative",$I69="Not relevant"),$I69,ROUND($I69*'Summary of area'!$E$44/'Identify beneficiaries'!$L50,3-LEN(INT($I69*'Summary of area'!$E$44/'Identify beneficiaries'!$L50)))),"")</f>
        <v/>
      </c>
      <c r="U69" s="147" t="str">
        <f>IF('Identify beneficiaries'!K50="Y",IF(OR($I69="Qualitative",$I69="Not relevant"),$I69,ROUND($I69*'Summary of area'!$E$44/'Identify beneficiaries'!$L50,3-LEN(INT($I69*'Summary of area'!$E$44/'Identify beneficiaries'!$L50)))),"")</f>
        <v/>
      </c>
      <c r="V69" s="147" t="str">
        <f>IF(OR(I69="Qualitative",I69="Not relevant"),I69,ROUND(I69*'Summary of area'!$D$44,3-LEN(INT(I69*'Summary of area'!$D$44))))</f>
        <v>Qualitative</v>
      </c>
      <c r="X69" s="14" t="str">
        <f t="shared" si="2"/>
        <v/>
      </c>
      <c r="Y69" s="14" t="str">
        <f t="shared" si="3"/>
        <v/>
      </c>
    </row>
    <row r="70" spans="1:25" ht="13.5" hidden="1" thickBot="1">
      <c r="A70" s="607"/>
      <c r="B70" s="597"/>
      <c r="C70" s="20" t="s">
        <v>53</v>
      </c>
      <c r="D70" s="21">
        <f>IF('Describe baseline'!E69="-","+",IF('Describe baseline'!E69="+","-",'Describe baseline'!E69))</f>
        <v>0</v>
      </c>
      <c r="E70" s="21" t="str">
        <f>IF(ISERROR(LEFT('Describe baseline'!F69,'OUTPUT-all'!J70-2)),"",LEFT('Describe baseline'!F69,'OUTPUT-all'!J70-2))</f>
        <v/>
      </c>
      <c r="F70" s="21" t="str">
        <f>IF(ISERROR(LEFT('Describe baseline'!G69,'OUTPUT-all'!K70-2)),"",LEFT('Describe baseline'!G69,'OUTPUT-all'!K70-2))</f>
        <v/>
      </c>
      <c r="G70" s="21" t="str">
        <f>IF(ISERROR(LEFT('Describe baseline'!H69,'OUTPUT-all'!L70-1)),"",LEFT('Describe baseline'!H69,'OUTPUT-all'!L70-1))</f>
        <v/>
      </c>
      <c r="H70" s="372" t="str">
        <f>IF(ISERROR(LEFT('Water supply'!N156,'OUTPUT-all'!M70-1)),"",LEFT('Water supply'!N156,'OUTPUT-all'!M70-1))</f>
        <v>High</v>
      </c>
      <c r="I70" s="101" t="str">
        <f>IF('Water supply'!D156="Enter number of licences (indirect benefits)",IF(D70="Neutral","Not relevant","Qualitative"),ROUND('Water supply'!K156,3-LEN(INT('Water supply'!K156))))</f>
        <v>Qualitative</v>
      </c>
      <c r="J70" s="154" t="e">
        <f>FIND("(",'Describe baseline'!F69)</f>
        <v>#VALUE!</v>
      </c>
      <c r="K70" s="154" t="e">
        <f>FIND("(",'Describe baseline'!G69)</f>
        <v>#VALUE!</v>
      </c>
      <c r="L70" s="154" t="e">
        <f>FIND(":",'Describe baseline'!H69)</f>
        <v>#VALUE!</v>
      </c>
      <c r="M70" s="154">
        <f>FIND(":",'Water supply'!N156)</f>
        <v>5</v>
      </c>
      <c r="N70" s="19" t="s">
        <v>174</v>
      </c>
      <c r="O70" s="149" t="str">
        <f>IF('Identify beneficiaries'!E51="Y",IF(OR($I70="Qualitative",$I70="Not relevant"),$I70,ROUND($I70*'Summary of area'!$E$44/'Identify beneficiaries'!$L51,3-LEN(INT($I70*'Summary of area'!$E$44/'Identify beneficiaries'!$L51)))),"")</f>
        <v>Qualitative</v>
      </c>
      <c r="P70" s="149" t="str">
        <f>IF('Identify beneficiaries'!F51="Y",IF(OR($I70="Qualitative",$I70="Not relevant"),$I70,ROUND($I70*'Summary of area'!$E$44/'Identify beneficiaries'!$L51,3-LEN(INT($I70*'Summary of area'!$E$44/'Identify beneficiaries'!$L51)))),"")</f>
        <v>Qualitative</v>
      </c>
      <c r="Q70" s="149" t="str">
        <f>IF('Identify beneficiaries'!G51="Y",IF(OR($I70="Qualitative",$I70="Not relevant"),$I70,ROUND($I70*'Summary of area'!$E$44/'Identify beneficiaries'!$L51,3-LEN(INT($I70*'Summary of area'!$E$44/'Identify beneficiaries'!$L51)))),"")</f>
        <v>Qualitative</v>
      </c>
      <c r="R70" s="149" t="str">
        <f>IF('Identify beneficiaries'!H51="Y",IF(OR($I70="Qualitative",$I70="Not relevant"),$I70,ROUND($I70*'Summary of area'!$E$44/'Identify beneficiaries'!$L51,3-LEN(INT($I70*'Summary of area'!$E$44/'Identify beneficiaries'!$L51)))),"")</f>
        <v>Qualitative</v>
      </c>
      <c r="S70" s="149" t="str">
        <f>IF('Identify beneficiaries'!I51="Y",IF(OR($I70="Qualitative",$I70="Not relevant"),$I70,ROUND($I70*'Summary of area'!$E$44/'Identify beneficiaries'!$L51,3-LEN(INT($I70*'Summary of area'!$E$44/'Identify beneficiaries'!$L51)))),"")</f>
        <v/>
      </c>
      <c r="T70" s="149" t="str">
        <f>IF('Identify beneficiaries'!J51="Y",IF(OR($I70="Qualitative",$I70="Not relevant"),$I70,ROUND($I70*'Summary of area'!$E$44/'Identify beneficiaries'!$L51,3-LEN(INT($I70*'Summary of area'!$E$44/'Identify beneficiaries'!$L51)))),"")</f>
        <v>Qualitative</v>
      </c>
      <c r="U70" s="149" t="str">
        <f>IF('Identify beneficiaries'!K51="Y",IF(OR($I70="Qualitative",$I70="Not relevant"),$I70,ROUND($I70*'Summary of area'!$E$44/'Identify beneficiaries'!$L51,3-LEN(INT($I70*'Summary of area'!$E$44/'Identify beneficiaries'!$L51)))),"")</f>
        <v>Qualitative</v>
      </c>
      <c r="V70" s="147" t="str">
        <f>IF(OR(I70="Qualitative",I70="Not relevant"),I70,ROUND(I70*'Summary of area'!$D$44,3-LEN(INT(I70*'Summary of area'!$D$44))))</f>
        <v>Qualitative</v>
      </c>
      <c r="X70" s="14" t="str">
        <f t="shared" si="2"/>
        <v/>
      </c>
      <c r="Y70" s="14" t="str">
        <f t="shared" si="3"/>
        <v/>
      </c>
    </row>
    <row r="71" spans="1:25" ht="13.5" hidden="1" thickBot="1">
      <c r="A71" s="617"/>
      <c r="B71" s="609"/>
      <c r="C71" s="58" t="s">
        <v>54</v>
      </c>
      <c r="D71" s="60"/>
      <c r="E71" s="60"/>
      <c r="F71" s="60"/>
      <c r="G71" s="60"/>
      <c r="H71" s="60"/>
      <c r="I71" s="98"/>
      <c r="J71" s="154" t="e">
        <f>FIND("(",'Describe baseline'!F70)</f>
        <v>#VALUE!</v>
      </c>
      <c r="K71" s="154" t="e">
        <f>FIND("(",'Describe baseline'!G70)</f>
        <v>#VALUE!</v>
      </c>
      <c r="L71" s="154" t="e">
        <f>FIND(":",'Describe baseline'!H70)</f>
        <v>#VALUE!</v>
      </c>
      <c r="M71" s="364"/>
      <c r="N71" s="98"/>
      <c r="O71" s="98"/>
      <c r="P71" s="98"/>
      <c r="Q71" s="98"/>
      <c r="R71" s="98"/>
      <c r="S71" s="98"/>
      <c r="T71" s="98"/>
      <c r="U71" s="98"/>
      <c r="V71" s="98"/>
      <c r="X71" s="14" t="str">
        <f t="shared" si="2"/>
        <v/>
      </c>
      <c r="Y71" s="14" t="str">
        <f t="shared" si="3"/>
        <v/>
      </c>
    </row>
    <row r="72" spans="1:25" ht="24" customHeight="1" thickBot="1">
      <c r="A72" s="686" t="s">
        <v>8</v>
      </c>
      <c r="B72" s="687"/>
      <c r="C72" s="4"/>
      <c r="D72" s="96"/>
      <c r="E72" s="96"/>
      <c r="F72" s="96"/>
      <c r="G72" s="96"/>
      <c r="H72" s="96"/>
      <c r="I72" s="103"/>
      <c r="J72" s="154" t="e">
        <f>FIND("(",'Describe baseline'!F71)</f>
        <v>#VALUE!</v>
      </c>
      <c r="K72" s="154" t="e">
        <f>FIND("(",'Describe baseline'!G71)</f>
        <v>#VALUE!</v>
      </c>
      <c r="L72" s="154" t="e">
        <f>FIND(":",'Describe baseline'!H71)</f>
        <v>#VALUE!</v>
      </c>
      <c r="M72" s="365"/>
      <c r="O72" s="147"/>
      <c r="P72" s="147"/>
      <c r="Q72" s="147"/>
      <c r="R72" s="147"/>
      <c r="S72" s="147"/>
      <c r="T72" s="147"/>
      <c r="U72" s="147"/>
      <c r="V72" s="293"/>
      <c r="X72" s="14" t="str">
        <f t="shared" si="2"/>
        <v/>
      </c>
      <c r="Y72" s="14" t="str">
        <f t="shared" si="3"/>
        <v/>
      </c>
    </row>
    <row r="73" spans="1:25" ht="15" customHeight="1" thickBot="1">
      <c r="A73" s="606" t="s">
        <v>9</v>
      </c>
      <c r="B73" s="608" t="s">
        <v>30</v>
      </c>
      <c r="C73" s="608" t="s">
        <v>52</v>
      </c>
      <c r="D73" s="663">
        <f>IF('Describe baseline'!E72="-","+",IF('Describe baseline'!E72="+","-",'Describe baseline'!E72))</f>
        <v>0</v>
      </c>
      <c r="E73" s="663" t="str">
        <f>IF(ISERROR(LEFT('Describe baseline'!F72,'OUTPUT-all'!J73-2)),"",LEFT('Describe baseline'!F72,'OUTPUT-all'!J73-2))</f>
        <v/>
      </c>
      <c r="F73" s="663" t="str">
        <f>IF(ISERROR(LEFT('Describe baseline'!G72,'OUTPUT-all'!K73-2)),"",LEFT('Describe baseline'!G72,'OUTPUT-all'!K73-2))</f>
        <v/>
      </c>
      <c r="G73" s="663" t="str">
        <f>IF(ISERROR(LEFT('Describe baseline'!H72,'OUTPUT-all'!L73-1)),"",LEFT('Describe baseline'!H72,'OUTPUT-all'!L73-1))</f>
        <v/>
      </c>
      <c r="H73" s="478"/>
      <c r="I73" s="658" t="str">
        <f>IF(D73="Neutral","Not relevant","Qualitative")</f>
        <v>Qualitative</v>
      </c>
      <c r="J73" s="154" t="e">
        <f>FIND("(",'Describe baseline'!F72)</f>
        <v>#VALUE!</v>
      </c>
      <c r="K73" s="154" t="e">
        <f>FIND("(",'Describe baseline'!G72)</f>
        <v>#VALUE!</v>
      </c>
      <c r="L73" s="154" t="e">
        <f>FIND(":",'Describe baseline'!H72)</f>
        <v>#VALUE!</v>
      </c>
      <c r="M73" s="154"/>
      <c r="N73" s="61" t="s">
        <v>175</v>
      </c>
      <c r="O73" s="147" t="str">
        <f>IF('Identify beneficiaries'!E54="Y",IF(OR($I73="Qualitative",$I73="Not relevant"),$I73,$I73*'Summary of area'!$C$22/'Identify beneficiaries'!$L54),"")</f>
        <v>Qualitative</v>
      </c>
      <c r="P73" s="147" t="str">
        <f>IF('Identify beneficiaries'!F54="Y",IF(OR($I73="Qualitative",$I73="Not relevant"),$I73,$I73*'Summary of area'!$C$22/'Identify beneficiaries'!$L54),"")</f>
        <v/>
      </c>
      <c r="Q73" s="147" t="str">
        <f>IF('Identify beneficiaries'!G54="Y",IF(OR($I73="Qualitative",$I73="Not relevant"),$I73,$I73*'Summary of area'!$C$22/'Identify beneficiaries'!$L54),"")</f>
        <v/>
      </c>
      <c r="R73" s="147" t="str">
        <f>IF('Identify beneficiaries'!H54="Y",IF(OR($I73="Qualitative",$I73="Not relevant"),$I73,$I73*'Summary of area'!$C$22/'Identify beneficiaries'!$L54),"")</f>
        <v/>
      </c>
      <c r="S73" s="147" t="str">
        <f>IF('Identify beneficiaries'!I54="Y",IF(OR($I73="Qualitative",$I73="Not relevant"),$I73,$I73*'Summary of area'!$C$22/'Identify beneficiaries'!$L54),"")</f>
        <v/>
      </c>
      <c r="T73" s="147" t="str">
        <f>IF('Identify beneficiaries'!J54="Y",IF(OR($I73="Qualitative",$I73="Not relevant"),$I73,$I73*'Summary of area'!$C$22/'Identify beneficiaries'!$L54),"")</f>
        <v/>
      </c>
      <c r="U73" s="147" t="str">
        <f>IF('Identify beneficiaries'!K54="Y",IF(OR($I73="Qualitative",$I73="Not relevant"),$I73,$I73*'Summary of area'!$C$22/'Identify beneficiaries'!$L54),"")</f>
        <v/>
      </c>
      <c r="V73" s="292" t="str">
        <f>IF(OR(I73="Qualitative",I73="Not relevant"),I73,ROUND(I73*'Summary of area'!$C$21,3-LEN(INT(I73*'Summary of area'!$C$21))))</f>
        <v>Qualitative</v>
      </c>
      <c r="X73" s="14" t="str">
        <f t="shared" si="2"/>
        <v/>
      </c>
      <c r="Y73" s="14" t="str">
        <f t="shared" si="3"/>
        <v/>
      </c>
    </row>
    <row r="74" spans="1:25" ht="13.5" hidden="1" thickBot="1">
      <c r="A74" s="612"/>
      <c r="B74" s="615"/>
      <c r="C74" s="615"/>
      <c r="D74" s="654">
        <f>IF('Describe baseline'!E73="-","+",IF('Describe baseline'!E73="+","-",'Describe baseline'!E73))</f>
        <v>0</v>
      </c>
      <c r="E74" s="666" t="str">
        <f>IF(ISERROR(LEFT('Describe baseline'!F73,'OUTPUT-all'!J74-2)),"",LEFT('Describe baseline'!F73,'OUTPUT-all'!J74-2))</f>
        <v/>
      </c>
      <c r="F74" s="654" t="str">
        <f>IF(ISERROR(LEFT('Describe baseline'!G73:G77,'OUTPUT-all'!K74-2)),"",LEFT('Describe baseline'!G73:G77,'OUTPUT-all'!K74-2))</f>
        <v/>
      </c>
      <c r="G74" s="654" t="str">
        <f>IF(ISERROR(LEFT('Describe baseline'!H73:H77,'OUTPUT-all'!L74-2)),"",LEFT('Describe baseline'!H73:H77,'OUTPUT-all'!L74-2))</f>
        <v/>
      </c>
      <c r="H74" s="476"/>
      <c r="I74" s="651" t="e">
        <f>IF(D74="-",ROUND(#REF!,2-LEN(INT(#REF!)))*-1,ROUND(#REF!,2-LEN(INT(#REF!))))</f>
        <v>#REF!</v>
      </c>
      <c r="J74" s="154" t="e">
        <f>FIND("(",'Describe baseline'!F73)</f>
        <v>#VALUE!</v>
      </c>
      <c r="K74" s="154" t="e">
        <f>FIND("(",'Describe baseline'!G73)</f>
        <v>#VALUE!</v>
      </c>
      <c r="L74" s="154" t="e">
        <f>FIND(":",'Describe baseline'!H73)</f>
        <v>#VALUE!</v>
      </c>
      <c r="M74" s="364"/>
      <c r="N74" s="148"/>
      <c r="O74" s="149"/>
      <c r="P74" s="149"/>
      <c r="Q74" s="149"/>
      <c r="R74" s="149"/>
      <c r="S74" s="149"/>
      <c r="T74" s="149"/>
      <c r="U74" s="149"/>
      <c r="V74" s="149"/>
      <c r="X74" s="14" t="e">
        <f t="shared" si="2"/>
        <v>#REF!</v>
      </c>
      <c r="Y74" s="14" t="e">
        <f t="shared" si="3"/>
        <v>#REF!</v>
      </c>
    </row>
    <row r="75" spans="1:25" ht="13.5" hidden="1" thickBot="1">
      <c r="A75" s="612"/>
      <c r="B75" s="615"/>
      <c r="C75" s="669"/>
      <c r="D75" s="655">
        <f>IF('Describe baseline'!E74="-","+",IF('Describe baseline'!E74="+","-",'Describe baseline'!E74))</f>
        <v>0</v>
      </c>
      <c r="E75" s="664" t="str">
        <f>IF(ISERROR(LEFT('Describe baseline'!F74,'OUTPUT-all'!J75-2)),"",LEFT('Describe baseline'!F74,'OUTPUT-all'!J75-2))</f>
        <v/>
      </c>
      <c r="F75" s="655" t="str">
        <f>IF(ISERROR(LEFT('Describe baseline'!G74:G78,'OUTPUT-all'!K75-2)),"",LEFT('Describe baseline'!G74:G78,'OUTPUT-all'!K75-2))</f>
        <v/>
      </c>
      <c r="G75" s="655" t="str">
        <f>IF(ISERROR(LEFT('Describe baseline'!H74:H78,'OUTPUT-all'!L75-2)),"",LEFT('Describe baseline'!H74:H78,'OUTPUT-all'!L75-2))</f>
        <v/>
      </c>
      <c r="H75" s="477"/>
      <c r="I75" s="652" t="e">
        <f>IF(D75="-",ROUND(#REF!,2-LEN(INT(#REF!)))*-1,ROUND(#REF!,2-LEN(INT(#REF!))))</f>
        <v>#REF!</v>
      </c>
      <c r="J75" s="154" t="e">
        <f>FIND("(",'Describe baseline'!F74)</f>
        <v>#VALUE!</v>
      </c>
      <c r="K75" s="154" t="e">
        <f>FIND("(",'Describe baseline'!G74)</f>
        <v>#VALUE!</v>
      </c>
      <c r="L75" s="154" t="e">
        <f>FIND(":",'Describe baseline'!H74)</f>
        <v>#VALUE!</v>
      </c>
      <c r="M75" s="364"/>
      <c r="N75" s="148"/>
      <c r="O75" s="149"/>
      <c r="P75" s="149"/>
      <c r="Q75" s="149"/>
      <c r="R75" s="149"/>
      <c r="S75" s="149"/>
      <c r="T75" s="149"/>
      <c r="U75" s="149"/>
      <c r="V75" s="149"/>
      <c r="X75" s="14" t="e">
        <f t="shared" si="2"/>
        <v>#REF!</v>
      </c>
      <c r="Y75" s="14" t="e">
        <f t="shared" si="3"/>
        <v>#REF!</v>
      </c>
    </row>
    <row r="76" spans="1:25" ht="13.5" thickBot="1">
      <c r="A76" s="612"/>
      <c r="B76" s="615"/>
      <c r="C76" s="55" t="s">
        <v>53</v>
      </c>
      <c r="D76" s="57"/>
      <c r="E76" s="57"/>
      <c r="F76" s="57"/>
      <c r="G76" s="57"/>
      <c r="H76" s="57"/>
      <c r="I76" s="97"/>
      <c r="J76" s="154" t="e">
        <f>FIND("(",'Describe baseline'!F75)</f>
        <v>#VALUE!</v>
      </c>
      <c r="K76" s="154" t="e">
        <f>FIND("(",'Describe baseline'!G75)</f>
        <v>#VALUE!</v>
      </c>
      <c r="L76" s="154" t="e">
        <f>FIND(":",'Describe baseline'!H75)</f>
        <v>#VALUE!</v>
      </c>
      <c r="M76" s="364"/>
      <c r="N76" s="97"/>
      <c r="O76" s="97"/>
      <c r="P76" s="97"/>
      <c r="Q76" s="97"/>
      <c r="R76" s="97"/>
      <c r="S76" s="97"/>
      <c r="T76" s="97"/>
      <c r="U76" s="97"/>
      <c r="V76" s="97"/>
      <c r="X76" s="14" t="str">
        <f t="shared" si="2"/>
        <v/>
      </c>
      <c r="Y76" s="14" t="str">
        <f t="shared" si="3"/>
        <v/>
      </c>
    </row>
    <row r="77" spans="1:25" ht="39" thickBot="1">
      <c r="A77" s="613"/>
      <c r="B77" s="616"/>
      <c r="C77" s="28" t="s">
        <v>54</v>
      </c>
      <c r="D77" s="29">
        <f>IF('Describe baseline'!E76="-","+",IF('Describe baseline'!E76="+","-",'Describe baseline'!E76))</f>
        <v>0</v>
      </c>
      <c r="E77" s="29" t="str">
        <f>IF(ISERROR(LEFT('Describe baseline'!F76,'OUTPUT-all'!J77-2)),"",LEFT('Describe baseline'!F76,'OUTPUT-all'!J77-2))</f>
        <v/>
      </c>
      <c r="F77" s="29" t="str">
        <f>IF(ISERROR(LEFT('Describe baseline'!G76,'OUTPUT-all'!K77-2)),"",LEFT('Describe baseline'!G76,'OUTPUT-all'!K77-2))</f>
        <v/>
      </c>
      <c r="G77" s="29" t="str">
        <f>IF(ISERROR(LEFT('Describe baseline'!H76,'OUTPUT-all'!L77-1)),"",LEFT('Describe baseline'!H76,'OUTPUT-all'!L77-1))</f>
        <v/>
      </c>
      <c r="H77" s="29"/>
      <c r="I77" s="99" t="str">
        <f>IF(D77="Neutral","Not relevant","Qualitative")</f>
        <v>Qualitative</v>
      </c>
      <c r="J77" s="154" t="e">
        <f>FIND("(",'Describe baseline'!F76)</f>
        <v>#VALUE!</v>
      </c>
      <c r="K77" s="154" t="e">
        <f>FIND("(",'Describe baseline'!G76)</f>
        <v>#VALUE!</v>
      </c>
      <c r="L77" s="154" t="e">
        <f>FIND(":",'Describe baseline'!H76)</f>
        <v>#VALUE!</v>
      </c>
      <c r="M77" s="364"/>
      <c r="N77" s="62" t="s">
        <v>176</v>
      </c>
      <c r="O77" s="150" t="str">
        <f>IF('Identify beneficiaries'!E56="Y",IF(OR($I77="Qualitative",$I77="Not relevant"),$I77,$I77*'Summary of area'!$C$22/'Identify beneficiaries'!$L56),"")</f>
        <v/>
      </c>
      <c r="P77" s="150" t="str">
        <f>IF('Identify beneficiaries'!F56="Y",IF(OR($I77="Qualitative",$I77="Not relevant"),$I77,$I77*'Summary of area'!$C$22/'Identify beneficiaries'!$L56),"")</f>
        <v/>
      </c>
      <c r="Q77" s="150" t="str">
        <f>IF('Identify beneficiaries'!G56="Y",IF(OR($I77="Qualitative",$I77="Not relevant"),$I77,$I77*'Summary of area'!$C$22/'Identify beneficiaries'!$L56),"")</f>
        <v/>
      </c>
      <c r="R77" s="150" t="str">
        <f>IF('Identify beneficiaries'!H56="Y",IF(OR($I77="Qualitative",$I77="Not relevant"),$I77,$I77*'Summary of area'!$C$22/'Identify beneficiaries'!$L56),"")</f>
        <v>Qualitative</v>
      </c>
      <c r="S77" s="150" t="str">
        <f>IF('Identify beneficiaries'!I56="Y",IF(OR($I77="Qualitative",$I77="Not relevant"),$I77,$I77*'Summary of area'!$C$22/'Identify beneficiaries'!$L56),"")</f>
        <v/>
      </c>
      <c r="T77" s="150" t="str">
        <f>IF('Identify beneficiaries'!J56="Y",IF(OR($I77="Qualitative",$I77="Not relevant"),$I77,$I77*'Summary of area'!$C$22/'Identify beneficiaries'!$L56),"")</f>
        <v>Qualitative</v>
      </c>
      <c r="U77" s="150" t="str">
        <f>IF('Identify beneficiaries'!K56="Y",IF(OR($I77="Qualitative",$I77="Not relevant"),$I77,$I77*'Summary of area'!$C$22/'Identify beneficiaries'!$L56),"")</f>
        <v/>
      </c>
      <c r="V77" s="150" t="str">
        <f>IF(OR(I77="Qualitative",I77="Not relevant"),I77,ROUND(I77*'Summary of area'!$C$21,3-LEN(INT(I77*'Summary of area'!$C$21))))</f>
        <v>Qualitative</v>
      </c>
      <c r="X77" s="14" t="str">
        <f t="shared" si="2"/>
        <v/>
      </c>
      <c r="Y77" s="14" t="str">
        <f t="shared" si="3"/>
        <v/>
      </c>
    </row>
    <row r="78" spans="1:25" ht="20.25" customHeight="1" thickBot="1">
      <c r="A78" s="606" t="s">
        <v>10</v>
      </c>
      <c r="B78" s="608" t="s">
        <v>66</v>
      </c>
      <c r="C78" s="26" t="s">
        <v>52</v>
      </c>
      <c r="D78" s="27">
        <f>IF('Describe baseline'!E77="-","+",IF('Describe baseline'!E77="+","-",'Describe baseline'!E77))</f>
        <v>0</v>
      </c>
      <c r="E78" s="27" t="str">
        <f>IF(ISERROR(LEFT('Describe baseline'!F77,'OUTPUT-all'!J78-2)),"",LEFT('Describe baseline'!F77,'OUTPUT-all'!J78-2))</f>
        <v/>
      </c>
      <c r="F78" s="27" t="str">
        <f>IF(ISERROR(LEFT('Describe baseline'!G77,'OUTPUT-all'!K78-2)),"",LEFT('Describe baseline'!G77,'OUTPUT-all'!K78-2))</f>
        <v/>
      </c>
      <c r="G78" s="27" t="str">
        <f>IF(ISERROR(LEFT('Describe baseline'!H77,'OUTPUT-all'!L78-1)),"",LEFT('Describe baseline'!H77,'OUTPUT-all'!L78-1))</f>
        <v/>
      </c>
      <c r="H78" s="27"/>
      <c r="I78" s="92" t="str">
        <f>IF(D78="Neutral","Not relevant","Qualitative")</f>
        <v>Qualitative</v>
      </c>
      <c r="J78" s="154" t="e">
        <f>FIND("(",'Describe baseline'!F77)</f>
        <v>#VALUE!</v>
      </c>
      <c r="K78" s="154" t="e">
        <f>FIND("(",'Describe baseline'!G77)</f>
        <v>#VALUE!</v>
      </c>
      <c r="L78" s="154" t="e">
        <f>FIND(":",'Describe baseline'!H77)</f>
        <v>#VALUE!</v>
      </c>
      <c r="M78" s="154"/>
      <c r="N78" s="61" t="s">
        <v>177</v>
      </c>
      <c r="O78" s="147" t="str">
        <f>IF('Identify beneficiaries'!E57="Y",IF(OR($I78="Qualitative",$I78="Not relevant"),$I78,$I78*'Summary of area'!$C$22/'Identify beneficiaries'!$L57),"")</f>
        <v>Qualitative</v>
      </c>
      <c r="P78" s="147" t="str">
        <f>IF('Identify beneficiaries'!F57="Y",IF(OR($I78="Qualitative",$I78="Not relevant"),$I78,$I78*'Summary of area'!$C$22/'Identify beneficiaries'!$L57),"")</f>
        <v/>
      </c>
      <c r="Q78" s="147" t="str">
        <f>IF('Identify beneficiaries'!G57="Y",IF(OR($I78="Qualitative",$I78="Not relevant"),$I78,$I78*'Summary of area'!$C$22/'Identify beneficiaries'!$L57),"")</f>
        <v/>
      </c>
      <c r="R78" s="147" t="str">
        <f>IF('Identify beneficiaries'!H57="Y",IF(OR($I78="Qualitative",$I78="Not relevant"),$I78,$I78*'Summary of area'!$C$22/'Identify beneficiaries'!$L57),"")</f>
        <v/>
      </c>
      <c r="S78" s="147" t="str">
        <f>IF('Identify beneficiaries'!I57="Y",IF(OR($I78="Qualitative",$I78="Not relevant"),$I78,$I78*'Summary of area'!$C$22/'Identify beneficiaries'!$L57),"")</f>
        <v/>
      </c>
      <c r="T78" s="147" t="str">
        <f>IF('Identify beneficiaries'!J57="Y",IF(OR($I78="Qualitative",$I78="Not relevant"),$I78,$I78*'Summary of area'!$C$22/'Identify beneficiaries'!$L57),"")</f>
        <v/>
      </c>
      <c r="U78" s="147" t="str">
        <f>IF('Identify beneficiaries'!K57="Y",IF(OR($I78="Qualitative",$I78="Not relevant"),$I78,$I78*'Summary of area'!$C$22/'Identify beneficiaries'!$L57),"")</f>
        <v/>
      </c>
      <c r="V78" s="147" t="str">
        <f>IF(OR(I78="Qualitative",I78="Not relevant"),I78,ROUND(I78*'Summary of area'!$C$21,3-LEN(INT(I78*'Summary of area'!$C$21))))</f>
        <v>Qualitative</v>
      </c>
      <c r="X78" s="14" t="str">
        <f t="shared" si="2"/>
        <v/>
      </c>
      <c r="Y78" s="14" t="str">
        <f t="shared" si="3"/>
        <v/>
      </c>
    </row>
    <row r="79" spans="1:25" ht="13.5" thickBot="1">
      <c r="A79" s="607"/>
      <c r="B79" s="597"/>
      <c r="C79" s="55" t="s">
        <v>53</v>
      </c>
      <c r="D79" s="57"/>
      <c r="E79" s="57"/>
      <c r="F79" s="57"/>
      <c r="G79" s="57"/>
      <c r="H79" s="57"/>
      <c r="I79" s="97"/>
      <c r="J79" s="154" t="e">
        <f>FIND("(",'Describe baseline'!F78)</f>
        <v>#VALUE!</v>
      </c>
      <c r="K79" s="154" t="e">
        <f>FIND("(",'Describe baseline'!G78)</f>
        <v>#VALUE!</v>
      </c>
      <c r="L79" s="154" t="e">
        <f>FIND(":",'Describe baseline'!H78)</f>
        <v>#VALUE!</v>
      </c>
      <c r="M79" s="364"/>
      <c r="N79" s="97"/>
      <c r="O79" s="97"/>
      <c r="P79" s="97"/>
      <c r="Q79" s="97"/>
      <c r="R79" s="97"/>
      <c r="S79" s="97"/>
      <c r="T79" s="97"/>
      <c r="U79" s="97"/>
      <c r="V79" s="97"/>
      <c r="X79" s="14" t="str">
        <f t="shared" si="2"/>
        <v/>
      </c>
      <c r="Y79" s="14" t="str">
        <f t="shared" si="3"/>
        <v/>
      </c>
    </row>
    <row r="80" spans="1:25" ht="18.75" customHeight="1" thickBot="1">
      <c r="A80" s="617"/>
      <c r="B80" s="609"/>
      <c r="C80" s="58" t="s">
        <v>54</v>
      </c>
      <c r="D80" s="60"/>
      <c r="E80" s="60"/>
      <c r="F80" s="60"/>
      <c r="G80" s="60"/>
      <c r="H80" s="60"/>
      <c r="I80" s="98"/>
      <c r="J80" s="154" t="e">
        <f>FIND("(",'Describe baseline'!F79)</f>
        <v>#VALUE!</v>
      </c>
      <c r="K80" s="154" t="e">
        <f>FIND("(",'Describe baseline'!G79)</f>
        <v>#VALUE!</v>
      </c>
      <c r="L80" s="154" t="e">
        <f>FIND(":",'Describe baseline'!H79)</f>
        <v>#VALUE!</v>
      </c>
      <c r="M80" s="364"/>
      <c r="N80" s="98"/>
      <c r="O80" s="98"/>
      <c r="P80" s="98"/>
      <c r="Q80" s="98"/>
      <c r="R80" s="98"/>
      <c r="S80" s="98"/>
      <c r="T80" s="98"/>
      <c r="U80" s="98"/>
      <c r="V80" s="98"/>
      <c r="X80" s="14" t="str">
        <f t="shared" si="2"/>
        <v/>
      </c>
      <c r="Y80" s="14" t="str">
        <f t="shared" si="3"/>
        <v/>
      </c>
    </row>
    <row r="81" spans="1:25" ht="26.25" thickBot="1">
      <c r="A81" s="688" t="s">
        <v>11</v>
      </c>
      <c r="B81" s="608" t="s">
        <v>31</v>
      </c>
      <c r="C81" s="26" t="s">
        <v>52</v>
      </c>
      <c r="D81" s="27">
        <f>IF('Describe baseline'!E80="-","+",IF('Describe baseline'!E80="+","-",'Describe baseline'!E80))</f>
        <v>0</v>
      </c>
      <c r="E81" s="27" t="str">
        <f>IF(ISERROR(LEFT('Describe baseline'!F80,'OUTPUT-all'!J81-2)),"",LEFT('Describe baseline'!F80,'OUTPUT-all'!J81-2))</f>
        <v/>
      </c>
      <c r="F81" s="27" t="str">
        <f>IF(ISERROR(LEFT('Describe baseline'!G80,'OUTPUT-all'!K81-2)),"",LEFT('Describe baseline'!G80,'OUTPUT-all'!K81-2))</f>
        <v/>
      </c>
      <c r="G81" s="27" t="str">
        <f>IF(ISERROR(LEFT('Describe baseline'!H80,'OUTPUT-all'!L81-1)),"",LEFT('Describe baseline'!H80,'OUTPUT-all'!L81-1))</f>
        <v/>
      </c>
      <c r="H81" s="27"/>
      <c r="I81" s="92" t="str">
        <f>IF(D81="Neutral","Not relevant","Qualitative")</f>
        <v>Qualitative</v>
      </c>
      <c r="J81" s="154" t="e">
        <f>FIND("(",'Describe baseline'!F80)</f>
        <v>#VALUE!</v>
      </c>
      <c r="K81" s="154" t="e">
        <f>FIND("(",'Describe baseline'!G80)</f>
        <v>#VALUE!</v>
      </c>
      <c r="L81" s="154" t="e">
        <f>FIND(":",'Describe baseline'!H80)</f>
        <v>#VALUE!</v>
      </c>
      <c r="M81" s="154"/>
      <c r="N81" s="61" t="s">
        <v>178</v>
      </c>
      <c r="O81" s="147" t="str">
        <f>IF('Identify beneficiaries'!E60="Y",IF(OR($I81="Qualitative",$I81="Not relevant"),$I81,$I81*'Summary of area'!$C$22/'Identify beneficiaries'!$L60),"")</f>
        <v>Qualitative</v>
      </c>
      <c r="P81" s="147" t="str">
        <f>IF('Identify beneficiaries'!F60="Y",IF(OR($I81="Qualitative",$I81="Not relevant"),$I81,$I81*'Summary of area'!$C$22/'Identify beneficiaries'!$L60),"")</f>
        <v>Qualitative</v>
      </c>
      <c r="Q81" s="147" t="str">
        <f>IF('Identify beneficiaries'!G60="Y",IF(OR($I81="Qualitative",$I81="Not relevant"),$I81,$I81*'Summary of area'!$C$22/'Identify beneficiaries'!$L60),"")</f>
        <v>Qualitative</v>
      </c>
      <c r="R81" s="147" t="str">
        <f>IF('Identify beneficiaries'!H60="Y",IF(OR($I81="Qualitative",$I81="Not relevant"),$I81,$I81*'Summary of area'!$C$22/'Identify beneficiaries'!$L60),"")</f>
        <v>Qualitative</v>
      </c>
      <c r="S81" s="147" t="str">
        <f>IF('Identify beneficiaries'!I60="Y",IF(OR($I81="Qualitative",$I81="Not relevant"),$I81,$I81*'Summary of area'!$C$22/'Identify beneficiaries'!$L60),"")</f>
        <v>Qualitative</v>
      </c>
      <c r="T81" s="147" t="str">
        <f>IF('Identify beneficiaries'!J60="Y",IF(OR($I81="Qualitative",$I81="Not relevant"),$I81,$I81*'Summary of area'!$C$22/'Identify beneficiaries'!$L60),"")</f>
        <v/>
      </c>
      <c r="U81" s="147" t="str">
        <f>IF('Identify beneficiaries'!K60="Y",IF(OR($I81="Qualitative",$I81="Not relevant"),$I81,$I81*'Summary of area'!$C$22/'Identify beneficiaries'!$L60),"")</f>
        <v/>
      </c>
      <c r="V81" s="147" t="str">
        <f>IF(OR(I81="Qualitative",I81="Not relevant"),I81,ROUND(I81*'Summary of area'!$C$21,3-LEN(INT(I81*'Summary of area'!$C$21))))</f>
        <v>Qualitative</v>
      </c>
      <c r="X81" s="14" t="str">
        <f t="shared" si="2"/>
        <v/>
      </c>
      <c r="Y81" s="14" t="str">
        <f t="shared" si="3"/>
        <v/>
      </c>
    </row>
    <row r="82" spans="1:25" ht="13.5" thickBot="1">
      <c r="A82" s="607"/>
      <c r="B82" s="597"/>
      <c r="C82" s="55" t="s">
        <v>53</v>
      </c>
      <c r="D82" s="57"/>
      <c r="E82" s="57"/>
      <c r="F82" s="57"/>
      <c r="G82" s="57"/>
      <c r="H82" s="57"/>
      <c r="I82" s="97"/>
      <c r="J82" s="154" t="e">
        <f>FIND("(",'Describe baseline'!F81)</f>
        <v>#VALUE!</v>
      </c>
      <c r="K82" s="154" t="e">
        <f>FIND("(",'Describe baseline'!G81)</f>
        <v>#VALUE!</v>
      </c>
      <c r="L82" s="154" t="e">
        <f>FIND(":",'Describe baseline'!H81)</f>
        <v>#VALUE!</v>
      </c>
      <c r="M82" s="364"/>
      <c r="N82" s="97"/>
      <c r="O82" s="97"/>
      <c r="P82" s="97"/>
      <c r="Q82" s="97"/>
      <c r="R82" s="97"/>
      <c r="S82" s="97"/>
      <c r="T82" s="97"/>
      <c r="U82" s="97"/>
      <c r="V82" s="97"/>
      <c r="X82" s="14" t="str">
        <f t="shared" si="2"/>
        <v/>
      </c>
      <c r="Y82" s="14" t="str">
        <f t="shared" si="3"/>
        <v/>
      </c>
    </row>
    <row r="83" spans="1:25" ht="13.5" thickBot="1">
      <c r="A83" s="617"/>
      <c r="B83" s="609"/>
      <c r="C83" s="58" t="s">
        <v>54</v>
      </c>
      <c r="D83" s="60"/>
      <c r="E83" s="60"/>
      <c r="F83" s="60"/>
      <c r="G83" s="60"/>
      <c r="H83" s="60"/>
      <c r="I83" s="98"/>
      <c r="J83" s="154" t="e">
        <f>FIND("(",'Describe baseline'!F82)</f>
        <v>#VALUE!</v>
      </c>
      <c r="K83" s="154" t="e">
        <f>FIND("(",'Describe baseline'!G82)</f>
        <v>#VALUE!</v>
      </c>
      <c r="L83" s="154" t="e">
        <f>FIND(":",'Describe baseline'!H82)</f>
        <v>#VALUE!</v>
      </c>
      <c r="M83" s="364"/>
      <c r="N83" s="98"/>
      <c r="O83" s="98"/>
      <c r="P83" s="98"/>
      <c r="Q83" s="98"/>
      <c r="R83" s="98"/>
      <c r="S83" s="98"/>
      <c r="T83" s="98"/>
      <c r="U83" s="98"/>
      <c r="V83" s="98"/>
      <c r="X83" s="14" t="str">
        <f t="shared" si="2"/>
        <v/>
      </c>
      <c r="Y83" s="14" t="str">
        <f t="shared" si="3"/>
        <v/>
      </c>
    </row>
    <row r="84" spans="1:25" ht="39" thickBot="1">
      <c r="A84" s="606" t="s">
        <v>12</v>
      </c>
      <c r="B84" s="608" t="s">
        <v>32</v>
      </c>
      <c r="C84" s="26" t="s">
        <v>52</v>
      </c>
      <c r="D84" s="27">
        <f>IF('Describe baseline'!E83="-","+",IF('Describe baseline'!E83="+","-",'Describe baseline'!E83))</f>
        <v>0</v>
      </c>
      <c r="E84" s="27" t="str">
        <f>IF(ISERROR(LEFT('Describe baseline'!F83,'OUTPUT-all'!J84-2)),"",LEFT('Describe baseline'!F83,'OUTPUT-all'!J84-2))</f>
        <v/>
      </c>
      <c r="F84" s="27" t="str">
        <f>IF(ISERROR(LEFT('Describe baseline'!G83,'OUTPUT-all'!K84-2)),"",LEFT('Describe baseline'!G83,'OUTPUT-all'!K84-2))</f>
        <v/>
      </c>
      <c r="G84" s="27" t="str">
        <f>IF(ISERROR(LEFT('Describe baseline'!H83,'OUTPUT-all'!L84-1)),"",LEFT('Describe baseline'!H83,'OUTPUT-all'!L84-1))</f>
        <v/>
      </c>
      <c r="H84" s="27"/>
      <c r="I84" s="92" t="str">
        <f>IF(D84="Neutral","Not relevant","Qualitative")</f>
        <v>Qualitative</v>
      </c>
      <c r="J84" s="154" t="e">
        <f>FIND("(",'Describe baseline'!F83)</f>
        <v>#VALUE!</v>
      </c>
      <c r="K84" s="154" t="e">
        <f>FIND("(",'Describe baseline'!G83)</f>
        <v>#VALUE!</v>
      </c>
      <c r="L84" s="154" t="e">
        <f>FIND(":",'Describe baseline'!H83)</f>
        <v>#VALUE!</v>
      </c>
      <c r="M84" s="154"/>
      <c r="N84" s="61" t="s">
        <v>179</v>
      </c>
      <c r="O84" s="147" t="str">
        <f>IF('Identify beneficiaries'!E63="Y",IF(OR($I84="Qualitative",$I84="Not relevant"),$I84,$I84*'Summary of area'!$C$22/'Identify beneficiaries'!$L63),"")</f>
        <v>Qualitative</v>
      </c>
      <c r="P84" s="147" t="str">
        <f>IF('Identify beneficiaries'!F63="Y",IF(OR($I84="Qualitative",$I84="Not relevant"),$I84,$I84*'Summary of area'!$C$22/'Identify beneficiaries'!$L63),"")</f>
        <v/>
      </c>
      <c r="Q84" s="147" t="str">
        <f>IF('Identify beneficiaries'!G63="Y",IF(OR($I84="Qualitative",$I84="Not relevant"),$I84,$I84*'Summary of area'!$C$22/'Identify beneficiaries'!$L63),"")</f>
        <v/>
      </c>
      <c r="R84" s="147" t="str">
        <f>IF('Identify beneficiaries'!H63="Y",IF(OR($I84="Qualitative",$I84="Not relevant"),$I84,$I84*'Summary of area'!$C$22/'Identify beneficiaries'!$L63),"")</f>
        <v/>
      </c>
      <c r="S84" s="147" t="str">
        <f>IF('Identify beneficiaries'!I63="Y",IF(OR($I84="Qualitative",$I84="Not relevant"),$I84,$I84*'Summary of area'!$C$22/'Identify beneficiaries'!$L63),"")</f>
        <v/>
      </c>
      <c r="T84" s="147" t="str">
        <f>IF('Identify beneficiaries'!J63="Y",IF(OR($I84="Qualitative",$I84="Not relevant"),$I84,$I84*'Summary of area'!$C$22/'Identify beneficiaries'!$L63),"")</f>
        <v>Qualitative</v>
      </c>
      <c r="U84" s="147" t="str">
        <f>IF('Identify beneficiaries'!K63="Y",IF(OR($I84="Qualitative",$I84="Not relevant"),$I84,$I84*'Summary of area'!$C$22/'Identify beneficiaries'!$L63),"")</f>
        <v/>
      </c>
      <c r="V84" s="147" t="str">
        <f>IF(OR(I84="Qualitative",I84="Not relevant"),I84,ROUND(I84*'Summary of area'!$C$21,3-LEN(INT(I84*'Summary of area'!$C$21))))</f>
        <v>Qualitative</v>
      </c>
      <c r="X84" s="14" t="str">
        <f t="shared" si="2"/>
        <v/>
      </c>
      <c r="Y84" s="14" t="str">
        <f t="shared" si="3"/>
        <v/>
      </c>
    </row>
    <row r="85" spans="1:25" ht="13.5" thickBot="1">
      <c r="A85" s="607"/>
      <c r="B85" s="597"/>
      <c r="C85" s="55" t="s">
        <v>53</v>
      </c>
      <c r="D85" s="57"/>
      <c r="E85" s="57"/>
      <c r="F85" s="57"/>
      <c r="G85" s="57"/>
      <c r="H85" s="57"/>
      <c r="I85" s="97"/>
      <c r="J85" s="154" t="e">
        <f>FIND("(",'Describe baseline'!F84)</f>
        <v>#VALUE!</v>
      </c>
      <c r="K85" s="154" t="e">
        <f>FIND("(",'Describe baseline'!G84)</f>
        <v>#VALUE!</v>
      </c>
      <c r="L85" s="154" t="e">
        <f>FIND(":",'Describe baseline'!H84)</f>
        <v>#VALUE!</v>
      </c>
      <c r="M85" s="364"/>
      <c r="N85" s="97"/>
      <c r="O85" s="97"/>
      <c r="P85" s="97"/>
      <c r="Q85" s="97"/>
      <c r="R85" s="97"/>
      <c r="S85" s="97"/>
      <c r="T85" s="97"/>
      <c r="U85" s="97"/>
      <c r="V85" s="97"/>
      <c r="X85" s="14" t="str">
        <f t="shared" si="2"/>
        <v/>
      </c>
      <c r="Y85" s="14" t="str">
        <f t="shared" si="3"/>
        <v/>
      </c>
    </row>
    <row r="86" spans="1:25" ht="13.5" thickBot="1">
      <c r="A86" s="617"/>
      <c r="B86" s="609"/>
      <c r="C86" s="58" t="s">
        <v>54</v>
      </c>
      <c r="D86" s="60"/>
      <c r="E86" s="60"/>
      <c r="F86" s="60"/>
      <c r="G86" s="60"/>
      <c r="H86" s="60"/>
      <c r="I86" s="98"/>
      <c r="J86" s="154" t="e">
        <f>FIND("(",'Describe baseline'!F85)</f>
        <v>#VALUE!</v>
      </c>
      <c r="K86" s="154" t="e">
        <f>FIND("(",'Describe baseline'!G85)</f>
        <v>#VALUE!</v>
      </c>
      <c r="L86" s="154" t="e">
        <f>FIND(":",'Describe baseline'!H85)</f>
        <v>#VALUE!</v>
      </c>
      <c r="M86" s="364"/>
      <c r="N86" s="98"/>
      <c r="O86" s="98"/>
      <c r="P86" s="98"/>
      <c r="Q86" s="98"/>
      <c r="R86" s="98"/>
      <c r="S86" s="98"/>
      <c r="T86" s="98"/>
      <c r="U86" s="98"/>
      <c r="V86" s="98"/>
      <c r="X86" s="14" t="str">
        <f t="shared" si="2"/>
        <v/>
      </c>
      <c r="Y86" s="14" t="str">
        <f t="shared" si="3"/>
        <v/>
      </c>
    </row>
    <row r="87" spans="1:25" ht="39" hidden="1" thickBot="1">
      <c r="A87" s="611" t="s">
        <v>13</v>
      </c>
      <c r="B87" s="614" t="s">
        <v>33</v>
      </c>
      <c r="C87" s="30" t="s">
        <v>52</v>
      </c>
      <c r="D87" s="31">
        <f>IF('Describe baseline'!E86="-","+",IF('Describe baseline'!E86="+","-",'Describe baseline'!E86))</f>
        <v>0</v>
      </c>
      <c r="E87" s="31" t="str">
        <f>IF(ISERROR(LEFT('Describe baseline'!F86,'OUTPUT-all'!J87-2)),"",LEFT('Describe baseline'!F86,'OUTPUT-all'!J87-2))</f>
        <v/>
      </c>
      <c r="F87" s="31" t="str">
        <f>IF(ISERROR(LEFT('Describe baseline'!G86,'OUTPUT-all'!K87-2)),"",LEFT('Describe baseline'!G86,'OUTPUT-all'!K87-2))</f>
        <v/>
      </c>
      <c r="G87" s="31" t="str">
        <f>IF(ISERROR(LEFT('Describe baseline'!H86,'OUTPUT-all'!L87-1)),"",LEFT('Describe baseline'!H86,'OUTPUT-all'!L87-1))</f>
        <v/>
      </c>
      <c r="H87" s="374" t="str">
        <f>IF(ISERROR(LEFT(Heritage!N232,'OUTPUT-all'!M87-1)),"",LEFT(Heritage!N232,'OUTPUT-all'!M87-1))</f>
        <v>High</v>
      </c>
      <c r="I87" s="100" t="str">
        <f>IF(Heritage!D232="Enter number of heritage assets",IF(D87="Neutral","Not relevant","Qualitative"),ROUND(Heritage!K232,3-LEN(INT(Heritage!K232))))</f>
        <v>Qualitative</v>
      </c>
      <c r="J87" s="154" t="e">
        <f>FIND("(",'Describe baseline'!F86)</f>
        <v>#VALUE!</v>
      </c>
      <c r="K87" s="154" t="e">
        <f>FIND("(",'Describe baseline'!G86)</f>
        <v>#VALUE!</v>
      </c>
      <c r="L87" s="154" t="e">
        <f>FIND(":",'Describe baseline'!H86)</f>
        <v>#VALUE!</v>
      </c>
      <c r="M87" s="154">
        <f>FIND(":",Heritage!N232)</f>
        <v>5</v>
      </c>
      <c r="N87" s="61" t="s">
        <v>179</v>
      </c>
      <c r="O87" s="147" t="str">
        <f>IF('Identify beneficiaries'!E66="Y",IF(OR($I87="Qualitative",$I87="Not relevant"),$I87,ROUND($I87*'Summary of area'!$E$46/'Identify beneficiaries'!$L66,3-LEN(INT($I87*'Summary of area'!$E$46/'Identify beneficiaries'!$L66)))),"")</f>
        <v>Qualitative</v>
      </c>
      <c r="P87" s="147" t="str">
        <f>IF('Identify beneficiaries'!F66="Y",IF(OR($I87="Qualitative",$I87="Not relevant"),$I87,ROUND($I87*'Summary of area'!$E$46/'Identify beneficiaries'!$L66,3-LEN(INT($I87*'Summary of area'!$E$46/'Identify beneficiaries'!$L66)))),"")</f>
        <v/>
      </c>
      <c r="Q87" s="147" t="str">
        <f>IF('Identify beneficiaries'!G66="Y",IF(OR($I87="Qualitative",$I87="Not relevant"),$I87,ROUND($I87*'Summary of area'!$E$46/'Identify beneficiaries'!$L66,3-LEN(INT($I87*'Summary of area'!$E$46/'Identify beneficiaries'!$L66)))),"")</f>
        <v/>
      </c>
      <c r="R87" s="147" t="str">
        <f>IF('Identify beneficiaries'!H66="Y",IF(OR($I87="Qualitative",$I87="Not relevant"),$I87,ROUND($I87*'Summary of area'!$E$46/'Identify beneficiaries'!$L66,3-LEN(INT($I87*'Summary of area'!$E$46/'Identify beneficiaries'!$L66)))),"")</f>
        <v/>
      </c>
      <c r="S87" s="147" t="str">
        <f>IF('Identify beneficiaries'!I66="Y",IF(OR($I87="Qualitative",$I87="Not relevant"),$I87,ROUND($I87*'Summary of area'!$E$46/'Identify beneficiaries'!$L66,3-LEN(INT($I87*'Summary of area'!$E$46/'Identify beneficiaries'!$L66)))),"")</f>
        <v/>
      </c>
      <c r="T87" s="147" t="str">
        <f>IF('Identify beneficiaries'!J66="Y",IF(OR($I87="Qualitative",$I87="Not relevant"),$I87,ROUND($I87*'Summary of area'!$E$46/'Identify beneficiaries'!$L66,3-LEN(INT($I87*'Summary of area'!$E$46/'Identify beneficiaries'!$L66)))),"")</f>
        <v>Qualitative</v>
      </c>
      <c r="U87" s="147" t="str">
        <f>IF('Identify beneficiaries'!K66="Y",IF(OR($I87="Qualitative",$I87="Not relevant"),$I87,ROUND($I87*'Summary of area'!$E$46/'Identify beneficiaries'!$L66,3-LEN(INT($I87*'Summary of area'!$E$46/'Identify beneficiaries'!$L66)))),"")</f>
        <v/>
      </c>
      <c r="V87" s="147" t="str">
        <f>IF(OR(I87="Qualitative",I87="Not relevant"),I87,ROUND(I87*'Summary of area'!$D$46,3-LEN(INT(I87*'Summary of area'!$D$46))))</f>
        <v>Qualitative</v>
      </c>
      <c r="X87" s="14" t="str">
        <f t="shared" si="2"/>
        <v/>
      </c>
      <c r="Y87" s="14" t="str">
        <f t="shared" si="3"/>
        <v/>
      </c>
    </row>
    <row r="88" spans="1:25" ht="13.5" hidden="1" thickBot="1">
      <c r="A88" s="607"/>
      <c r="B88" s="597"/>
      <c r="C88" s="55" t="s">
        <v>53</v>
      </c>
      <c r="D88" s="57"/>
      <c r="E88" s="57"/>
      <c r="F88" s="57"/>
      <c r="G88" s="57"/>
      <c r="H88" s="57"/>
      <c r="I88" s="97"/>
      <c r="J88" s="154" t="e">
        <f>FIND("(",'Describe baseline'!F87)</f>
        <v>#VALUE!</v>
      </c>
      <c r="K88" s="154" t="e">
        <f>FIND("(",'Describe baseline'!G87)</f>
        <v>#VALUE!</v>
      </c>
      <c r="L88" s="154" t="e">
        <f>FIND(":",'Describe baseline'!H87)</f>
        <v>#VALUE!</v>
      </c>
      <c r="M88" s="364"/>
      <c r="N88" s="97"/>
      <c r="O88" s="97"/>
      <c r="P88" s="97"/>
      <c r="Q88" s="97"/>
      <c r="R88" s="97"/>
      <c r="S88" s="97"/>
      <c r="T88" s="97"/>
      <c r="U88" s="97"/>
      <c r="V88" s="97"/>
      <c r="X88" s="14" t="str">
        <f t="shared" si="2"/>
        <v/>
      </c>
      <c r="Y88" s="14" t="str">
        <f t="shared" si="3"/>
        <v/>
      </c>
    </row>
    <row r="89" spans="1:25" ht="13.5" hidden="1" thickBot="1">
      <c r="A89" s="617"/>
      <c r="B89" s="609"/>
      <c r="C89" s="32" t="s">
        <v>54</v>
      </c>
      <c r="D89" s="33">
        <f>IF('Describe baseline'!E88="-","+",IF('Describe baseline'!E88="+","-",'Describe baseline'!E88))</f>
        <v>0</v>
      </c>
      <c r="E89" s="33" t="str">
        <f>IF(ISERROR(LEFT('Describe baseline'!F88,'OUTPUT-all'!J89-2)),"",LEFT('Describe baseline'!F88,'OUTPUT-all'!J89-2))</f>
        <v/>
      </c>
      <c r="F89" s="33" t="str">
        <f>IF(ISERROR(LEFT('Describe baseline'!G88,'OUTPUT-all'!K89-2)),"",LEFT('Describe baseline'!G88,'OUTPUT-all'!K89-2))</f>
        <v/>
      </c>
      <c r="G89" s="33" t="str">
        <f>IF(ISERROR(LEFT('Describe baseline'!H88,'OUTPUT-all'!L89-1)),"",LEFT('Describe baseline'!H88,'OUTPUT-all'!L89-1))</f>
        <v/>
      </c>
      <c r="H89" s="33"/>
      <c r="I89" s="102" t="str">
        <f>IF(D89="Neutral","Not relevant","Qualitative")</f>
        <v>Qualitative</v>
      </c>
      <c r="J89" s="154" t="e">
        <f>FIND("(",'Describe baseline'!F88)</f>
        <v>#VALUE!</v>
      </c>
      <c r="K89" s="154" t="e">
        <f>FIND("(",'Describe baseline'!G88)</f>
        <v>#VALUE!</v>
      </c>
      <c r="L89" s="154" t="e">
        <f>FIND(":",'Describe baseline'!H88)</f>
        <v>#VALUE!</v>
      </c>
      <c r="M89" s="364"/>
      <c r="N89" s="62" t="s">
        <v>172</v>
      </c>
      <c r="O89" s="150" t="str">
        <f>IF('Identify beneficiaries'!E68="Y",IF(OR($I89="Qualitative",$I89="Not relevant"),$I89,$I89*'Summary of area'!$C$22/'Identify beneficiaries'!$L68),"")</f>
        <v/>
      </c>
      <c r="P89" s="150" t="str">
        <f>IF('Identify beneficiaries'!F68="Y",IF(OR($I89="Qualitative",$I89="Not relevant"),$I89,$I89*'Summary of area'!$C$22/'Identify beneficiaries'!$L68),"")</f>
        <v/>
      </c>
      <c r="Q89" s="150" t="str">
        <f>IF('Identify beneficiaries'!G68="Y",IF(OR($I89="Qualitative",$I89="Not relevant"),$I89,$I89*'Summary of area'!$C$22/'Identify beneficiaries'!$L68),"")</f>
        <v/>
      </c>
      <c r="R89" s="150" t="str">
        <f>IF('Identify beneficiaries'!H68="Y",IF(OR($I89="Qualitative",$I89="Not relevant"),$I89,$I89*'Summary of area'!$C$22/'Identify beneficiaries'!$L68),"")</f>
        <v>Qualitative</v>
      </c>
      <c r="S89" s="150" t="str">
        <f>IF('Identify beneficiaries'!I68="Y",IF(OR($I89="Qualitative",$I89="Not relevant"),$I89,$I89*'Summary of area'!$C$22/'Identify beneficiaries'!$L68),"")</f>
        <v/>
      </c>
      <c r="T89" s="150" t="str">
        <f>IF('Identify beneficiaries'!J68="Y",IF(OR($I89="Qualitative",$I89="Not relevant"),$I89,$I89*'Summary of area'!$C$22/'Identify beneficiaries'!$L68),"")</f>
        <v>Qualitative</v>
      </c>
      <c r="U89" s="150" t="str">
        <f>IF('Identify beneficiaries'!K68="Y",IF(OR($I89="Qualitative",$I89="Not relevant"),$I89,$I89*'Summary of area'!$C$22/'Identify beneficiaries'!$L68),"")</f>
        <v/>
      </c>
      <c r="V89" s="150" t="str">
        <f>IF(OR(I89="Qualitative",I89="Not relevant"),I89,ROUND(I89*'Summary of area'!$C$21,3-LEN(INT(I89*'Summary of area'!$C$21))))</f>
        <v>Qualitative</v>
      </c>
      <c r="X89" s="14" t="str">
        <f t="shared" si="2"/>
        <v/>
      </c>
      <c r="Y89" s="14" t="str">
        <f t="shared" si="3"/>
        <v/>
      </c>
    </row>
    <row r="90" spans="1:25" ht="39" hidden="1" thickBot="1">
      <c r="A90" s="611" t="s">
        <v>14</v>
      </c>
      <c r="B90" s="614" t="s">
        <v>34</v>
      </c>
      <c r="C90" s="30" t="s">
        <v>52</v>
      </c>
      <c r="D90" s="31">
        <f>IF('Describe baseline'!E89="-","+",IF('Describe baseline'!E89="+","-",'Describe baseline'!E89))</f>
        <v>0</v>
      </c>
      <c r="E90" s="31" t="str">
        <f>IF(ISERROR(LEFT('Describe baseline'!F89,'OUTPUT-all'!J90-2)),"",LEFT('Describe baseline'!F89,'OUTPUT-all'!J90-2))</f>
        <v/>
      </c>
      <c r="F90" s="31" t="str">
        <f>IF(ISERROR(LEFT('Describe baseline'!G89,'OUTPUT-all'!K90-2)),"",LEFT('Describe baseline'!G89,'OUTPUT-all'!K90-2))</f>
        <v/>
      </c>
      <c r="G90" s="31" t="str">
        <f>IF(ISERROR(LEFT('Describe baseline'!H89,'OUTPUT-all'!L90-1)),"",LEFT('Describe baseline'!H89,'OUTPUT-all'!L90-1))</f>
        <v/>
      </c>
      <c r="H90" s="31"/>
      <c r="I90" s="100" t="str">
        <f>IF(D90="Neutral","Not relevant","Qualitative")</f>
        <v>Qualitative</v>
      </c>
      <c r="J90" s="154" t="e">
        <f>FIND("(",'Describe baseline'!F89)</f>
        <v>#VALUE!</v>
      </c>
      <c r="K90" s="154" t="e">
        <f>FIND("(",'Describe baseline'!G89)</f>
        <v>#VALUE!</v>
      </c>
      <c r="L90" s="154" t="e">
        <f>FIND(":",'Describe baseline'!H89)</f>
        <v>#VALUE!</v>
      </c>
      <c r="M90" s="154"/>
      <c r="N90" s="61" t="s">
        <v>180</v>
      </c>
      <c r="O90" s="147" t="str">
        <f>IF('Identify beneficiaries'!E69="Y",IF(OR($I90="Qualitative",$I90="Not relevant"),$I90,$I90*'Summary of area'!$C$22/'Identify beneficiaries'!$L69),"")</f>
        <v>Qualitative</v>
      </c>
      <c r="P90" s="147" t="str">
        <f>IF('Identify beneficiaries'!F69="Y",IF(OR($I90="Qualitative",$I90="Not relevant"),$I90,$I90*'Summary of area'!$C$22/'Identify beneficiaries'!$L69),"")</f>
        <v/>
      </c>
      <c r="Q90" s="147" t="str">
        <f>IF('Identify beneficiaries'!G69="Y",IF(OR($I90="Qualitative",$I90="Not relevant"),$I90,$I90*'Summary of area'!$C$22/'Identify beneficiaries'!$L69),"")</f>
        <v/>
      </c>
      <c r="R90" s="147" t="str">
        <f>IF('Identify beneficiaries'!H69="Y",IF(OR($I90="Qualitative",$I90="Not relevant"),$I90,$I90*'Summary of area'!$C$22/'Identify beneficiaries'!$L69),"")</f>
        <v/>
      </c>
      <c r="S90" s="147" t="str">
        <f>IF('Identify beneficiaries'!I69="Y",IF(OR($I90="Qualitative",$I90="Not relevant"),$I90,$I90*'Summary of area'!$C$22/'Identify beneficiaries'!$L69),"")</f>
        <v/>
      </c>
      <c r="T90" s="147" t="str">
        <f>IF('Identify beneficiaries'!J69="Y",IF(OR($I90="Qualitative",$I90="Not relevant"),$I90,$I90*'Summary of area'!$C$22/'Identify beneficiaries'!$L69),"")</f>
        <v>Qualitative</v>
      </c>
      <c r="U90" s="147" t="str">
        <f>IF('Identify beneficiaries'!K69="Y",IF(OR($I90="Qualitative",$I90="Not relevant"),$I90,$I90*'Summary of area'!$C$22/'Identify beneficiaries'!$L69),"")</f>
        <v/>
      </c>
      <c r="V90" s="147" t="str">
        <f>IF(OR(I90="Qualitative",I90="Not relevant"),I90,ROUND(I90*'Summary of area'!$C$21,3-LEN(INT(I90*'Summary of area'!$C$21))))</f>
        <v>Qualitative</v>
      </c>
      <c r="X90" s="14" t="str">
        <f t="shared" si="2"/>
        <v/>
      </c>
      <c r="Y90" s="14" t="str">
        <f t="shared" si="3"/>
        <v/>
      </c>
    </row>
    <row r="91" spans="1:25" ht="13.5" hidden="1" thickBot="1">
      <c r="A91" s="607"/>
      <c r="B91" s="597"/>
      <c r="C91" s="55" t="s">
        <v>53</v>
      </c>
      <c r="D91" s="57"/>
      <c r="E91" s="57"/>
      <c r="F91" s="57"/>
      <c r="G91" s="57"/>
      <c r="H91" s="57"/>
      <c r="I91" s="97"/>
      <c r="J91" s="154" t="e">
        <f>FIND("(",'Describe baseline'!F90)</f>
        <v>#VALUE!</v>
      </c>
      <c r="K91" s="154" t="e">
        <f>FIND("(",'Describe baseline'!G90)</f>
        <v>#VALUE!</v>
      </c>
      <c r="L91" s="154" t="e">
        <f>FIND(":",'Describe baseline'!H90)</f>
        <v>#VALUE!</v>
      </c>
      <c r="M91" s="364"/>
      <c r="N91" s="97"/>
      <c r="O91" s="97"/>
      <c r="P91" s="97"/>
      <c r="Q91" s="97"/>
      <c r="R91" s="97"/>
      <c r="S91" s="97"/>
      <c r="T91" s="97"/>
      <c r="U91" s="97"/>
      <c r="V91" s="97"/>
      <c r="X91" s="14" t="str">
        <f t="shared" si="2"/>
        <v/>
      </c>
      <c r="Y91" s="14" t="str">
        <f t="shared" si="3"/>
        <v/>
      </c>
    </row>
    <row r="92" spans="1:25" ht="13.5" hidden="1" thickBot="1">
      <c r="A92" s="617"/>
      <c r="B92" s="609"/>
      <c r="C92" s="58" t="s">
        <v>54</v>
      </c>
      <c r="D92" s="60"/>
      <c r="E92" s="60"/>
      <c r="F92" s="60"/>
      <c r="G92" s="60"/>
      <c r="H92" s="60"/>
      <c r="I92" s="98"/>
      <c r="J92" s="154" t="e">
        <f>FIND("(",'Describe baseline'!F91)</f>
        <v>#VALUE!</v>
      </c>
      <c r="K92" s="154" t="e">
        <f>FIND("(",'Describe baseline'!G91)</f>
        <v>#VALUE!</v>
      </c>
      <c r="L92" s="154" t="e">
        <f>FIND(":",'Describe baseline'!H91)</f>
        <v>#VALUE!</v>
      </c>
      <c r="M92" s="364"/>
      <c r="N92" s="98"/>
      <c r="O92" s="98"/>
      <c r="P92" s="98"/>
      <c r="Q92" s="98"/>
      <c r="R92" s="98"/>
      <c r="S92" s="98"/>
      <c r="T92" s="98"/>
      <c r="U92" s="98"/>
      <c r="V92" s="98"/>
      <c r="X92" s="14" t="str">
        <f t="shared" si="2"/>
        <v/>
      </c>
      <c r="Y92" s="14" t="str">
        <f t="shared" si="3"/>
        <v/>
      </c>
    </row>
    <row r="93" spans="1:25" ht="13.5" hidden="1" thickBot="1">
      <c r="A93" s="611" t="s">
        <v>16</v>
      </c>
      <c r="B93" s="614" t="s">
        <v>68</v>
      </c>
      <c r="C93" s="614" t="s">
        <v>52</v>
      </c>
      <c r="D93" s="653">
        <f>IF('Describe baseline'!E95="-","+",IF('Describe baseline'!E95="+","-",'Describe baseline'!E95))</f>
        <v>0</v>
      </c>
      <c r="E93" s="653" t="str">
        <f>IF(ISERROR(LEFT('Describe baseline'!F95,'OUTPUT-all'!J93-2)),"",LEFT('Describe baseline'!F95,'OUTPUT-all'!J93-2))</f>
        <v/>
      </c>
      <c r="F93" s="653" t="str">
        <f>IF(ISERROR(LEFT('Describe baseline'!G95,'OUTPUT-all'!K93-2)),"",LEFT('Describe baseline'!G95,'OUTPUT-all'!K93-2))</f>
        <v/>
      </c>
      <c r="G93" s="653" t="str">
        <f>IF(ISERROR(LEFT('Describe baseline'!H95,'OUTPUT-all'!L93-1)),"",LEFT('Describe baseline'!H95,'OUTPUT-all'!L93-1))</f>
        <v/>
      </c>
      <c r="H93" s="374" t="str">
        <f>IF(ISERROR(LEFT('Recreation and tourism'!N120,'OUTPUT-all'!M93-1)),"",LEFT('Recreation and tourism'!N120,'OUTPUT-all'!M93-1))</f>
        <v>High</v>
      </c>
      <c r="I93" s="650" t="str">
        <f>IF('Recreation and tourism'!D120="Enter number of recreational assets",IF(D93="Neutral","Not relevant","Qualitative"),ROUND('Recreation and tourism'!K120,3-LEN(INT('Recreation and tourism'!K120))))</f>
        <v>Qualitative</v>
      </c>
      <c r="J93" s="154" t="e">
        <f>FIND("(",'Describe baseline'!F95)</f>
        <v>#VALUE!</v>
      </c>
      <c r="K93" s="154" t="e">
        <f>FIND("(",'Describe baseline'!G95)</f>
        <v>#VALUE!</v>
      </c>
      <c r="L93" s="154" t="e">
        <f>FIND(":",'Describe baseline'!H95)</f>
        <v>#VALUE!</v>
      </c>
      <c r="M93" s="154">
        <f>FIND(":",'Recreation and tourism'!N120)</f>
        <v>5</v>
      </c>
      <c r="N93" s="61" t="s">
        <v>181</v>
      </c>
      <c r="O93" s="147" t="str">
        <f>IF('Identify beneficiaries'!E75="Y",IF(OR($I93="Qualitative",$I93="Not relevant"),$I93,ROUND($I93*'Summary of area'!$E$45/'Identify beneficiaries'!$L75,3-LEN(INT($I93*'Summary of area'!$E$45/'Identify beneficiaries'!$L75)))),"")</f>
        <v>Qualitative</v>
      </c>
      <c r="P93" s="147" t="str">
        <f>IF('Identify beneficiaries'!F75="Y",IF(OR($I93="Qualitative",$I93="Not relevant"),$I93,ROUND($I93*'Summary of area'!$E$45/'Identify beneficiaries'!$L75,3-LEN(INT($I93*'Summary of area'!$E$45/'Identify beneficiaries'!$L75)))),"")</f>
        <v/>
      </c>
      <c r="Q93" s="147" t="str">
        <f>IF('Identify beneficiaries'!G75="Y",IF(OR($I93="Qualitative",$I93="Not relevant"),$I93,ROUND($I93*'Summary of area'!$E$45/'Identify beneficiaries'!$L75,3-LEN(INT($I93*'Summary of area'!$E$45/'Identify beneficiaries'!$L75)))),"")</f>
        <v/>
      </c>
      <c r="R93" s="147" t="str">
        <f>IF('Identify beneficiaries'!H75="Y",IF(OR($I93="Qualitative",$I93="Not relevant"),$I93,ROUND($I93*'Summary of area'!$E$45/'Identify beneficiaries'!$L75,3-LEN(INT($I93*'Summary of area'!$E$45/'Identify beneficiaries'!$L75)))),"")</f>
        <v/>
      </c>
      <c r="S93" s="147" t="str">
        <f>IF('Identify beneficiaries'!I75="Y",IF(OR($I93="Qualitative",$I93="Not relevant"),$I93,ROUND($I93*'Summary of area'!$E$45/'Identify beneficiaries'!$L75,3-LEN(INT($I93*'Summary of area'!$E$45/'Identify beneficiaries'!$L75)))),"")</f>
        <v/>
      </c>
      <c r="T93" s="147" t="str">
        <f>IF('Identify beneficiaries'!J75="Y",IF(OR($I93="Qualitative",$I93="Not relevant"),$I93,ROUND($I93*'Summary of area'!$E$45/'Identify beneficiaries'!$L75,3-LEN(INT($I93*'Summary of area'!$E$45/'Identify beneficiaries'!$L75)))),"")</f>
        <v>Qualitative</v>
      </c>
      <c r="U93" s="147" t="str">
        <f>IF('Identify beneficiaries'!K75="Y",IF(OR($I93="Qualitative",$I93="Not relevant"),$I93,ROUND($I93*'Summary of area'!$E$45/'Identify beneficiaries'!$L75,3-LEN(INT($I93*'Summary of area'!$E$45/'Identify beneficiaries'!$L75)))),"")</f>
        <v/>
      </c>
      <c r="V93" s="147" t="str">
        <f>IF(OR(I93="Qualitative",I93="Not relevant"),I93,ROUND(I93*'Summary of area'!$D$45,3-LEN(INT(I93*'Summary of area'!$D$45))))</f>
        <v>Qualitative</v>
      </c>
      <c r="X93" s="14" t="str">
        <f t="shared" si="2"/>
        <v/>
      </c>
      <c r="Y93" s="14" t="str">
        <f t="shared" si="3"/>
        <v/>
      </c>
    </row>
    <row r="94" spans="1:25" ht="12.75" customHeight="1" hidden="1">
      <c r="A94" s="607"/>
      <c r="B94" s="597"/>
      <c r="C94" s="615"/>
      <c r="D94" s="654">
        <f>IF('Describe baseline'!E93="-","+",IF('Describe baseline'!E93="+","-",'Describe baseline'!E93))</f>
        <v>0</v>
      </c>
      <c r="E94" s="656" t="str">
        <f>IF(ISERROR(LEFT('Describe baseline'!F93,'OUTPUT-all'!J94-2)),"",LEFT('Describe baseline'!F93,'OUTPUT-all'!J94-2))</f>
        <v/>
      </c>
      <c r="F94" s="654" t="str">
        <f>IF(ISERROR(LEFT('Describe baseline'!G93:G97,'OUTPUT-all'!K94-2)),"",LEFT('Describe baseline'!G93:G97,'OUTPUT-all'!K94-2))</f>
        <v/>
      </c>
      <c r="G94" s="654" t="str">
        <f>IF(ISERROR(LEFT('Describe baseline'!H93:H97,'OUTPUT-all'!L94-2)),"",LEFT('Describe baseline'!H93:H97,'OUTPUT-all'!L94-2))</f>
        <v/>
      </c>
      <c r="H94" s="476"/>
      <c r="I94" s="651" t="e">
        <f>IF(D94="-",ROUND(#REF!,2-LEN(INT(#REF!)))*-1,ROUND(#REF!,2-LEN(INT(#REF!))))</f>
        <v>#REF!</v>
      </c>
      <c r="J94" s="154" t="e">
        <f>FIND("(",'Describe baseline'!F93)</f>
        <v>#VALUE!</v>
      </c>
      <c r="K94" s="154" t="e">
        <f>FIND("(",'Describe baseline'!G93)</f>
        <v>#VALUE!</v>
      </c>
      <c r="L94" s="154" t="e">
        <f>FIND(":",'Describe baseline'!H93)</f>
        <v>#VALUE!</v>
      </c>
      <c r="M94" s="364"/>
      <c r="N94" s="148"/>
      <c r="O94" s="149"/>
      <c r="P94" s="149"/>
      <c r="Q94" s="149"/>
      <c r="R94" s="149"/>
      <c r="S94" s="149"/>
      <c r="T94" s="149"/>
      <c r="U94" s="149"/>
      <c r="V94" s="149"/>
      <c r="X94" s="14" t="e">
        <f t="shared" si="2"/>
        <v>#REF!</v>
      </c>
      <c r="Y94" s="14" t="e">
        <f t="shared" si="3"/>
        <v>#REF!</v>
      </c>
    </row>
    <row r="95" spans="1:25" ht="12.75" customHeight="1" hidden="1">
      <c r="A95" s="607"/>
      <c r="B95" s="597"/>
      <c r="C95" s="615"/>
      <c r="D95" s="654">
        <f>IF('Describe baseline'!E94="-","+",IF('Describe baseline'!E94="+","-",'Describe baseline'!E94))</f>
        <v>0</v>
      </c>
      <c r="E95" s="656" t="str">
        <f>IF(ISERROR(LEFT('Describe baseline'!F94,'OUTPUT-all'!J95-2)),"",LEFT('Describe baseline'!F94,'OUTPUT-all'!J95-2))</f>
        <v/>
      </c>
      <c r="F95" s="654" t="str">
        <f>IF(ISERROR(LEFT('Describe baseline'!G94:G98,'OUTPUT-all'!K95-2)),"",LEFT('Describe baseline'!G94:G98,'OUTPUT-all'!K95-2))</f>
        <v/>
      </c>
      <c r="G95" s="654" t="str">
        <f>IF(ISERROR(LEFT('Describe baseline'!H94:H98,'OUTPUT-all'!L95-2)),"",LEFT('Describe baseline'!H94:H98,'OUTPUT-all'!L95-2))</f>
        <v/>
      </c>
      <c r="H95" s="476"/>
      <c r="I95" s="651" t="e">
        <f>IF(D95="-",ROUND(#REF!,2-LEN(INT(#REF!)))*-1,ROUND(#REF!,2-LEN(INT(#REF!))))</f>
        <v>#REF!</v>
      </c>
      <c r="J95" s="154" t="e">
        <f>FIND("(",'Describe baseline'!F94)</f>
        <v>#VALUE!</v>
      </c>
      <c r="K95" s="154" t="e">
        <f>FIND("(",'Describe baseline'!G94)</f>
        <v>#VALUE!</v>
      </c>
      <c r="L95" s="154" t="e">
        <f>FIND(":",'Describe baseline'!H94)</f>
        <v>#VALUE!</v>
      </c>
      <c r="M95" s="364"/>
      <c r="N95" s="148"/>
      <c r="O95" s="149"/>
      <c r="P95" s="149"/>
      <c r="Q95" s="149"/>
      <c r="R95" s="149"/>
      <c r="S95" s="149"/>
      <c r="T95" s="149"/>
      <c r="U95" s="149"/>
      <c r="V95" s="149"/>
      <c r="X95" s="14" t="e">
        <f t="shared" si="2"/>
        <v>#REF!</v>
      </c>
      <c r="Y95" s="14" t="e">
        <f t="shared" si="3"/>
        <v>#REF!</v>
      </c>
    </row>
    <row r="96" spans="1:25" ht="12.75" customHeight="1" hidden="1">
      <c r="A96" s="607"/>
      <c r="B96" s="597"/>
      <c r="C96" s="615"/>
      <c r="D96" s="654">
        <f>IF('Describe baseline'!E95="-","+",IF('Describe baseline'!E95="+","-",'Describe baseline'!E95))</f>
        <v>0</v>
      </c>
      <c r="E96" s="656" t="str">
        <f>IF(ISERROR(LEFT('Describe baseline'!F95,'OUTPUT-all'!J96-2)),"",LEFT('Describe baseline'!F95,'OUTPUT-all'!J96-2))</f>
        <v/>
      </c>
      <c r="F96" s="654" t="str">
        <f>IF(ISERROR(LEFT('Describe baseline'!G95:G99,'OUTPUT-all'!K96-2)),"",LEFT('Describe baseline'!G95:G99,'OUTPUT-all'!K96-2))</f>
        <v/>
      </c>
      <c r="G96" s="654" t="str">
        <f>IF(ISERROR(LEFT('Describe baseline'!H95:H99,'OUTPUT-all'!L96-2)),"",LEFT('Describe baseline'!H95:H99,'OUTPUT-all'!L96-2))</f>
        <v/>
      </c>
      <c r="H96" s="476"/>
      <c r="I96" s="651" t="e">
        <f>IF(D96="-",ROUND(#REF!,2-LEN(INT(#REF!)))*-1,ROUND(#REF!,2-LEN(INT(#REF!))))</f>
        <v>#REF!</v>
      </c>
      <c r="J96" s="154"/>
      <c r="K96" s="154"/>
      <c r="L96" s="154"/>
      <c r="M96" s="364"/>
      <c r="N96" s="148"/>
      <c r="O96" s="149"/>
      <c r="P96" s="149"/>
      <c r="Q96" s="149"/>
      <c r="R96" s="149"/>
      <c r="S96" s="149"/>
      <c r="T96" s="149"/>
      <c r="U96" s="149"/>
      <c r="V96" s="149"/>
      <c r="X96" s="14" t="e">
        <f t="shared" si="2"/>
        <v>#REF!</v>
      </c>
      <c r="Y96" s="14" t="e">
        <f t="shared" si="3"/>
        <v>#REF!</v>
      </c>
    </row>
    <row r="97" spans="1:25" ht="12.75" customHeight="1" hidden="1">
      <c r="A97" s="607"/>
      <c r="B97" s="597"/>
      <c r="C97" s="615"/>
      <c r="D97" s="654">
        <f>IF('Describe baseline'!E96="-","+",IF('Describe baseline'!E96="+","-",'Describe baseline'!E96))</f>
        <v>0</v>
      </c>
      <c r="E97" s="656" t="str">
        <f>IF(ISERROR(LEFT('Describe baseline'!F96,'OUTPUT-all'!J97-2)),"",LEFT('Describe baseline'!F96,'OUTPUT-all'!J97-2))</f>
        <v/>
      </c>
      <c r="F97" s="654" t="str">
        <f>IF(ISERROR(LEFT('Describe baseline'!G96:G100,'OUTPUT-all'!K97-2)),"",LEFT('Describe baseline'!G96:G100,'OUTPUT-all'!K97-2))</f>
        <v/>
      </c>
      <c r="G97" s="654" t="str">
        <f>IF(ISERROR(LEFT('Describe baseline'!H96:H100,'OUTPUT-all'!L97-2)),"",LEFT('Describe baseline'!H96:H100,'OUTPUT-all'!L97-2))</f>
        <v/>
      </c>
      <c r="H97" s="476"/>
      <c r="I97" s="651" t="e">
        <f>IF(D97="-",ROUND(#REF!,2-LEN(INT(#REF!)))*-1,ROUND(#REF!,2-LEN(INT(#REF!))))</f>
        <v>#REF!</v>
      </c>
      <c r="J97" s="154" t="e">
        <f>FIND("(",'Describe baseline'!F96)</f>
        <v>#VALUE!</v>
      </c>
      <c r="K97" s="154" t="e">
        <f>FIND("(",'Describe baseline'!G96)</f>
        <v>#VALUE!</v>
      </c>
      <c r="L97" s="154" t="e">
        <f>FIND(":",'Describe baseline'!H96)</f>
        <v>#VALUE!</v>
      </c>
      <c r="M97" s="364"/>
      <c r="N97" s="148"/>
      <c r="O97" s="149"/>
      <c r="P97" s="149"/>
      <c r="Q97" s="149"/>
      <c r="R97" s="149"/>
      <c r="S97" s="149"/>
      <c r="T97" s="149"/>
      <c r="U97" s="149"/>
      <c r="V97" s="149"/>
      <c r="X97" s="14" t="e">
        <f t="shared" si="2"/>
        <v>#REF!</v>
      </c>
      <c r="Y97" s="14" t="e">
        <f t="shared" si="3"/>
        <v>#REF!</v>
      </c>
    </row>
    <row r="98" spans="1:25" ht="12.75" customHeight="1" hidden="1">
      <c r="A98" s="607"/>
      <c r="B98" s="597"/>
      <c r="C98" s="615"/>
      <c r="D98" s="654">
        <f>IF('Describe baseline'!E97="-","+",IF('Describe baseline'!E97="+","-",'Describe baseline'!E97))</f>
        <v>0</v>
      </c>
      <c r="E98" s="656" t="str">
        <f>IF(ISERROR(LEFT('Describe baseline'!F97,'OUTPUT-all'!J98-2)),"",LEFT('Describe baseline'!F97,'OUTPUT-all'!J98-2))</f>
        <v/>
      </c>
      <c r="F98" s="654" t="str">
        <f>IF(ISERROR(LEFT('Describe baseline'!G97:G101,'OUTPUT-all'!K98-2)),"",LEFT('Describe baseline'!G97:G101,'OUTPUT-all'!K98-2))</f>
        <v/>
      </c>
      <c r="G98" s="654" t="str">
        <f>IF(ISERROR(LEFT('Describe baseline'!H97:H101,'OUTPUT-all'!L98-2)),"",LEFT('Describe baseline'!H97:H101,'OUTPUT-all'!L98-2))</f>
        <v/>
      </c>
      <c r="H98" s="476"/>
      <c r="I98" s="651" t="e">
        <f>IF(D98="-",ROUND(#REF!,2-LEN(INT(#REF!)))*-1,ROUND(#REF!,2-LEN(INT(#REF!))))</f>
        <v>#REF!</v>
      </c>
      <c r="J98" s="154" t="e">
        <f>FIND("(",'Describe baseline'!F97)</f>
        <v>#VALUE!</v>
      </c>
      <c r="K98" s="154" t="e">
        <f>FIND("(",'Describe baseline'!G97)</f>
        <v>#VALUE!</v>
      </c>
      <c r="L98" s="154" t="e">
        <f>FIND(":",'Describe baseline'!H97)</f>
        <v>#VALUE!</v>
      </c>
      <c r="M98" s="364"/>
      <c r="N98" s="148"/>
      <c r="O98" s="149"/>
      <c r="P98" s="149"/>
      <c r="Q98" s="149"/>
      <c r="R98" s="149"/>
      <c r="S98" s="149"/>
      <c r="T98" s="149"/>
      <c r="U98" s="149"/>
      <c r="V98" s="149"/>
      <c r="X98" s="14" t="e">
        <f t="shared" si="2"/>
        <v>#REF!</v>
      </c>
      <c r="Y98" s="14" t="e">
        <f t="shared" si="3"/>
        <v>#REF!</v>
      </c>
    </row>
    <row r="99" spans="1:25" ht="12.75" customHeight="1" hidden="1">
      <c r="A99" s="607"/>
      <c r="B99" s="597"/>
      <c r="C99" s="615"/>
      <c r="D99" s="654">
        <f>IF('Describe baseline'!E98="-","+",IF('Describe baseline'!E98="+","-",'Describe baseline'!E98))</f>
        <v>0</v>
      </c>
      <c r="E99" s="656" t="str">
        <f>IF(ISERROR(LEFT('Describe baseline'!F98,'OUTPUT-all'!J99-2)),"",LEFT('Describe baseline'!F98,'OUTPUT-all'!J99-2))</f>
        <v/>
      </c>
      <c r="F99" s="654" t="str">
        <f>IF(ISERROR(LEFT('Describe baseline'!G98:G102,'OUTPUT-all'!K99-2)),"",LEFT('Describe baseline'!G98:G102,'OUTPUT-all'!K99-2))</f>
        <v/>
      </c>
      <c r="G99" s="654" t="str">
        <f>IF(ISERROR(LEFT('Describe baseline'!H98:H102,'OUTPUT-all'!L99-2)),"",LEFT('Describe baseline'!H98:H102,'OUTPUT-all'!L99-2))</f>
        <v/>
      </c>
      <c r="H99" s="476"/>
      <c r="I99" s="651" t="e">
        <f>IF(D99="-",ROUND(#REF!,2-LEN(INT(#REF!)))*-1,ROUND(#REF!,2-LEN(INT(#REF!))))</f>
        <v>#REF!</v>
      </c>
      <c r="J99" s="154" t="e">
        <f>FIND("(",'Describe baseline'!F98)</f>
        <v>#VALUE!</v>
      </c>
      <c r="K99" s="154" t="e">
        <f>FIND("(",'Describe baseline'!G98)</f>
        <v>#VALUE!</v>
      </c>
      <c r="L99" s="154" t="e">
        <f>FIND(":",'Describe baseline'!H98)</f>
        <v>#VALUE!</v>
      </c>
      <c r="M99" s="364"/>
      <c r="N99" s="148"/>
      <c r="O99" s="149"/>
      <c r="P99" s="149"/>
      <c r="Q99" s="149"/>
      <c r="R99" s="149"/>
      <c r="S99" s="149"/>
      <c r="T99" s="149"/>
      <c r="U99" s="149"/>
      <c r="V99" s="149"/>
      <c r="X99" s="14" t="e">
        <f t="shared" si="2"/>
        <v>#REF!</v>
      </c>
      <c r="Y99" s="14" t="e">
        <f t="shared" si="3"/>
        <v>#REF!</v>
      </c>
    </row>
    <row r="100" spans="1:25" ht="12.75" customHeight="1" hidden="1">
      <c r="A100" s="607"/>
      <c r="B100" s="597"/>
      <c r="C100" s="615"/>
      <c r="D100" s="654">
        <f>IF('Describe baseline'!E99="-","+",IF('Describe baseline'!E99="+","-",'Describe baseline'!E99))</f>
        <v>0</v>
      </c>
      <c r="E100" s="656" t="str">
        <f>IF(ISERROR(LEFT('Describe baseline'!F99,'OUTPUT-all'!J100-2)),"",LEFT('Describe baseline'!F99,'OUTPUT-all'!J100-2))</f>
        <v/>
      </c>
      <c r="F100" s="654" t="str">
        <f>IF(ISERROR(LEFT('Describe baseline'!G99:G103,'OUTPUT-all'!K100-2)),"",LEFT('Describe baseline'!G99:G103,'OUTPUT-all'!K100-2))</f>
        <v/>
      </c>
      <c r="G100" s="654" t="str">
        <f>IF(ISERROR(LEFT('Describe baseline'!H99:H103,'OUTPUT-all'!L100-2)),"",LEFT('Describe baseline'!H99:H103,'OUTPUT-all'!L100-2))</f>
        <v/>
      </c>
      <c r="H100" s="476"/>
      <c r="I100" s="651" t="e">
        <f>IF(D100="-",ROUND(#REF!,2-LEN(INT(#REF!)))*-1,ROUND(#REF!,2-LEN(INT(#REF!))))</f>
        <v>#REF!</v>
      </c>
      <c r="J100" s="154" t="e">
        <f>FIND("(",'Describe baseline'!F99)</f>
        <v>#VALUE!</v>
      </c>
      <c r="K100" s="154" t="e">
        <f>FIND("(",'Describe baseline'!G99)</f>
        <v>#VALUE!</v>
      </c>
      <c r="L100" s="154" t="e">
        <f>FIND(":",'Describe baseline'!H99)</f>
        <v>#VALUE!</v>
      </c>
      <c r="M100" s="364"/>
      <c r="N100" s="148"/>
      <c r="O100" s="149"/>
      <c r="P100" s="149"/>
      <c r="Q100" s="149"/>
      <c r="R100" s="149"/>
      <c r="S100" s="149"/>
      <c r="T100" s="149"/>
      <c r="U100" s="149"/>
      <c r="V100" s="149"/>
      <c r="X100" s="14" t="e">
        <f t="shared" si="2"/>
        <v>#REF!</v>
      </c>
      <c r="Y100" s="14" t="e">
        <f t="shared" si="3"/>
        <v>#REF!</v>
      </c>
    </row>
    <row r="101" spans="1:25" ht="12.75" customHeight="1" hidden="1">
      <c r="A101" s="607"/>
      <c r="B101" s="597"/>
      <c r="C101" s="615"/>
      <c r="D101" s="654">
        <f>IF('Describe baseline'!E100="-","+",IF('Describe baseline'!E100="+","-",'Describe baseline'!E100))</f>
        <v>0</v>
      </c>
      <c r="E101" s="656" t="str">
        <f>IF(ISERROR(LEFT('Describe baseline'!F100,'OUTPUT-all'!J101-2)),"",LEFT('Describe baseline'!F100,'OUTPUT-all'!J101-2))</f>
        <v/>
      </c>
      <c r="F101" s="654" t="str">
        <f>IF(ISERROR(LEFT('Describe baseline'!G100:G104,'OUTPUT-all'!K101-2)),"",LEFT('Describe baseline'!G100:G104,'OUTPUT-all'!K101-2))</f>
        <v/>
      </c>
      <c r="G101" s="654" t="str">
        <f>IF(ISERROR(LEFT('Describe baseline'!H100:H104,'OUTPUT-all'!L101-2)),"",LEFT('Describe baseline'!H100:H104,'OUTPUT-all'!L101-2))</f>
        <v/>
      </c>
      <c r="H101" s="476"/>
      <c r="I101" s="651" t="e">
        <f>IF(D101="-",ROUND(#REF!,2-LEN(INT(#REF!)))*-1,ROUND(#REF!,2-LEN(INT(#REF!))))</f>
        <v>#REF!</v>
      </c>
      <c r="J101" s="154" t="e">
        <f>FIND("(",'Describe baseline'!F100)</f>
        <v>#VALUE!</v>
      </c>
      <c r="K101" s="154" t="e">
        <f>FIND("(",'Describe baseline'!G100)</f>
        <v>#VALUE!</v>
      </c>
      <c r="L101" s="154" t="e">
        <f>FIND(":",'Describe baseline'!H100)</f>
        <v>#VALUE!</v>
      </c>
      <c r="M101" s="364"/>
      <c r="N101" s="148"/>
      <c r="O101" s="149"/>
      <c r="P101" s="149"/>
      <c r="Q101" s="149"/>
      <c r="R101" s="149"/>
      <c r="S101" s="149"/>
      <c r="T101" s="149"/>
      <c r="U101" s="149"/>
      <c r="V101" s="149"/>
      <c r="X101" s="14" t="e">
        <f t="shared" si="2"/>
        <v>#REF!</v>
      </c>
      <c r="Y101" s="14" t="e">
        <f t="shared" si="3"/>
        <v>#REF!</v>
      </c>
    </row>
    <row r="102" spans="1:25" ht="12.75" customHeight="1" hidden="1">
      <c r="A102" s="607"/>
      <c r="B102" s="597"/>
      <c r="C102" s="615"/>
      <c r="D102" s="654">
        <f>IF('Describe baseline'!E101="-","+",IF('Describe baseline'!E101="+","-",'Describe baseline'!E101))</f>
        <v>0</v>
      </c>
      <c r="E102" s="656" t="str">
        <f>IF(ISERROR(LEFT('Describe baseline'!F101,'OUTPUT-all'!J102-2)),"",LEFT('Describe baseline'!F101,'OUTPUT-all'!J102-2))</f>
        <v/>
      </c>
      <c r="F102" s="654" t="str">
        <f>IF(ISERROR(LEFT('Describe baseline'!G101:G105,'OUTPUT-all'!K102-2)),"",LEFT('Describe baseline'!G101:G105,'OUTPUT-all'!K102-2))</f>
        <v/>
      </c>
      <c r="G102" s="654" t="str">
        <f>IF(ISERROR(LEFT('Describe baseline'!H101:H105,'OUTPUT-all'!L102-2)),"",LEFT('Describe baseline'!H101:H105,'OUTPUT-all'!L102-2))</f>
        <v/>
      </c>
      <c r="H102" s="476"/>
      <c r="I102" s="651" t="e">
        <f>IF(D102="-",ROUND(#REF!,2-LEN(INT(#REF!)))*-1,ROUND(#REF!,2-LEN(INT(#REF!))))</f>
        <v>#REF!</v>
      </c>
      <c r="J102" s="154" t="e">
        <f>FIND("(",'Describe baseline'!F101)</f>
        <v>#VALUE!</v>
      </c>
      <c r="K102" s="154" t="e">
        <f>FIND("(",'Describe baseline'!G101)</f>
        <v>#VALUE!</v>
      </c>
      <c r="L102" s="154" t="e">
        <f>FIND(":",'Describe baseline'!H101)</f>
        <v>#VALUE!</v>
      </c>
      <c r="M102" s="364"/>
      <c r="N102" s="148"/>
      <c r="O102" s="149"/>
      <c r="P102" s="149"/>
      <c r="Q102" s="149"/>
      <c r="R102" s="149"/>
      <c r="S102" s="149"/>
      <c r="T102" s="149"/>
      <c r="U102" s="149"/>
      <c r="V102" s="149"/>
      <c r="X102" s="14" t="e">
        <f t="shared" si="2"/>
        <v>#REF!</v>
      </c>
      <c r="Y102" s="14" t="e">
        <f t="shared" si="3"/>
        <v>#REF!</v>
      </c>
    </row>
    <row r="103" spans="1:25" ht="12.75" customHeight="1" hidden="1">
      <c r="A103" s="607"/>
      <c r="B103" s="597"/>
      <c r="C103" s="615"/>
      <c r="D103" s="654">
        <f>IF('Describe baseline'!E102="-","+",IF('Describe baseline'!E102="+","-",'Describe baseline'!E102))</f>
        <v>0</v>
      </c>
      <c r="E103" s="656" t="str">
        <f>IF(ISERROR(LEFT('Describe baseline'!F102,'OUTPUT-all'!J103-2)),"",LEFT('Describe baseline'!F102,'OUTPUT-all'!J103-2))</f>
        <v/>
      </c>
      <c r="F103" s="654" t="str">
        <f>IF(ISERROR(LEFT('Describe baseline'!G102:G106,'OUTPUT-all'!K103-2)),"",LEFT('Describe baseline'!G102:G106,'OUTPUT-all'!K103-2))</f>
        <v/>
      </c>
      <c r="G103" s="654" t="str">
        <f>IF(ISERROR(LEFT('Describe baseline'!H102:H106,'OUTPUT-all'!L103-2)),"",LEFT('Describe baseline'!H102:H106,'OUTPUT-all'!L103-2))</f>
        <v/>
      </c>
      <c r="H103" s="476"/>
      <c r="I103" s="651" t="e">
        <f>IF(D103="-",ROUND(#REF!,2-LEN(INT(#REF!)))*-1,ROUND(#REF!,2-LEN(INT(#REF!))))</f>
        <v>#REF!</v>
      </c>
      <c r="J103" s="154" t="e">
        <f>FIND("(",'Describe baseline'!F102)</f>
        <v>#VALUE!</v>
      </c>
      <c r="K103" s="154" t="e">
        <f>FIND("(",'Describe baseline'!G102)</f>
        <v>#VALUE!</v>
      </c>
      <c r="L103" s="154" t="e">
        <f>FIND(":",'Describe baseline'!H102)</f>
        <v>#VALUE!</v>
      </c>
      <c r="M103" s="364"/>
      <c r="N103" s="148"/>
      <c r="O103" s="149"/>
      <c r="P103" s="149"/>
      <c r="Q103" s="149"/>
      <c r="R103" s="149"/>
      <c r="S103" s="149"/>
      <c r="T103" s="149"/>
      <c r="U103" s="149"/>
      <c r="V103" s="149"/>
      <c r="X103" s="14" t="e">
        <f t="shared" si="2"/>
        <v>#REF!</v>
      </c>
      <c r="Y103" s="14" t="e">
        <f t="shared" si="3"/>
        <v>#REF!</v>
      </c>
    </row>
    <row r="104" spans="1:25" ht="12.75" customHeight="1" hidden="1">
      <c r="A104" s="607"/>
      <c r="B104" s="597"/>
      <c r="C104" s="615"/>
      <c r="D104" s="654">
        <f>IF('Describe baseline'!E103="-","+",IF('Describe baseline'!E103="+","-",'Describe baseline'!E103))</f>
        <v>0</v>
      </c>
      <c r="E104" s="656" t="str">
        <f>IF(ISERROR(LEFT('Describe baseline'!F103,'OUTPUT-all'!J104-2)),"",LEFT('Describe baseline'!F103,'OUTPUT-all'!J104-2))</f>
        <v/>
      </c>
      <c r="F104" s="654" t="str">
        <f>IF(ISERROR(LEFT('Describe baseline'!G103:G107,'OUTPUT-all'!K104-2)),"",LEFT('Describe baseline'!G103:G107,'OUTPUT-all'!K104-2))</f>
        <v/>
      </c>
      <c r="G104" s="654" t="str">
        <f>IF(ISERROR(LEFT('Describe baseline'!H103:H107,'OUTPUT-all'!L104-2)),"",LEFT('Describe baseline'!H103:H107,'OUTPUT-all'!L104-2))</f>
        <v/>
      </c>
      <c r="H104" s="476"/>
      <c r="I104" s="651" t="e">
        <f>IF(D104="-",ROUND(#REF!,2-LEN(INT(#REF!)))*-1,ROUND(#REF!,2-LEN(INT(#REF!))))</f>
        <v>#REF!</v>
      </c>
      <c r="J104" s="154" t="e">
        <f>FIND("(",'Describe baseline'!F103)</f>
        <v>#VALUE!</v>
      </c>
      <c r="K104" s="154" t="e">
        <f>FIND("(",'Describe baseline'!G103)</f>
        <v>#VALUE!</v>
      </c>
      <c r="L104" s="154" t="e">
        <f>FIND(":",'Describe baseline'!H103)</f>
        <v>#VALUE!</v>
      </c>
      <c r="M104" s="364"/>
      <c r="N104" s="148"/>
      <c r="O104" s="149"/>
      <c r="P104" s="149"/>
      <c r="Q104" s="149"/>
      <c r="R104" s="149"/>
      <c r="S104" s="149"/>
      <c r="T104" s="149"/>
      <c r="U104" s="149"/>
      <c r="V104" s="149"/>
      <c r="X104" s="14" t="e">
        <f t="shared" si="2"/>
        <v>#REF!</v>
      </c>
      <c r="Y104" s="14" t="e">
        <f t="shared" si="3"/>
        <v>#REF!</v>
      </c>
    </row>
    <row r="105" spans="1:25" ht="12.75" customHeight="1" hidden="1" thickBot="1">
      <c r="A105" s="607"/>
      <c r="B105" s="597"/>
      <c r="C105" s="669"/>
      <c r="D105" s="655">
        <f>IF('Describe baseline'!E104="-","+",IF('Describe baseline'!E104="+","-",'Describe baseline'!E104))</f>
        <v>0</v>
      </c>
      <c r="E105" s="657" t="str">
        <f>IF(ISERROR(LEFT('Describe baseline'!F104,'OUTPUT-all'!J105-2)),"",LEFT('Describe baseline'!F104,'OUTPUT-all'!J105-2))</f>
        <v/>
      </c>
      <c r="F105" s="655" t="str">
        <f>IF(ISERROR(LEFT('Describe baseline'!G104:G108,'OUTPUT-all'!K105-2)),"",LEFT('Describe baseline'!G104:G108,'OUTPUT-all'!K105-2))</f>
        <v/>
      </c>
      <c r="G105" s="655" t="str">
        <f>IF(ISERROR(LEFT('Describe baseline'!H104:H108,'OUTPUT-all'!L105-2)),"",LEFT('Describe baseline'!H104:H108,'OUTPUT-all'!L105-2))</f>
        <v/>
      </c>
      <c r="H105" s="477"/>
      <c r="I105" s="652" t="e">
        <f>IF(D105="-",ROUND(#REF!,2-LEN(INT(#REF!)))*-1,ROUND(#REF!,2-LEN(INT(#REF!))))</f>
        <v>#REF!</v>
      </c>
      <c r="J105" s="154" t="e">
        <f>FIND("(",'Describe baseline'!F104)</f>
        <v>#VALUE!</v>
      </c>
      <c r="K105" s="154" t="e">
        <f>FIND("(",'Describe baseline'!G104)</f>
        <v>#VALUE!</v>
      </c>
      <c r="L105" s="154" t="e">
        <f>FIND(":",'Describe baseline'!H104)</f>
        <v>#VALUE!</v>
      </c>
      <c r="M105" s="364"/>
      <c r="N105" s="148"/>
      <c r="O105" s="149"/>
      <c r="P105" s="149"/>
      <c r="Q105" s="149"/>
      <c r="R105" s="149"/>
      <c r="S105" s="149"/>
      <c r="T105" s="149"/>
      <c r="U105" s="149"/>
      <c r="V105" s="149"/>
      <c r="X105" s="14" t="e">
        <f t="shared" si="2"/>
        <v>#REF!</v>
      </c>
      <c r="Y105" s="14" t="e">
        <f t="shared" si="3"/>
        <v>#REF!</v>
      </c>
    </row>
    <row r="106" spans="1:25" ht="13.5" hidden="1" thickBot="1">
      <c r="A106" s="607"/>
      <c r="B106" s="597"/>
      <c r="C106" s="55" t="s">
        <v>53</v>
      </c>
      <c r="D106" s="57"/>
      <c r="E106" s="57"/>
      <c r="F106" s="57"/>
      <c r="G106" s="57"/>
      <c r="H106" s="57"/>
      <c r="I106" s="97"/>
      <c r="J106" s="154" t="e">
        <f>FIND("(",'Describe baseline'!F105)</f>
        <v>#VALUE!</v>
      </c>
      <c r="K106" s="154" t="e">
        <f>FIND("(",'Describe baseline'!G105)</f>
        <v>#VALUE!</v>
      </c>
      <c r="L106" s="154" t="e">
        <f>FIND(":",'Describe baseline'!H105)</f>
        <v>#VALUE!</v>
      </c>
      <c r="M106" s="364"/>
      <c r="N106" s="97"/>
      <c r="O106" s="97"/>
      <c r="P106" s="97"/>
      <c r="Q106" s="97"/>
      <c r="R106" s="97"/>
      <c r="S106" s="97"/>
      <c r="T106" s="97"/>
      <c r="U106" s="97"/>
      <c r="V106" s="97"/>
      <c r="X106" s="14" t="str">
        <f t="shared" si="2"/>
        <v/>
      </c>
      <c r="Y106" s="14" t="str">
        <f t="shared" si="3"/>
        <v/>
      </c>
    </row>
    <row r="107" spans="1:25" ht="26.25" hidden="1" thickBot="1">
      <c r="A107" s="617"/>
      <c r="B107" s="609"/>
      <c r="C107" s="32" t="s">
        <v>54</v>
      </c>
      <c r="D107" s="33">
        <f>IF('Describe baseline'!E109="-","+",IF('Describe baseline'!E109="+","-",'Describe baseline'!E109))</f>
        <v>0</v>
      </c>
      <c r="E107" s="33" t="str">
        <f>IF(ISERROR(LEFT('Describe baseline'!F109,'OUTPUT-all'!J107-2)),"",LEFT('Describe baseline'!F109,'OUTPUT-all'!J107-2))</f>
        <v/>
      </c>
      <c r="F107" s="33" t="str">
        <f>IF(ISERROR(LEFT('Describe baseline'!G109,'OUTPUT-all'!K107-2)),"",LEFT('Describe baseline'!G109,'OUTPUT-all'!K107-2))</f>
        <v/>
      </c>
      <c r="G107" s="33" t="str">
        <f>IF(ISERROR(LEFT('Describe baseline'!H109,'OUTPUT-all'!L107-1)),"",LEFT('Describe baseline'!H109,'OUTPUT-all'!L107-1))</f>
        <v/>
      </c>
      <c r="H107" s="33"/>
      <c r="I107" s="102" t="str">
        <f>IF(D107="Neutral","Not relevant","Qualitative")</f>
        <v>Qualitative</v>
      </c>
      <c r="J107" s="154" t="e">
        <f>FIND("(",'Describe baseline'!F109)</f>
        <v>#VALUE!</v>
      </c>
      <c r="K107" s="154" t="e">
        <f>FIND("(",'Describe baseline'!G109)</f>
        <v>#VALUE!</v>
      </c>
      <c r="L107" s="154" t="e">
        <f>FIND(":",'Describe baseline'!H109)</f>
        <v>#VALUE!</v>
      </c>
      <c r="M107" s="364"/>
      <c r="N107" s="62" t="s">
        <v>182</v>
      </c>
      <c r="O107" s="150" t="str">
        <f>IF('Identify beneficiaries'!E77="Y",IF(OR($I107="Qualitative",$I107="Not relevant"),$I107,$I107*'Summary of area'!$C$22/'Identify beneficiaries'!$L77),"")</f>
        <v/>
      </c>
      <c r="P107" s="150" t="str">
        <f>IF('Identify beneficiaries'!F77="Y",IF(OR($I107="Qualitative",$I107="Not relevant"),$I107,$I107*'Summary of area'!$C$22/'Identify beneficiaries'!$L77),"")</f>
        <v/>
      </c>
      <c r="Q107" s="150" t="str">
        <f>IF('Identify beneficiaries'!G77="Y",IF(OR($I107="Qualitative",$I107="Not relevant"),$I107,$I107*'Summary of area'!$C$22/'Identify beneficiaries'!$L77),"")</f>
        <v/>
      </c>
      <c r="R107" s="150" t="str">
        <f>IF('Identify beneficiaries'!H77="Y",IF(OR($I107="Qualitative",$I107="Not relevant"),$I107,$I107*'Summary of area'!$C$22/'Identify beneficiaries'!$L77),"")</f>
        <v/>
      </c>
      <c r="S107" s="150" t="str">
        <f>IF('Identify beneficiaries'!I77="Y",IF(OR($I107="Qualitative",$I107="Not relevant"),$I107,$I107*'Summary of area'!$C$22/'Identify beneficiaries'!$L77),"")</f>
        <v/>
      </c>
      <c r="T107" s="150" t="str">
        <f>IF('Identify beneficiaries'!J77="Y",IF(OR($I107="Qualitative",$I107="Not relevant"),$I107,$I107*'Summary of area'!$C$22/'Identify beneficiaries'!$L77),"")</f>
        <v>Qualitative</v>
      </c>
      <c r="U107" s="150" t="str">
        <f>IF('Identify beneficiaries'!K77="Y",IF(OR($I107="Qualitative",$I107="Not relevant"),$I107,$I107*'Summary of area'!$C$22/'Identify beneficiaries'!$L77),"")</f>
        <v/>
      </c>
      <c r="V107" s="150" t="str">
        <f>IF(OR(I107="Qualitative",I107="Not relevant"),I107,ROUND(I107*'Summary of area'!$C$21,3-LEN(INT(I107*'Summary of area'!$C$21))))</f>
        <v>Qualitative</v>
      </c>
      <c r="X107" s="14" t="str">
        <f t="shared" si="2"/>
        <v/>
      </c>
      <c r="Y107" s="14" t="str">
        <f t="shared" si="3"/>
        <v/>
      </c>
    </row>
    <row r="108" spans="1:25" ht="13.5" hidden="1" thickBot="1">
      <c r="A108" s="611" t="s">
        <v>35</v>
      </c>
      <c r="B108" s="614" t="s">
        <v>36</v>
      </c>
      <c r="C108" s="30" t="s">
        <v>52</v>
      </c>
      <c r="D108" s="31">
        <f>IF('Describe baseline'!E110="-","+",IF('Describe baseline'!E110="+","-",'Describe baseline'!E110))</f>
        <v>0</v>
      </c>
      <c r="E108" s="31" t="str">
        <f>IF(ISERROR(LEFT('Describe baseline'!F110,'OUTPUT-all'!J108-2)),"",LEFT('Describe baseline'!F110,'OUTPUT-all'!J108-2))</f>
        <v/>
      </c>
      <c r="F108" s="31" t="str">
        <f>IF(ISERROR(LEFT('Describe baseline'!G110,'OUTPUT-all'!K108-2)),"",LEFT('Describe baseline'!G110,'OUTPUT-all'!K108-2))</f>
        <v/>
      </c>
      <c r="G108" s="31" t="str">
        <f>IF(ISERROR(LEFT('Describe baseline'!H110,'OUTPUT-all'!L108-1)),"",LEFT('Describe baseline'!H110,'OUTPUT-all'!L108-1))</f>
        <v/>
      </c>
      <c r="H108" s="374" t="str">
        <f>IF(ISERROR(LEFT('Summary of area'!F28,'OUTPUT-all'!M108-1)),"",LEFT('Summary of area'!F28,'OUTPUT-all'!M108-1))</f>
        <v>High</v>
      </c>
      <c r="I108" s="139">
        <f>'Summary of area'!C28</f>
        <v>0</v>
      </c>
      <c r="J108" s="154" t="e">
        <f>FIND("(",'Describe baseline'!F110)</f>
        <v>#VALUE!</v>
      </c>
      <c r="K108" s="154" t="e">
        <f>FIND("(",'Describe baseline'!G110)</f>
        <v>#VALUE!</v>
      </c>
      <c r="L108" s="154" t="e">
        <f>FIND(":",'Describe baseline'!H110)</f>
        <v>#VALUE!</v>
      </c>
      <c r="M108" s="154">
        <f>FIND(":",'Summary of area'!F28)</f>
        <v>5</v>
      </c>
      <c r="N108" s="61" t="s">
        <v>183</v>
      </c>
      <c r="O108" s="147"/>
      <c r="P108" s="147"/>
      <c r="Q108" s="147"/>
      <c r="R108" s="147"/>
      <c r="S108" s="147"/>
      <c r="T108" s="147"/>
      <c r="U108" s="147"/>
      <c r="V108" s="147"/>
      <c r="X108" s="14" t="str">
        <f aca="true" t="shared" si="4" ref="X108:X113">IF(I108="Qualitative",E108,"")</f>
        <v/>
      </c>
      <c r="Y108" s="14" t="str">
        <f aca="true" t="shared" si="5" ref="Y108:Y113">IF(I108="Qualitative",F108,"")</f>
        <v/>
      </c>
    </row>
    <row r="109" spans="1:25" ht="13.5" hidden="1" thickBot="1">
      <c r="A109" s="607"/>
      <c r="B109" s="597"/>
      <c r="C109" s="55" t="s">
        <v>53</v>
      </c>
      <c r="D109" s="57"/>
      <c r="E109" s="57"/>
      <c r="F109" s="57"/>
      <c r="G109" s="57"/>
      <c r="H109" s="57"/>
      <c r="I109" s="97"/>
      <c r="J109" s="154" t="e">
        <f>FIND("(",'Describe baseline'!F111)</f>
        <v>#VALUE!</v>
      </c>
      <c r="K109" s="154" t="e">
        <f>FIND("(",'Describe baseline'!G111)</f>
        <v>#VALUE!</v>
      </c>
      <c r="L109" s="154" t="e">
        <f>FIND(":",'Describe baseline'!H111)</f>
        <v>#VALUE!</v>
      </c>
      <c r="M109" s="364"/>
      <c r="N109" s="97"/>
      <c r="O109" s="97"/>
      <c r="P109" s="97"/>
      <c r="Q109" s="97"/>
      <c r="R109" s="97"/>
      <c r="S109" s="97"/>
      <c r="T109" s="97"/>
      <c r="U109" s="97"/>
      <c r="V109" s="97"/>
      <c r="X109" s="14" t="str">
        <f t="shared" si="4"/>
        <v/>
      </c>
      <c r="Y109" s="14" t="str">
        <f t="shared" si="5"/>
        <v/>
      </c>
    </row>
    <row r="110" spans="1:25" ht="13.5" hidden="1" thickBot="1">
      <c r="A110" s="617"/>
      <c r="B110" s="609"/>
      <c r="C110" s="58" t="s">
        <v>54</v>
      </c>
      <c r="D110" s="60"/>
      <c r="E110" s="60"/>
      <c r="F110" s="60"/>
      <c r="G110" s="60"/>
      <c r="H110" s="60"/>
      <c r="I110" s="98"/>
      <c r="J110" s="154" t="e">
        <f>FIND("(",'Describe baseline'!F112)</f>
        <v>#VALUE!</v>
      </c>
      <c r="K110" s="154" t="e">
        <f>FIND("(",'Describe baseline'!G112)</f>
        <v>#VALUE!</v>
      </c>
      <c r="L110" s="154" t="e">
        <f>FIND(":",'Describe baseline'!H112)</f>
        <v>#VALUE!</v>
      </c>
      <c r="M110" s="364"/>
      <c r="N110" s="98"/>
      <c r="O110" s="98"/>
      <c r="P110" s="98"/>
      <c r="Q110" s="98"/>
      <c r="R110" s="98"/>
      <c r="S110" s="98"/>
      <c r="T110" s="98"/>
      <c r="U110" s="98"/>
      <c r="V110" s="98"/>
      <c r="X110" s="14" t="str">
        <f t="shared" si="4"/>
        <v/>
      </c>
      <c r="Y110" s="14" t="str">
        <f t="shared" si="5"/>
        <v/>
      </c>
    </row>
    <row r="111" spans="1:25" ht="13.5" hidden="1" thickBot="1">
      <c r="A111" s="611" t="s">
        <v>37</v>
      </c>
      <c r="B111" s="614" t="s">
        <v>38</v>
      </c>
      <c r="C111" s="65" t="s">
        <v>52</v>
      </c>
      <c r="D111" s="66"/>
      <c r="E111" s="66"/>
      <c r="F111" s="66"/>
      <c r="G111" s="66"/>
      <c r="H111" s="66"/>
      <c r="I111" s="104"/>
      <c r="J111" s="154" t="e">
        <f>FIND("(",'Describe baseline'!F113)</f>
        <v>#VALUE!</v>
      </c>
      <c r="K111" s="154" t="e">
        <f>FIND("(",'Describe baseline'!G113)</f>
        <v>#VALUE!</v>
      </c>
      <c r="L111" s="154" t="e">
        <f>FIND(":",'Describe baseline'!H113)</f>
        <v>#VALUE!</v>
      </c>
      <c r="M111" s="154"/>
      <c r="N111" s="104"/>
      <c r="O111" s="104"/>
      <c r="P111" s="104"/>
      <c r="Q111" s="104"/>
      <c r="R111" s="104"/>
      <c r="S111" s="104"/>
      <c r="T111" s="104"/>
      <c r="U111" s="104"/>
      <c r="V111" s="104"/>
      <c r="X111" s="14" t="str">
        <f t="shared" si="4"/>
        <v/>
      </c>
      <c r="Y111" s="14" t="str">
        <f t="shared" si="5"/>
        <v/>
      </c>
    </row>
    <row r="112" spans="1:25" ht="39" hidden="1" thickBot="1">
      <c r="A112" s="680"/>
      <c r="B112" s="682"/>
      <c r="C112" s="20" t="s">
        <v>53</v>
      </c>
      <c r="D112" s="21">
        <f>IF('Describe baseline'!E114="-","+",IF('Describe baseline'!E114="+","-",'Describe baseline'!E114))</f>
        <v>0</v>
      </c>
      <c r="E112" s="21" t="str">
        <f>IF(ISERROR(LEFT('Describe baseline'!F114,'OUTPUT-all'!J112-2)),"",LEFT('Describe baseline'!F114,'OUTPUT-all'!J112-2))</f>
        <v/>
      </c>
      <c r="F112" s="21" t="str">
        <f>IF(ISERROR(LEFT('Describe baseline'!G114,'OUTPUT-all'!K112-2)),"",LEFT('Describe baseline'!G114,'OUTPUT-all'!K112-2))</f>
        <v/>
      </c>
      <c r="G112" s="21" t="str">
        <f>IF(ISERROR(LEFT('Describe baseline'!H114,'OUTPUT-all'!L112-1)),"",LEFT('Describe baseline'!H114,'OUTPUT-all'!L112-1))</f>
        <v/>
      </c>
      <c r="H112" s="374" t="str">
        <f>IF(ISERROR(LEFT(Jobs!F9,'OUTPUT-all'!M112-1)),"",LEFT(Jobs!F9,'OUTPUT-all'!M112-1))</f>
        <v>High</v>
      </c>
      <c r="I112" s="101">
        <f>IF(Jobs!C9="Enter leakage",IF(D112="Neutral","Not relevant","Qualitative"),ROUND(Jobs!D9,3-LEN(INT(Jobs!D9))))</f>
        <v>0</v>
      </c>
      <c r="J112" s="154" t="e">
        <f>FIND("(",'Describe baseline'!F114)</f>
        <v>#VALUE!</v>
      </c>
      <c r="K112" s="154" t="e">
        <f>FIND("(",'Describe baseline'!G114)</f>
        <v>#VALUE!</v>
      </c>
      <c r="L112" s="154" t="e">
        <f>FIND(":",'Describe baseline'!H114)</f>
        <v>#VALUE!</v>
      </c>
      <c r="M112" s="154">
        <f>FIND(":",Jobs!F9)</f>
        <v>5</v>
      </c>
      <c r="N112" s="19" t="s">
        <v>184</v>
      </c>
      <c r="O112" s="149" t="str">
        <f>IF('Identify beneficiaries'!E82="Y",IF(OR($I112="Qualitative",$I112="Not relevant"),$I112,$I112/'Identify beneficiaries'!$L82),"")</f>
        <v/>
      </c>
      <c r="P112" s="149">
        <f>IF('Identify beneficiaries'!F82="Y",IF(OR($I112="Qualitative",$I112="Not relevant"),$I112,$I112/'Identify beneficiaries'!$L82),"")</f>
        <v>0</v>
      </c>
      <c r="Q112" s="149" t="str">
        <f>IF('Identify beneficiaries'!G82="Y",IF(OR($I112="Qualitative",$I112="Not relevant"),$I112,$I112/'Identify beneficiaries'!$L82),"")</f>
        <v/>
      </c>
      <c r="R112" s="149">
        <f>IF('Identify beneficiaries'!H82="Y",IF(OR($I112="Qualitative",$I112="Not relevant"),$I112,$I112/'Identify beneficiaries'!$L82),"")</f>
        <v>0</v>
      </c>
      <c r="S112" s="149" t="str">
        <f>IF('Identify beneficiaries'!I82="Y",IF(OR($I112="Qualitative",$I112="Not relevant"),$I112,$I112/'Identify beneficiaries'!$L82),"")</f>
        <v/>
      </c>
      <c r="T112" s="149" t="str">
        <f>IF('Identify beneficiaries'!J82="Y",IF(OR($I112="Qualitative",$I112="Not relevant"),$I112,$I112/'Identify beneficiaries'!$L82),"")</f>
        <v/>
      </c>
      <c r="U112" s="149">
        <f>IF('Identify beneficiaries'!K82="Y",IF(OR($I112="Qualitative",$I112="Not relevant"),$I112,$I112/'Identify beneficiaries'!$L82),"")</f>
        <v>0</v>
      </c>
      <c r="V112" s="149" t="str">
        <f>IF('Identify beneficiaries'!L82="Y",IF(OR($I112="Qualitative",$I112="Not relevant"),$I112,$I112/'Identify beneficiaries'!$L82),"")</f>
        <v/>
      </c>
      <c r="X112" s="14" t="str">
        <f t="shared" si="4"/>
        <v/>
      </c>
      <c r="Y112" s="14" t="str">
        <f t="shared" si="5"/>
        <v/>
      </c>
    </row>
    <row r="113" spans="1:25" ht="39" hidden="1" thickBot="1">
      <c r="A113" s="681"/>
      <c r="B113" s="683"/>
      <c r="C113" s="32" t="s">
        <v>54</v>
      </c>
      <c r="D113" s="33">
        <f>IF('Describe baseline'!E115="-","+",IF('Describe baseline'!E115="+","-",'Describe baseline'!E115))</f>
        <v>0</v>
      </c>
      <c r="E113" s="33" t="str">
        <f>IF(ISERROR(LEFT('Describe baseline'!F115,'OUTPUT-all'!J113-2)),"",LEFT('Describe baseline'!F115,'OUTPUT-all'!J113-2))</f>
        <v/>
      </c>
      <c r="F113" s="33" t="str">
        <f>IF(ISERROR(LEFT('Describe baseline'!G115,'OUTPUT-all'!K113-2)),"",LEFT('Describe baseline'!G115,'OUTPUT-all'!K113-2))</f>
        <v/>
      </c>
      <c r="G113" s="33" t="str">
        <f>IF(ISERROR(LEFT('Describe baseline'!H115,'OUTPUT-all'!L113-1)),"",LEFT('Describe baseline'!H115,'OUTPUT-all'!L113-1))</f>
        <v/>
      </c>
      <c r="H113" s="374" t="str">
        <f>IF(ISERROR(LEFT(Jobs!F15,'OUTPUT-all'!M113-1)),"",LEFT(Jobs!F15,'OUTPUT-all'!M113-1))</f>
        <v>High</v>
      </c>
      <c r="I113" s="155">
        <f>IF(Jobs!C15="Enter leakage",IF(D113="Neutral","Not relevant","Qualitative"),IF(D113="-",ROUND(Jobs!D15,0)*-1,ROUND(Jobs!D15,0)))</f>
        <v>0</v>
      </c>
      <c r="J113" s="154" t="e">
        <f>FIND("(",'Describe baseline'!F115)</f>
        <v>#VALUE!</v>
      </c>
      <c r="K113" s="154" t="e">
        <f>FIND("(",'Describe baseline'!G115)</f>
        <v>#VALUE!</v>
      </c>
      <c r="L113" s="154" t="e">
        <f>FIND(":",'Describe baseline'!H115)</f>
        <v>#VALUE!</v>
      </c>
      <c r="M113" s="154">
        <f>FIND(":",Jobs!F15)</f>
        <v>5</v>
      </c>
      <c r="N113" s="62" t="s">
        <v>185</v>
      </c>
      <c r="O113" s="150"/>
      <c r="P113" s="150"/>
      <c r="Q113" s="150"/>
      <c r="R113" s="150"/>
      <c r="S113" s="150"/>
      <c r="T113" s="150"/>
      <c r="U113" s="150"/>
      <c r="V113" s="150"/>
      <c r="X113" s="14" t="str">
        <f t="shared" si="4"/>
        <v/>
      </c>
      <c r="Y113" s="14" t="str">
        <f t="shared" si="5"/>
        <v/>
      </c>
    </row>
    <row r="115" spans="4:22" ht="15">
      <c r="D115" s="14" t="s">
        <v>217</v>
      </c>
      <c r="I115" s="14"/>
      <c r="J115" s="14"/>
      <c r="K115" s="14"/>
      <c r="L115" s="14"/>
      <c r="M115" s="14"/>
      <c r="V115" s="14"/>
    </row>
    <row r="116" spans="4:22" ht="114.75">
      <c r="D116" s="145" t="s">
        <v>223</v>
      </c>
      <c r="E116" s="140" t="s">
        <v>219</v>
      </c>
      <c r="F116" s="140" t="s">
        <v>580</v>
      </c>
      <c r="G116" s="272" t="s">
        <v>808</v>
      </c>
      <c r="H116" s="373" t="s">
        <v>814</v>
      </c>
      <c r="I116" s="14"/>
      <c r="J116" s="14"/>
      <c r="K116" s="14"/>
      <c r="L116" s="14"/>
      <c r="M116" s="14"/>
      <c r="V116" s="14"/>
    </row>
    <row r="117" spans="4:22" ht="114.75">
      <c r="D117" s="145" t="s">
        <v>224</v>
      </c>
      <c r="E117" s="140" t="s">
        <v>220</v>
      </c>
      <c r="F117" s="140" t="s">
        <v>222</v>
      </c>
      <c r="G117" s="272" t="s">
        <v>807</v>
      </c>
      <c r="H117" s="373" t="s">
        <v>813</v>
      </c>
      <c r="I117" s="14"/>
      <c r="J117" s="14"/>
      <c r="K117" s="14"/>
      <c r="L117" s="14"/>
      <c r="M117" s="14"/>
      <c r="V117" s="14"/>
    </row>
    <row r="118" spans="4:22" ht="127.5">
      <c r="D118" s="145" t="s">
        <v>225</v>
      </c>
      <c r="E118" s="140" t="s">
        <v>221</v>
      </c>
      <c r="F118" s="140" t="s">
        <v>247</v>
      </c>
      <c r="G118" s="272" t="s">
        <v>806</v>
      </c>
      <c r="H118" s="370" t="s">
        <v>812</v>
      </c>
      <c r="I118" s="14"/>
      <c r="J118" s="14"/>
      <c r="K118" s="14"/>
      <c r="L118" s="14"/>
      <c r="M118" s="14"/>
      <c r="V118" s="14"/>
    </row>
    <row r="119" spans="4:22" ht="89.25">
      <c r="D119" s="145" t="s">
        <v>226</v>
      </c>
      <c r="F119" s="144" t="s">
        <v>218</v>
      </c>
      <c r="G119" s="144"/>
      <c r="H119" s="373"/>
      <c r="I119" s="14"/>
      <c r="J119" s="14"/>
      <c r="K119" s="14"/>
      <c r="L119" s="14"/>
      <c r="M119" s="14"/>
      <c r="V119" s="14"/>
    </row>
  </sheetData>
  <sheetProtection sheet="1" objects="1" scenarios="1"/>
  <mergeCells count="106">
    <mergeCell ref="A4:B4"/>
    <mergeCell ref="A5:A11"/>
    <mergeCell ref="B5:B11"/>
    <mergeCell ref="C5:C9"/>
    <mergeCell ref="D5:D9"/>
    <mergeCell ref="F5:F9"/>
    <mergeCell ref="G5:G9"/>
    <mergeCell ref="B12:B14"/>
    <mergeCell ref="B15:B17"/>
    <mergeCell ref="B18:B25"/>
    <mergeCell ref="C18:C23"/>
    <mergeCell ref="D18:D23"/>
    <mergeCell ref="E18:E23"/>
    <mergeCell ref="F18:F23"/>
    <mergeCell ref="E5:E9"/>
    <mergeCell ref="G18:G23"/>
    <mergeCell ref="A45:A47"/>
    <mergeCell ref="B45:B47"/>
    <mergeCell ref="A48:A50"/>
    <mergeCell ref="B48:B50"/>
    <mergeCell ref="A51:B51"/>
    <mergeCell ref="A52:A55"/>
    <mergeCell ref="B52:B55"/>
    <mergeCell ref="F26:F27"/>
    <mergeCell ref="G26:G27"/>
    <mergeCell ref="G37:G41"/>
    <mergeCell ref="B30:B36"/>
    <mergeCell ref="C30:C34"/>
    <mergeCell ref="D30:D34"/>
    <mergeCell ref="E30:E34"/>
    <mergeCell ref="F30:F34"/>
    <mergeCell ref="G30:G34"/>
    <mergeCell ref="C37:C41"/>
    <mergeCell ref="D37:D41"/>
    <mergeCell ref="E37:E41"/>
    <mergeCell ref="F37:F41"/>
    <mergeCell ref="B26:B29"/>
    <mergeCell ref="C26:C27"/>
    <mergeCell ref="D26:D27"/>
    <mergeCell ref="E26:E27"/>
    <mergeCell ref="C65:C66"/>
    <mergeCell ref="D65:D66"/>
    <mergeCell ref="E65:E66"/>
    <mergeCell ref="F65:F66"/>
    <mergeCell ref="G65:G66"/>
    <mergeCell ref="A62:A64"/>
    <mergeCell ref="B62:B64"/>
    <mergeCell ref="A65:A68"/>
    <mergeCell ref="B65:B68"/>
    <mergeCell ref="I52:I53"/>
    <mergeCell ref="A56:A58"/>
    <mergeCell ref="B56:B58"/>
    <mergeCell ref="A59:A61"/>
    <mergeCell ref="B59:B61"/>
    <mergeCell ref="I1:N1"/>
    <mergeCell ref="O3:R3"/>
    <mergeCell ref="H5:H9"/>
    <mergeCell ref="I5:I9"/>
    <mergeCell ref="A12:A44"/>
    <mergeCell ref="I18:I23"/>
    <mergeCell ref="I26:I27"/>
    <mergeCell ref="I30:I34"/>
    <mergeCell ref="B37:B44"/>
    <mergeCell ref="C42:C43"/>
    <mergeCell ref="D42:D43"/>
    <mergeCell ref="E42:E43"/>
    <mergeCell ref="F42:F43"/>
    <mergeCell ref="G42:G43"/>
    <mergeCell ref="C52:C53"/>
    <mergeCell ref="D52:D53"/>
    <mergeCell ref="E52:E53"/>
    <mergeCell ref="F52:F53"/>
    <mergeCell ref="G52:G53"/>
    <mergeCell ref="B87:B89"/>
    <mergeCell ref="A90:A92"/>
    <mergeCell ref="B90:B92"/>
    <mergeCell ref="A93:A107"/>
    <mergeCell ref="B93:B107"/>
    <mergeCell ref="A69:A71"/>
    <mergeCell ref="B69:B71"/>
    <mergeCell ref="A72:B72"/>
    <mergeCell ref="A73:A77"/>
    <mergeCell ref="B73:B77"/>
    <mergeCell ref="A84:A86"/>
    <mergeCell ref="B84:B86"/>
    <mergeCell ref="A87:A89"/>
    <mergeCell ref="C73:C75"/>
    <mergeCell ref="D73:D75"/>
    <mergeCell ref="E73:E75"/>
    <mergeCell ref="F73:F75"/>
    <mergeCell ref="G73:G75"/>
    <mergeCell ref="I73:I75"/>
    <mergeCell ref="A78:A80"/>
    <mergeCell ref="B78:B80"/>
    <mergeCell ref="A81:A83"/>
    <mergeCell ref="B81:B83"/>
    <mergeCell ref="I93:I105"/>
    <mergeCell ref="A108:A110"/>
    <mergeCell ref="B108:B110"/>
    <mergeCell ref="A111:A113"/>
    <mergeCell ref="B111:B113"/>
    <mergeCell ref="C93:C105"/>
    <mergeCell ref="D93:D105"/>
    <mergeCell ref="E93:E105"/>
    <mergeCell ref="F93:F105"/>
    <mergeCell ref="G93:G105"/>
  </mergeCells>
  <conditionalFormatting sqref="O1:U2 O114:U1048576 O62:V63 O107:V108 O89:V90 O84:V84 O81:V81 O77:V78 O112:V113 V5:V9 O72:V75 O4:U4 O3 S3:U3 V12 O19:V48 O51:V56 O59:V60 O87:V87 O93:V105 O65:V70 V14:V18">
    <cfRule type="cellIs" priority="5" dxfId="2" operator="lessThan">
      <formula>-0.1</formula>
    </cfRule>
    <cfRule type="cellIs" priority="6" dxfId="8" operator="greaterThan">
      <formula>0.1</formula>
    </cfRule>
  </conditionalFormatting>
  <conditionalFormatting sqref="O1:U2 O114:U1048576 O4:U4 O3 S3:U3 O19:V113 V5:V18">
    <cfRule type="cellIs" priority="4" dxfId="7" operator="greaterThan">
      <formula>1000000000</formula>
    </cfRule>
  </conditionalFormatting>
  <conditionalFormatting sqref="O12:U12 O5:U9 O14:U18">
    <cfRule type="cellIs" priority="2" dxfId="2" operator="lessThan">
      <formula>-0.1</formula>
    </cfRule>
    <cfRule type="cellIs" priority="3" dxfId="8" operator="greaterThan">
      <formula>0.1</formula>
    </cfRule>
  </conditionalFormatting>
  <conditionalFormatting sqref="O5:U18">
    <cfRule type="cellIs" priority="1" dxfId="7" operator="greaterThan">
      <formula>1000000000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65"/>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Y119"/>
  <sheetViews>
    <sheetView zoomScale="85" zoomScaleNormal="85" workbookViewId="0" topLeftCell="A1"/>
  </sheetViews>
  <sheetFormatPr defaultColWidth="9.140625" defaultRowHeight="15"/>
  <cols>
    <col min="1" max="1" width="18.7109375" style="14" customWidth="1"/>
    <col min="2" max="2" width="19.8515625" style="14" customWidth="1"/>
    <col min="3" max="3" width="9.140625" style="14" customWidth="1"/>
    <col min="4" max="4" width="11.28125" style="140" customWidth="1"/>
    <col min="5" max="5" width="12.8515625" style="140" customWidth="1"/>
    <col min="6" max="6" width="13.57421875" style="140" customWidth="1"/>
    <col min="7" max="7" width="13.8515625" style="140" customWidth="1"/>
    <col min="8" max="8" width="11.8515625" style="370" customWidth="1"/>
    <col min="9" max="9" width="15.7109375" style="141" customWidth="1"/>
    <col min="10" max="13" width="19.28125" style="152" hidden="1" customWidth="1"/>
    <col min="14" max="14" width="20.140625" style="14" customWidth="1"/>
    <col min="15" max="15" width="11.421875" style="14" customWidth="1"/>
    <col min="16" max="16" width="11.57421875" style="14" customWidth="1"/>
    <col min="17" max="17" width="11.8515625" style="14" customWidth="1"/>
    <col min="18" max="18" width="11.7109375" style="14" customWidth="1"/>
    <col min="19" max="19" width="11.28125" style="14" customWidth="1"/>
    <col min="20" max="20" width="11.7109375" style="14" customWidth="1"/>
    <col min="21" max="21" width="11.140625" style="14" customWidth="1"/>
    <col min="22" max="22" width="11.8515625" style="291" customWidth="1"/>
    <col min="23" max="23" width="9.140625" style="14" customWidth="1"/>
    <col min="24" max="25" width="9.140625" style="14" hidden="1" customWidth="1"/>
    <col min="26" max="16384" width="9.140625" style="14" customWidth="1"/>
  </cols>
  <sheetData>
    <row r="1" spans="1:14" ht="91.5" customHeight="1" thickBot="1">
      <c r="A1" s="14" t="s">
        <v>39</v>
      </c>
      <c r="B1" s="14">
        <f>'Summary of area'!C3</f>
        <v>0</v>
      </c>
      <c r="E1" s="14"/>
      <c r="F1" s="14"/>
      <c r="G1" s="14"/>
      <c r="I1" s="647" t="s">
        <v>787</v>
      </c>
      <c r="J1" s="648"/>
      <c r="K1" s="648"/>
      <c r="L1" s="648"/>
      <c r="M1" s="648"/>
      <c r="N1" s="649"/>
    </row>
    <row r="2" spans="1:14" ht="51.75" thickBot="1">
      <c r="A2" s="473" t="s">
        <v>17</v>
      </c>
      <c r="E2" s="14"/>
      <c r="F2" s="14"/>
      <c r="G2" s="14"/>
      <c r="I2" s="95" t="s">
        <v>898</v>
      </c>
      <c r="J2" s="153"/>
      <c r="K2" s="153"/>
      <c r="L2" s="153"/>
      <c r="M2" s="153"/>
      <c r="N2" s="144" t="s">
        <v>899</v>
      </c>
    </row>
    <row r="3" spans="1:18" ht="54" customHeight="1">
      <c r="A3" s="474"/>
      <c r="E3" s="14"/>
      <c r="F3" s="14"/>
      <c r="G3" s="14"/>
      <c r="I3" s="95">
        <f>ROUND(SUM(O:U),3-LEN(INT((SUM(O:U)))))</f>
        <v>0</v>
      </c>
      <c r="J3" s="153"/>
      <c r="K3" s="153"/>
      <c r="L3" s="153"/>
      <c r="M3" s="153"/>
      <c r="N3" s="340">
        <f>ROUND(SUM(Sheet1!$G$20:$AI$20),1-LEN(INT(Sheet1!$G$20:$AI$20)))</f>
        <v>0</v>
      </c>
      <c r="O3" s="645" t="str">
        <f>"Benefits for "&amp;'Summary of area'!C3&amp;" only.  It is not appropriate to add benefits from IDBs as this is likely to significantly under-estimate cumulative benefits"</f>
        <v>Benefits for  only.  It is not appropriate to add benefits from IDBs as this is likely to significantly under-estimate cumulative benefits</v>
      </c>
      <c r="P3" s="646"/>
      <c r="Q3" s="646"/>
      <c r="R3" s="646"/>
    </row>
    <row r="4" spans="1:22" ht="39.75" thickBot="1">
      <c r="A4" s="684" t="s">
        <v>0</v>
      </c>
      <c r="B4" s="685"/>
      <c r="D4" s="140" t="s">
        <v>140</v>
      </c>
      <c r="E4" s="140" t="s">
        <v>141</v>
      </c>
      <c r="F4" s="140" t="s">
        <v>142</v>
      </c>
      <c r="G4" s="140" t="s">
        <v>809</v>
      </c>
      <c r="H4" s="370" t="s">
        <v>810</v>
      </c>
      <c r="I4" s="141" t="s">
        <v>143</v>
      </c>
      <c r="N4" s="339" t="s">
        <v>144</v>
      </c>
      <c r="O4" s="151" t="s">
        <v>186</v>
      </c>
      <c r="P4" s="151" t="s">
        <v>187</v>
      </c>
      <c r="Q4" s="151" t="s">
        <v>192</v>
      </c>
      <c r="R4" s="151" t="s">
        <v>188</v>
      </c>
      <c r="S4" s="151" t="s">
        <v>189</v>
      </c>
      <c r="T4" s="151" t="s">
        <v>172</v>
      </c>
      <c r="U4" s="151" t="s">
        <v>191</v>
      </c>
      <c r="V4" s="291" t="s">
        <v>626</v>
      </c>
    </row>
    <row r="5" spans="1:25" ht="13.5" hidden="1" thickBot="1">
      <c r="A5" s="606" t="s">
        <v>1</v>
      </c>
      <c r="B5" s="608" t="s">
        <v>19</v>
      </c>
      <c r="C5" s="608" t="s">
        <v>52</v>
      </c>
      <c r="D5" s="663">
        <f>IF('Describe baseline'!E5="-","+",IF('Describe baseline'!E5="+","-",'Describe baseline'!E5))</f>
        <v>0</v>
      </c>
      <c r="E5" s="663" t="str">
        <f>IF(ISERROR(LEFT('Describe baseline'!F5,'OUTPUT-all'!J5-2)),"",LEFT('Describe baseline'!F5,'OUTPUT-all'!J5-2))</f>
        <v/>
      </c>
      <c r="F5" s="663" t="str">
        <f>IF(ISERROR(LEFT('Describe baseline'!G5,'OUTPUT-all'!K5-2)),"",LEFT('Describe baseline'!G5,'OUTPUT-all'!K5-2))</f>
        <v/>
      </c>
      <c r="G5" s="663" t="str">
        <f>IF(ISERROR(LEFT('Describe baseline'!H5,'OUTPUT-all'!L5-2)),"",LEFT('Describe baseline'!H5,'OUTPUT-all'!L5-1))</f>
        <v/>
      </c>
      <c r="H5" s="663" t="str">
        <f>IF(ISERROR(LEFT(Carbon!H33,'OUTPUT-all'!M5-2)),"",LEFT(Carbon!H33,'OUTPUT-all'!M5-1))</f>
        <v>High</v>
      </c>
      <c r="I5" s="658" t="str">
        <f>IF(Carbon!C33="Enter ha",IF(D5="Neutral","Not relevant","Qualitative"),ROUND(Carbon!F33,3-LEN(INT(Carbon!F33))))</f>
        <v>Qualitative</v>
      </c>
      <c r="J5" s="154" t="e">
        <f>FIND("(",'Describe baseline'!F5)</f>
        <v>#VALUE!</v>
      </c>
      <c r="K5" s="154" t="e">
        <f>FIND("(",'Describe baseline'!G5)</f>
        <v>#VALUE!</v>
      </c>
      <c r="L5" s="154" t="e">
        <f>FIND(":",'Describe baseline'!H5)</f>
        <v>#VALUE!</v>
      </c>
      <c r="M5" s="154">
        <f>FIND(":",Carbon!H33)</f>
        <v>5</v>
      </c>
      <c r="N5" s="61" t="s">
        <v>145</v>
      </c>
      <c r="O5" s="147" t="str">
        <f>IF('Identify beneficiaries'!E5="Y",IF(OR($I5="Qualitative",$I5="Not relevant"),$I5,ROUND($I5*'Summary of area'!$E$31/'Identify beneficiaries'!$L5,3-LEN(INT($I5*'Summary of area'!$E$31/'Identify beneficiaries'!$L5)))),"")</f>
        <v/>
      </c>
      <c r="P5" s="147" t="str">
        <f>IF('Identify beneficiaries'!F5="Y",IF(OR($I5="Qualitative",$I5="Not relevant"),$I5,ROUND($I5*'Summary of area'!$E$31/'Identify beneficiaries'!$L5,3-LEN(INT($I5*'Summary of area'!$E$31/'Identify beneficiaries'!$L5)))),"")</f>
        <v/>
      </c>
      <c r="Q5" s="147" t="str">
        <f>IF('Identify beneficiaries'!G5="Y",IF(OR($I5="Qualitative",$I5="Not relevant"),$I5,ROUND($I5*'Summary of area'!$E$31/'Identify beneficiaries'!$L5,3-LEN(INT($I5*'Summary of area'!$E$31/'Identify beneficiaries'!$L5)))),"")</f>
        <v/>
      </c>
      <c r="R5" s="147" t="str">
        <f>IF('Identify beneficiaries'!H5="Y",IF(OR($I5="Qualitative",$I5="Not relevant"),$I5,ROUND($I5*'Summary of area'!$E$31/'Identify beneficiaries'!$L5,3-LEN(INT($I5*'Summary of area'!$E$31/'Identify beneficiaries'!$L5)))),"")</f>
        <v/>
      </c>
      <c r="S5" s="147" t="str">
        <f>IF('Identify beneficiaries'!I5="Y",IF(OR($I5="Qualitative",$I5="Not relevant"),$I5,ROUND($I5*'Summary of area'!$E$31/'Identify beneficiaries'!$L5,3-LEN(INT($I5*'Summary of area'!$E$31/'Identify beneficiaries'!$L5)))),"")</f>
        <v/>
      </c>
      <c r="T5" s="147" t="str">
        <f>IF('Identify beneficiaries'!J5="Y",IF(OR($I5="Qualitative",$I5="Not relevant"),$I5,ROUND($I5*'Summary of area'!$E$31/'Identify beneficiaries'!$L5,3-LEN(INT($I5*'Summary of area'!$E$31/'Identify beneficiaries'!$L5)))),"")</f>
        <v>Qualitative</v>
      </c>
      <c r="U5" s="147" t="str">
        <f>IF('Identify beneficiaries'!K5="Y",IF(OR($I5="Qualitative",$I5="Not relevant"),$I5,ROUND($I5*'Summary of area'!$E$31/'Identify beneficiaries'!$L5,3-LEN(INT($I5*'Summary of area'!$E$31/'Identify beneficiaries'!$L5)))),"")</f>
        <v/>
      </c>
      <c r="V5" s="147" t="str">
        <f>IF(OR(I5="Qualitative",I5="Not relevant"),I5,ROUND(I5*'Summary of area'!$D$31,3-LEN(INT(I5*'Summary of area'!$D$31))))</f>
        <v>Qualitative</v>
      </c>
      <c r="X5" s="14" t="str">
        <f aca="true" t="shared" si="0" ref="X5:X42">IF(I5="Qualitative",E5,"")</f>
        <v/>
      </c>
      <c r="Y5" s="14" t="str">
        <f aca="true" t="shared" si="1" ref="Y5:Y42">IF(I5="Qualitative",F5,"")</f>
        <v/>
      </c>
    </row>
    <row r="6" spans="1:25" ht="13.5" customHeight="1" hidden="1" thickBot="1">
      <c r="A6" s="673"/>
      <c r="B6" s="675"/>
      <c r="C6" s="675"/>
      <c r="D6" s="671">
        <f>IF('Describe baseline'!E6="-","+",IF('Describe baseline'!E6="+","-",'Describe baseline'!E6))</f>
        <v>0</v>
      </c>
      <c r="E6" s="671" t="str">
        <f>IF(ISERROR(LEFT('Describe baseline'!F6,#REF!-2)),"",LEFT('Describe baseline'!F6,#REF!-2))</f>
        <v/>
      </c>
      <c r="F6" s="671" t="str">
        <f>IF(ISERROR(LEFT('Describe baseline'!G6,#REF!-2)),"",LEFT('Describe baseline'!G6,#REF!-2))</f>
        <v/>
      </c>
      <c r="G6" s="671" t="str">
        <f>IF(ISERROR(LEFT('Describe baseline'!H6,#REF!-2)),"",LEFT('Describe baseline'!H6,#REF!-2))</f>
        <v/>
      </c>
      <c r="H6" s="671" t="str">
        <f>IF(ISERROR(LEFT('Describe baseline'!I6,#REF!-2)),"",LEFT('Describe baseline'!I6,#REF!-2))</f>
        <v/>
      </c>
      <c r="I6" s="659"/>
      <c r="J6" s="154" t="e">
        <f>FIND("(",'Describe baseline'!F6)</f>
        <v>#VALUE!</v>
      </c>
      <c r="K6" s="154" t="e">
        <f>FIND("(",'Describe baseline'!G6)</f>
        <v>#VALUE!</v>
      </c>
      <c r="L6" s="154" t="e">
        <f>FIND(":",'Describe baseline'!H6)</f>
        <v>#VALUE!</v>
      </c>
      <c r="M6" s="364"/>
      <c r="N6" s="148"/>
      <c r="O6" s="148"/>
      <c r="P6" s="148"/>
      <c r="Q6" s="148"/>
      <c r="R6" s="148"/>
      <c r="S6" s="148"/>
      <c r="T6" s="148"/>
      <c r="U6" s="148"/>
      <c r="V6" s="148"/>
      <c r="X6" s="14" t="str">
        <f t="shared" si="0"/>
        <v/>
      </c>
      <c r="Y6" s="14" t="str">
        <f t="shared" si="1"/>
        <v/>
      </c>
    </row>
    <row r="7" spans="1:25" ht="13.5" customHeight="1" hidden="1" thickBot="1">
      <c r="A7" s="673"/>
      <c r="B7" s="675"/>
      <c r="C7" s="675"/>
      <c r="D7" s="671">
        <f>IF('Describe baseline'!E7="-","+",IF('Describe baseline'!E7="+","-",'Describe baseline'!E7))</f>
        <v>0</v>
      </c>
      <c r="E7" s="671" t="str">
        <f>IF(ISERROR(LEFT('Describe baseline'!F7,#REF!-2)),"",LEFT('Describe baseline'!F7,#REF!-2))</f>
        <v/>
      </c>
      <c r="F7" s="671" t="str">
        <f>IF(ISERROR(LEFT('Describe baseline'!G7,#REF!-2)),"",LEFT('Describe baseline'!G7,#REF!-2))</f>
        <v/>
      </c>
      <c r="G7" s="671" t="str">
        <f>IF(ISERROR(LEFT('Describe baseline'!H7,#REF!-2)),"",LEFT('Describe baseline'!H7,#REF!-2))</f>
        <v/>
      </c>
      <c r="H7" s="671" t="str">
        <f>IF(ISERROR(LEFT('Describe baseline'!I7,#REF!-2)),"",LEFT('Describe baseline'!I7,#REF!-2))</f>
        <v/>
      </c>
      <c r="I7" s="659"/>
      <c r="J7" s="154" t="e">
        <f>FIND("(",'Describe baseline'!F7)</f>
        <v>#VALUE!</v>
      </c>
      <c r="K7" s="154" t="e">
        <f>FIND("(",'Describe baseline'!G7)</f>
        <v>#VALUE!</v>
      </c>
      <c r="L7" s="154" t="e">
        <f>FIND(":",'Describe baseline'!H7)</f>
        <v>#VALUE!</v>
      </c>
      <c r="M7" s="364"/>
      <c r="N7" s="148"/>
      <c r="O7" s="148"/>
      <c r="P7" s="148"/>
      <c r="Q7" s="148"/>
      <c r="R7" s="148"/>
      <c r="S7" s="148"/>
      <c r="T7" s="148"/>
      <c r="U7" s="148"/>
      <c r="V7" s="148"/>
      <c r="X7" s="14" t="str">
        <f t="shared" si="0"/>
        <v/>
      </c>
      <c r="Y7" s="14" t="str">
        <f t="shared" si="1"/>
        <v/>
      </c>
    </row>
    <row r="8" spans="1:25" ht="13.5" customHeight="1" hidden="1" thickBot="1">
      <c r="A8" s="673"/>
      <c r="B8" s="675"/>
      <c r="C8" s="675"/>
      <c r="D8" s="671">
        <f>IF('Describe baseline'!E8="-","+",IF('Describe baseline'!E8="+","-",'Describe baseline'!E8))</f>
        <v>0</v>
      </c>
      <c r="E8" s="671" t="str">
        <f>IF(ISERROR(LEFT('Describe baseline'!F8,#REF!-2)),"",LEFT('Describe baseline'!F8,#REF!-2))</f>
        <v/>
      </c>
      <c r="F8" s="671" t="str">
        <f>IF(ISERROR(LEFT('Describe baseline'!G8,#REF!-2)),"",LEFT('Describe baseline'!G8,#REF!-2))</f>
        <v/>
      </c>
      <c r="G8" s="671" t="str">
        <f>IF(ISERROR(LEFT('Describe baseline'!H8,#REF!-2)),"",LEFT('Describe baseline'!H8,#REF!-2))</f>
        <v/>
      </c>
      <c r="H8" s="671" t="str">
        <f>IF(ISERROR(LEFT('Describe baseline'!I8,#REF!-2)),"",LEFT('Describe baseline'!I8,#REF!-2))</f>
        <v/>
      </c>
      <c r="I8" s="659"/>
      <c r="J8" s="154" t="e">
        <f>FIND("(",'Describe baseline'!F8)</f>
        <v>#VALUE!</v>
      </c>
      <c r="K8" s="154" t="e">
        <f>FIND("(",'Describe baseline'!G8)</f>
        <v>#VALUE!</v>
      </c>
      <c r="L8" s="154" t="e">
        <f>FIND(":",'Describe baseline'!H8)</f>
        <v>#VALUE!</v>
      </c>
      <c r="M8" s="364"/>
      <c r="N8" s="148"/>
      <c r="O8" s="148"/>
      <c r="P8" s="148"/>
      <c r="Q8" s="148"/>
      <c r="R8" s="148"/>
      <c r="S8" s="148"/>
      <c r="T8" s="148"/>
      <c r="U8" s="148"/>
      <c r="V8" s="148"/>
      <c r="X8" s="14" t="str">
        <f t="shared" si="0"/>
        <v/>
      </c>
      <c r="Y8" s="14" t="str">
        <f t="shared" si="1"/>
        <v/>
      </c>
    </row>
    <row r="9" spans="1:25" ht="13.5" customHeight="1" hidden="1" thickBot="1">
      <c r="A9" s="673"/>
      <c r="B9" s="675"/>
      <c r="C9" s="677"/>
      <c r="D9" s="672">
        <f>IF('Describe baseline'!E9="-","+",IF('Describe baseline'!E9="+","-",'Describe baseline'!E9))</f>
        <v>0</v>
      </c>
      <c r="E9" s="672" t="str">
        <f>IF(ISERROR(LEFT('Describe baseline'!F9,#REF!-2)),"",LEFT('Describe baseline'!F9,#REF!-2))</f>
        <v/>
      </c>
      <c r="F9" s="672" t="str">
        <f>IF(ISERROR(LEFT('Describe baseline'!G9,#REF!-2)),"",LEFT('Describe baseline'!G9,#REF!-2))</f>
        <v/>
      </c>
      <c r="G9" s="672" t="str">
        <f>IF(ISERROR(LEFT('Describe baseline'!H9,#REF!-2)),"",LEFT('Describe baseline'!H9,#REF!-2))</f>
        <v/>
      </c>
      <c r="H9" s="672" t="str">
        <f>IF(ISERROR(LEFT('Describe baseline'!I9,#REF!-2)),"",LEFT('Describe baseline'!I9,#REF!-2))</f>
        <v/>
      </c>
      <c r="I9" s="660"/>
      <c r="J9" s="154" t="e">
        <f>FIND("(",'Describe baseline'!F9)</f>
        <v>#VALUE!</v>
      </c>
      <c r="K9" s="154" t="e">
        <f>FIND("(",'Describe baseline'!G9)</f>
        <v>#VALUE!</v>
      </c>
      <c r="L9" s="154" t="e">
        <f>FIND(":",'Describe baseline'!H9)</f>
        <v>#VALUE!</v>
      </c>
      <c r="M9" s="364"/>
      <c r="N9" s="148"/>
      <c r="O9" s="148"/>
      <c r="P9" s="148"/>
      <c r="Q9" s="148"/>
      <c r="R9" s="148"/>
      <c r="S9" s="148"/>
      <c r="T9" s="148"/>
      <c r="U9" s="148"/>
      <c r="V9" s="148"/>
      <c r="X9" s="14" t="str">
        <f t="shared" si="0"/>
        <v/>
      </c>
      <c r="Y9" s="14" t="str">
        <f t="shared" si="1"/>
        <v/>
      </c>
    </row>
    <row r="10" spans="1:25" ht="13.5" hidden="1" thickBot="1">
      <c r="A10" s="673"/>
      <c r="B10" s="675"/>
      <c r="C10" s="55" t="s">
        <v>53</v>
      </c>
      <c r="D10" s="57"/>
      <c r="E10" s="57"/>
      <c r="F10" s="57"/>
      <c r="G10" s="57"/>
      <c r="H10" s="57"/>
      <c r="I10" s="97"/>
      <c r="J10" s="154" t="e">
        <f>FIND("(",'Describe baseline'!F10)</f>
        <v>#VALUE!</v>
      </c>
      <c r="K10" s="154" t="e">
        <f>FIND("(",'Describe baseline'!G10)</f>
        <v>#VALUE!</v>
      </c>
      <c r="L10" s="154" t="e">
        <f>FIND(":",'Describe baseline'!H10)</f>
        <v>#VALUE!</v>
      </c>
      <c r="M10" s="364"/>
      <c r="N10" s="97"/>
      <c r="O10" s="97"/>
      <c r="P10" s="97"/>
      <c r="Q10" s="97"/>
      <c r="R10" s="97"/>
      <c r="S10" s="97"/>
      <c r="T10" s="97"/>
      <c r="U10" s="97"/>
      <c r="V10" s="97"/>
      <c r="X10" s="14" t="str">
        <f t="shared" si="0"/>
        <v/>
      </c>
      <c r="Y10" s="14" t="str">
        <f t="shared" si="1"/>
        <v/>
      </c>
    </row>
    <row r="11" spans="1:25" ht="13.5" hidden="1" thickBot="1">
      <c r="A11" s="674"/>
      <c r="B11" s="676"/>
      <c r="C11" s="58" t="s">
        <v>54</v>
      </c>
      <c r="D11" s="57"/>
      <c r="E11" s="60"/>
      <c r="F11" s="60"/>
      <c r="G11" s="60"/>
      <c r="H11" s="369"/>
      <c r="I11" s="98"/>
      <c r="J11" s="154" t="e">
        <f>FIND("(",'Describe baseline'!F11)</f>
        <v>#VALUE!</v>
      </c>
      <c r="K11" s="154" t="e">
        <f>FIND("(",'Describe baseline'!G11)</f>
        <v>#VALUE!</v>
      </c>
      <c r="L11" s="154" t="e">
        <f>FIND(":",'Describe baseline'!H11)</f>
        <v>#VALUE!</v>
      </c>
      <c r="M11" s="364"/>
      <c r="N11" s="98"/>
      <c r="O11" s="98"/>
      <c r="P11" s="98"/>
      <c r="Q11" s="98"/>
      <c r="R11" s="98"/>
      <c r="S11" s="98"/>
      <c r="T11" s="98"/>
      <c r="U11" s="98"/>
      <c r="V11" s="98"/>
      <c r="X11" s="14" t="str">
        <f t="shared" si="0"/>
        <v/>
      </c>
      <c r="Y11" s="14" t="str">
        <f t="shared" si="1"/>
        <v/>
      </c>
    </row>
    <row r="12" spans="1:25" ht="13.5" hidden="1" thickBot="1">
      <c r="A12" s="678" t="s">
        <v>216</v>
      </c>
      <c r="B12" s="608" t="s">
        <v>20</v>
      </c>
      <c r="C12" s="26" t="s">
        <v>52</v>
      </c>
      <c r="D12" s="27">
        <f>IF('Describe baseline'!E12="-","+",IF('Describe baseline'!E12="+","-",'Describe baseline'!E12))</f>
        <v>0</v>
      </c>
      <c r="E12" s="142" t="str">
        <f>IF(ISERROR(LEFT('Describe baseline'!F12,'OUTPUT-all'!J12-2)),"",LEFT('Describe baseline'!F12,'OUTPUT-all'!J12-2))</f>
        <v/>
      </c>
      <c r="F12" s="142" t="str">
        <f>IF(ISERROR(LEFT('Describe baseline'!G12,'OUTPUT-all'!K12-2)),"",LEFT('Describe baseline'!G12,'OUTPUT-all'!K12-2))</f>
        <v/>
      </c>
      <c r="G12" s="142" t="str">
        <f>IF(ISERROR(LEFT('Describe baseline'!H12:H16,'OUTPUT-all'!L12-1)),"",LEFT('Describe baseline'!H12:H16,'OUTPUT-all'!L12-1))</f>
        <v/>
      </c>
      <c r="H12" s="371" t="str">
        <f>IF(ISERROR(LEFT('Water levels-Residential'!K64,'OUTPUT-all'!M12-2)),"",LEFT('Water levels-Residential'!K64,'OUTPUT-all'!M12-1))</f>
        <v>High</v>
      </c>
      <c r="I12" s="368" t="str">
        <f>IF('Water levels-Residential'!D64="Enter number of properties",IF(D12="Neutral","Not relevant","Qualitative"),ROUND('Water levels-Residential'!H64,3-LEN(INT('Water levels-Residential'!H64))))</f>
        <v>Qualitative</v>
      </c>
      <c r="J12" s="154" t="e">
        <f>FIND("(",'Describe baseline'!F12)</f>
        <v>#VALUE!</v>
      </c>
      <c r="K12" s="154" t="e">
        <f>FIND("(",'Describe baseline'!G12)</f>
        <v>#VALUE!</v>
      </c>
      <c r="L12" s="154" t="e">
        <f>FIND(":",'Describe baseline'!H12)</f>
        <v>#VALUE!</v>
      </c>
      <c r="M12" s="154">
        <f>FIND(":",'Water levels-Residential'!K64)</f>
        <v>5</v>
      </c>
      <c r="N12" s="61" t="s">
        <v>146</v>
      </c>
      <c r="O12" s="147" t="str">
        <f>IF('Identify beneficiaries'!E8="Y",IF(OR($I12="Qualitative",$I12="Not relevant"),$I12,ROUND($I12*'Summary of area'!$E$32/'Identify beneficiaries'!$L8,3-LEN(INT($I12*'Summary of area'!$E$32/'Identify beneficiaries'!$L8)))),"")</f>
        <v>Qualitative</v>
      </c>
      <c r="P12" s="147" t="str">
        <f>IF('Identify beneficiaries'!F8="Y",IF(OR($I12="Qualitative",$I12="Not relevant"),$I12,ROUND($I12*'Summary of area'!$E$32/'Identify beneficiaries'!$L8,3-LEN(INT($I12*'Summary of area'!$E$32/'Identify beneficiaries'!$L8)))),"")</f>
        <v/>
      </c>
      <c r="Q12" s="147" t="str">
        <f>IF('Identify beneficiaries'!G8="Y",IF(OR($I12="Qualitative",$I12="Not relevant"),$I12,ROUND($I12*'Summary of area'!$E$32/'Identify beneficiaries'!$L8,3-LEN(INT($I12*'Summary of area'!$E$32/'Identify beneficiaries'!$L8)))),"")</f>
        <v/>
      </c>
      <c r="R12" s="147" t="str">
        <f>IF('Identify beneficiaries'!H8="Y",IF(OR($I12="Qualitative",$I12="Not relevant"),$I12,ROUND($I12*'Summary of area'!$E$32/'Identify beneficiaries'!$L8,3-LEN(INT($I12*'Summary of area'!$E$32/'Identify beneficiaries'!$L8)))),"")</f>
        <v/>
      </c>
      <c r="S12" s="147" t="str">
        <f>IF('Identify beneficiaries'!I8="Y",IF(OR($I12="Qualitative",$I12="Not relevant"),$I12,ROUND($I12*'Summary of area'!$E$32/'Identify beneficiaries'!$L8,3-LEN(INT($I12*'Summary of area'!$E$32/'Identify beneficiaries'!$L8)))),"")</f>
        <v/>
      </c>
      <c r="T12" s="147" t="str">
        <f>IF('Identify beneficiaries'!J8="Y",IF(OR($I12="Qualitative",$I12="Not relevant"),$I12,ROUND($I12*'Summary of area'!$E$32/'Identify beneficiaries'!$L8,3-LEN(INT($I12*'Summary of area'!$E$32/'Identify beneficiaries'!$L8)))),"")</f>
        <v/>
      </c>
      <c r="U12" s="147" t="str">
        <f>IF('Identify beneficiaries'!K8="Y",IF(OR($I12="Qualitative",$I12="Not relevant"),$I12,ROUND($I12*'Summary of area'!$E$32/'Identify beneficiaries'!$L8,3-LEN(INT($I12*'Summary of area'!$E$32/'Identify beneficiaries'!$L8)))),"")</f>
        <v/>
      </c>
      <c r="V12" s="147" t="str">
        <f>IF(OR(I12="Qualitative",I12="Not relevant"),I12,ROUND(I12*'Summary of area'!$D$32,3-LEN(INT(I12*'Summary of area'!$D$32))))</f>
        <v>Qualitative</v>
      </c>
      <c r="X12" s="14" t="str">
        <f t="shared" si="0"/>
        <v/>
      </c>
      <c r="Y12" s="14" t="str">
        <f t="shared" si="1"/>
        <v/>
      </c>
    </row>
    <row r="13" spans="1:25" ht="13.5" hidden="1" thickBot="1">
      <c r="A13" s="597"/>
      <c r="B13" s="597"/>
      <c r="C13" s="55" t="s">
        <v>53</v>
      </c>
      <c r="D13" s="57"/>
      <c r="E13" s="57"/>
      <c r="F13" s="57"/>
      <c r="G13" s="57"/>
      <c r="H13" s="64"/>
      <c r="I13" s="97"/>
      <c r="J13" s="154" t="e">
        <f>FIND("(",'Describe baseline'!F13)</f>
        <v>#VALUE!</v>
      </c>
      <c r="K13" s="154" t="e">
        <f>FIND("(",'Describe baseline'!G13)</f>
        <v>#VALUE!</v>
      </c>
      <c r="L13" s="154" t="e">
        <f>FIND(":",'Describe baseline'!H13)</f>
        <v>#VALUE!</v>
      </c>
      <c r="M13" s="364"/>
      <c r="N13" s="97"/>
      <c r="O13" s="97"/>
      <c r="P13" s="97"/>
      <c r="Q13" s="97"/>
      <c r="R13" s="97"/>
      <c r="S13" s="97"/>
      <c r="T13" s="97"/>
      <c r="U13" s="97"/>
      <c r="V13" s="97"/>
      <c r="X13" s="14" t="str">
        <f t="shared" si="0"/>
        <v/>
      </c>
      <c r="Y13" s="14" t="str">
        <f t="shared" si="1"/>
        <v/>
      </c>
    </row>
    <row r="14" spans="1:25" ht="13.5" hidden="1" thickBot="1">
      <c r="A14" s="597"/>
      <c r="B14" s="598"/>
      <c r="C14" s="24" t="s">
        <v>54</v>
      </c>
      <c r="D14" s="481">
        <f>IF('Describe baseline'!E14="-","+",IF('Describe baseline'!E14="+","-",'Describe baseline'!E14))</f>
        <v>0</v>
      </c>
      <c r="E14" s="143" t="str">
        <f>IF(ISERROR(LEFT('Describe baseline'!F14,'OUTPUT-all'!J14-2)),"",LEFT('Describe baseline'!F14,'OUTPUT-all'!J14-2))</f>
        <v/>
      </c>
      <c r="F14" s="481" t="str">
        <f>IF(ISERROR(LEFT('Describe baseline'!G14,'OUTPUT-all'!K14-2)),"",LEFT('Describe baseline'!G14,'OUTPUT-all'!K14-2))</f>
        <v/>
      </c>
      <c r="G14" s="481" t="str">
        <f>IF(ISERROR(LEFT('Describe baseline'!H14:H18,'OUTPUT-all'!L14-1)),"",LEFT('Describe baseline'!H14:H18,'OUTPUT-all'!L14-1))</f>
        <v/>
      </c>
      <c r="H14" s="481"/>
      <c r="I14" s="94" t="str">
        <f>IF(D14="Neutral","Not relevant","Qualitative")</f>
        <v>Qualitative</v>
      </c>
      <c r="J14" s="154" t="e">
        <f>FIND("(",'Describe baseline'!F14)</f>
        <v>#VALUE!</v>
      </c>
      <c r="K14" s="154" t="e">
        <f>FIND("(",'Describe baseline'!G14)</f>
        <v>#VALUE!</v>
      </c>
      <c r="L14" s="154" t="e">
        <f>FIND(":",'Describe baseline'!H14)</f>
        <v>#VALUE!</v>
      </c>
      <c r="M14" s="364"/>
      <c r="N14" s="19" t="s">
        <v>147</v>
      </c>
      <c r="O14" s="149" t="str">
        <f>IF('Identify beneficiaries'!E10="Y",IF(OR($I14="Qualitative",$I14="Not relevant"),$I14,$I14*'Summary of area'!$C$22/'Identify beneficiaries'!$L10),"")</f>
        <v/>
      </c>
      <c r="P14" s="149" t="str">
        <f>IF('Identify beneficiaries'!F10="Y",IF(OR($I14="Qualitative",$I14="Not relevant"),$I14,$I14*'Summary of area'!$C$22/'Identify beneficiaries'!$L10),"")</f>
        <v/>
      </c>
      <c r="Q14" s="149" t="str">
        <f>IF('Identify beneficiaries'!G10="Y",IF(OR($I14="Qualitative",$I14="Not relevant"),$I14,$I14*'Summary of area'!$C$22/'Identify beneficiaries'!$L10),"")</f>
        <v/>
      </c>
      <c r="R14" s="149" t="str">
        <f>IF('Identify beneficiaries'!H10="Y",IF(OR($I14="Qualitative",$I14="Not relevant"),$I14,$I14*'Summary of area'!$C$22/'Identify beneficiaries'!$L10),"")</f>
        <v/>
      </c>
      <c r="S14" s="149" t="str">
        <f>IF('Identify beneficiaries'!I10="Y",IF(OR($I14="Qualitative",$I14="Not relevant"),$I14,$I14*'Summary of area'!$C$22/'Identify beneficiaries'!$L10),"")</f>
        <v/>
      </c>
      <c r="T14" s="149" t="str">
        <f>IF('Identify beneficiaries'!J10="Y",IF(OR($I14="Qualitative",$I14="Not relevant"),$I14,$I14*'Summary of area'!$C$22/'Identify beneficiaries'!$L10),"")</f>
        <v>Qualitative</v>
      </c>
      <c r="U14" s="149" t="str">
        <f>IF('Identify beneficiaries'!K10="Y",IF(OR($I14="Qualitative",$I14="Not relevant"),$I14,$I14*'Summary of area'!$C$22/'Identify beneficiaries'!$L10),"")</f>
        <v/>
      </c>
      <c r="V14" s="147" t="str">
        <f>IF(OR(I14="Qualitative",I14="Not relevant"),I14,ROUND(I14*'Summary of area'!$C$21,3-LEN(INT(I14*'Summary of area'!$C$21))))</f>
        <v>Qualitative</v>
      </c>
      <c r="X14" s="14" t="str">
        <f t="shared" si="0"/>
        <v/>
      </c>
      <c r="Y14" s="14" t="str">
        <f t="shared" si="1"/>
        <v/>
      </c>
    </row>
    <row r="15" spans="1:25" ht="13.5" hidden="1" thickBot="1">
      <c r="A15" s="597"/>
      <c r="B15" s="596" t="s">
        <v>21</v>
      </c>
      <c r="C15" s="24" t="s">
        <v>52</v>
      </c>
      <c r="D15" s="481">
        <f>IF('Describe baseline'!E15="-","+",IF('Describe baseline'!E15="+","-",'Describe baseline'!E15))</f>
        <v>0</v>
      </c>
      <c r="E15" s="143" t="str">
        <f>IF(ISERROR(LEFT('Describe baseline'!F15,'OUTPUT-all'!J15-2)),"",LEFT('Describe baseline'!F15,'OUTPUT-all'!J15-2))</f>
        <v/>
      </c>
      <c r="F15" s="481" t="str">
        <f>IF(ISERROR(LEFT('Describe baseline'!G15,'OUTPUT-all'!K15-2)),"",LEFT('Describe baseline'!G15,'OUTPUT-all'!K15-2))</f>
        <v/>
      </c>
      <c r="G15" s="481" t="str">
        <f>IF(ISERROR(LEFT('Describe baseline'!H15:H19,'OUTPUT-all'!L15-1)),"",LEFT('Describe baseline'!H15:H19,'OUTPUT-all'!L15-1))</f>
        <v/>
      </c>
      <c r="H15" s="371" t="str">
        <f>IF(ISERROR(LEFT('Water levels-Business'!K98,'OUTPUT-all'!M15-2)),"",LEFT('Water levels-Business'!K98,'OUTPUT-all'!M15-1))</f>
        <v>High</v>
      </c>
      <c r="I15" s="94" t="str">
        <f>IF('Water levels-Business'!D98="Enter number of businesses",IF(D15="Neutral","Not relevant","Qualitative"),ROUND('Water levels-Business'!H98,3-LEN(INT('Water levels-Business'!H98))))</f>
        <v>Qualitative</v>
      </c>
      <c r="J15" s="154" t="e">
        <f>FIND("(",'Describe baseline'!F15)</f>
        <v>#VALUE!</v>
      </c>
      <c r="K15" s="154" t="e">
        <f>FIND("(",'Describe baseline'!G15)</f>
        <v>#VALUE!</v>
      </c>
      <c r="L15" s="154" t="e">
        <f>FIND(":",'Describe baseline'!H15)</f>
        <v>#VALUE!</v>
      </c>
      <c r="M15" s="154">
        <f>FIND(":",'Water levels-Business'!K98)</f>
        <v>5</v>
      </c>
      <c r="N15" s="19" t="s">
        <v>148</v>
      </c>
      <c r="O15" s="149" t="str">
        <f>IF('Identify beneficiaries'!E11="Y",IF(OR($I15="Qualitative",$I15="Not relevant"),$I15,ROUND($I15*'Summary of area'!$E$33/'Identify beneficiaries'!$L11,3-LEN(INT($I15*'Summary of area'!$E$33/'Identify beneficiaries'!$L11)))),"")</f>
        <v/>
      </c>
      <c r="P15" s="149" t="str">
        <f>IF('Identify beneficiaries'!F11="Y",IF(OR($I15="Qualitative",$I15="Not relevant"),$I15,ROUND($I15*'Summary of area'!$E$33/'Identify beneficiaries'!$L11,3-LEN(INT($I15*'Summary of area'!$E$33/'Identify beneficiaries'!$L11)))),"")</f>
        <v>Qualitative</v>
      </c>
      <c r="Q15" s="149" t="str">
        <f>IF('Identify beneficiaries'!G11="Y",IF(OR($I15="Qualitative",$I15="Not relevant"),$I15,ROUND($I15*'Summary of area'!$E$33/'Identify beneficiaries'!$L11,3-LEN(INT($I15*'Summary of area'!$E$33/'Identify beneficiaries'!$L11)))),"")</f>
        <v/>
      </c>
      <c r="R15" s="149" t="str">
        <f>IF('Identify beneficiaries'!H11="Y",IF(OR($I15="Qualitative",$I15="Not relevant"),$I15,ROUND($I15*'Summary of area'!$E$33/'Identify beneficiaries'!$L11,3-LEN(INT($I15*'Summary of area'!$E$33/'Identify beneficiaries'!$L11)))),"")</f>
        <v>Qualitative</v>
      </c>
      <c r="S15" s="149" t="str">
        <f>IF('Identify beneficiaries'!I11="Y",IF(OR($I15="Qualitative",$I15="Not relevant"),$I15,ROUND($I15*'Summary of area'!$E$33/'Identify beneficiaries'!$L11,3-LEN(INT($I15*'Summary of area'!$E$33/'Identify beneficiaries'!$L11)))),"")</f>
        <v/>
      </c>
      <c r="T15" s="149" t="str">
        <f>IF('Identify beneficiaries'!J11="Y",IF(OR($I15="Qualitative",$I15="Not relevant"),$I15,ROUND($I15*'Summary of area'!$E$33/'Identify beneficiaries'!$L11,3-LEN(INT($I15*'Summary of area'!$E$33/'Identify beneficiaries'!$L11)))),"")</f>
        <v/>
      </c>
      <c r="U15" s="149" t="str">
        <f>IF('Identify beneficiaries'!K11="Y",IF(OR($I15="Qualitative",$I15="Not relevant"),$I15,ROUND($I15*'Summary of area'!$E$33/'Identify beneficiaries'!$L11,3-LEN(INT($I15*'Summary of area'!$E$33/'Identify beneficiaries'!$L11)))),"")</f>
        <v/>
      </c>
      <c r="V15" s="149" t="str">
        <f>IF(OR(I15="Qualitative",I15="Not relevant"),I15,ROUND(I15*'Summary of area'!$D$33,3-LEN(INT(I15*'Summary of area'!$D$33))))</f>
        <v>Qualitative</v>
      </c>
      <c r="X15" s="14" t="str">
        <f t="shared" si="0"/>
        <v/>
      </c>
      <c r="Y15" s="14" t="str">
        <f t="shared" si="1"/>
        <v/>
      </c>
    </row>
    <row r="16" spans="1:25" ht="39" hidden="1" thickBot="1">
      <c r="A16" s="597"/>
      <c r="B16" s="597"/>
      <c r="C16" s="24" t="s">
        <v>53</v>
      </c>
      <c r="D16" s="481">
        <f>IF('Describe baseline'!E16="-","+",IF('Describe baseline'!E16="+","-",'Describe baseline'!E16))</f>
        <v>0</v>
      </c>
      <c r="E16" s="143" t="str">
        <f>IF(ISERROR(LEFT('Describe baseline'!F16,'OUTPUT-all'!J16-2)),"",LEFT('Describe baseline'!F16,'OUTPUT-all'!J16-2))</f>
        <v/>
      </c>
      <c r="F16" s="481" t="str">
        <f>IF(ISERROR(LEFT('Describe baseline'!G16,'OUTPUT-all'!K16-2)),"",LEFT('Describe baseline'!G16,'OUTPUT-all'!K16-2))</f>
        <v/>
      </c>
      <c r="G16" s="481" t="str">
        <f>IF(ISERROR(LEFT('Describe baseline'!H16:H20,'OUTPUT-all'!L16-1)),"",LEFT('Describe baseline'!H16:H20,'OUTPUT-all'!L16-1))</f>
        <v/>
      </c>
      <c r="H16" s="481"/>
      <c r="I16" s="94" t="str">
        <f>IF(D16="Neutral","Not relevant","Qualitative")</f>
        <v>Qualitative</v>
      </c>
      <c r="J16" s="154" t="e">
        <f>FIND("(",'Describe baseline'!F16)</f>
        <v>#VALUE!</v>
      </c>
      <c r="K16" s="154" t="e">
        <f>FIND("(",'Describe baseline'!G16)</f>
        <v>#VALUE!</v>
      </c>
      <c r="L16" s="154" t="e">
        <f>FIND(":",'Describe baseline'!H16)</f>
        <v>#VALUE!</v>
      </c>
      <c r="M16" s="364"/>
      <c r="N16" s="19" t="s">
        <v>149</v>
      </c>
      <c r="O16" s="149" t="str">
        <f>IF('Identify beneficiaries'!E12="Y",IF(OR($I16="Qualitative",$I16="Not relevant"),$I16,$I16*'Summary of area'!$C$22/'Identify beneficiaries'!$L12),"")</f>
        <v/>
      </c>
      <c r="P16" s="149" t="str">
        <f>IF('Identify beneficiaries'!F12="Y",IF(OR($I16="Qualitative",$I16="Not relevant"),$I16,$I16*'Summary of area'!$C$22/'Identify beneficiaries'!$L12),"")</f>
        <v>Qualitative</v>
      </c>
      <c r="Q16" s="149" t="str">
        <f>IF('Identify beneficiaries'!G12="Y",IF(OR($I16="Qualitative",$I16="Not relevant"),$I16,$I16*'Summary of area'!$C$22/'Identify beneficiaries'!$L12),"")</f>
        <v/>
      </c>
      <c r="R16" s="149" t="str">
        <f>IF('Identify beneficiaries'!H12="Y",IF(OR($I16="Qualitative",$I16="Not relevant"),$I16,$I16*'Summary of area'!$C$22/'Identify beneficiaries'!$L12),"")</f>
        <v/>
      </c>
      <c r="S16" s="149" t="str">
        <f>IF('Identify beneficiaries'!I12="Y",IF(OR($I16="Qualitative",$I16="Not relevant"),$I16,$I16*'Summary of area'!$C$22/'Identify beneficiaries'!$L12),"")</f>
        <v/>
      </c>
      <c r="T16" s="149" t="str">
        <f>IF('Identify beneficiaries'!J12="Y",IF(OR($I16="Qualitative",$I16="Not relevant"),$I16,$I16*'Summary of area'!$C$22/'Identify beneficiaries'!$L12),"")</f>
        <v/>
      </c>
      <c r="U16" s="149" t="str">
        <f>IF('Identify beneficiaries'!K12="Y",IF(OR($I16="Qualitative",$I16="Not relevant"),$I16,$I16*'Summary of area'!$C$22/'Identify beneficiaries'!$L12),"")</f>
        <v>Qualitative</v>
      </c>
      <c r="V16" s="149" t="str">
        <f>IF(OR(I16="Qualitative",I16="Not relevant"),I16,ROUND(I16*'Summary of area'!$C$21,3-LEN(INT(I16*'Summary of area'!$C$21))))</f>
        <v>Qualitative</v>
      </c>
      <c r="X16" s="14" t="str">
        <f t="shared" si="0"/>
        <v/>
      </c>
      <c r="Y16" s="14" t="str">
        <f t="shared" si="1"/>
        <v/>
      </c>
    </row>
    <row r="17" spans="1:25" ht="51.75" hidden="1" thickBot="1">
      <c r="A17" s="597"/>
      <c r="B17" s="598"/>
      <c r="C17" s="24" t="s">
        <v>54</v>
      </c>
      <c r="D17" s="481">
        <f>IF('Describe baseline'!E17="-","+",IF('Describe baseline'!E17="+","-",'Describe baseline'!E17))</f>
        <v>0</v>
      </c>
      <c r="E17" s="143" t="str">
        <f>IF(ISERROR(LEFT('Describe baseline'!F17,'OUTPUT-all'!J17-2)),"",LEFT('Describe baseline'!F17,'OUTPUT-all'!J17-2))</f>
        <v/>
      </c>
      <c r="F17" s="481" t="str">
        <f>IF(ISERROR(LEFT('Describe baseline'!G17,'OUTPUT-all'!K17-2)),"",LEFT('Describe baseline'!G17,'OUTPUT-all'!K17-2))</f>
        <v/>
      </c>
      <c r="G17" s="481" t="str">
        <f>IF(ISERROR(LEFT('Describe baseline'!H17:H21,'OUTPUT-all'!L17-1)),"",LEFT('Describe baseline'!H17:H21,'OUTPUT-all'!L17-1))</f>
        <v/>
      </c>
      <c r="H17" s="482"/>
      <c r="I17" s="146" t="str">
        <f>IF(D17="Neutral","Not relevant","Qualitative")</f>
        <v>Qualitative</v>
      </c>
      <c r="J17" s="154" t="e">
        <f>FIND("(",'Describe baseline'!F17)</f>
        <v>#VALUE!</v>
      </c>
      <c r="K17" s="154" t="e">
        <f>FIND("(",'Describe baseline'!G17)</f>
        <v>#VALUE!</v>
      </c>
      <c r="L17" s="154" t="e">
        <f>FIND(":",'Describe baseline'!H17)</f>
        <v>#VALUE!</v>
      </c>
      <c r="M17" s="364"/>
      <c r="N17" s="19" t="s">
        <v>150</v>
      </c>
      <c r="O17" s="149" t="str">
        <f>IF('Identify beneficiaries'!E13="Y",IF(OR($I17="Qualitative",$I17="Not relevant"),$I17,$I17*'Summary of area'!$C$22/'Identify beneficiaries'!$L13),"")</f>
        <v/>
      </c>
      <c r="P17" s="149" t="str">
        <f>IF('Identify beneficiaries'!F13="Y",IF(OR($I17="Qualitative",$I17="Not relevant"),$I17,$I17*'Summary of area'!$C$22/'Identify beneficiaries'!$L13),"")</f>
        <v/>
      </c>
      <c r="Q17" s="149" t="str">
        <f>IF('Identify beneficiaries'!G13="Y",IF(OR($I17="Qualitative",$I17="Not relevant"),$I17,$I17*'Summary of area'!$C$22/'Identify beneficiaries'!$L13),"")</f>
        <v/>
      </c>
      <c r="R17" s="149" t="str">
        <f>IF('Identify beneficiaries'!H13="Y",IF(OR($I17="Qualitative",$I17="Not relevant"),$I17,$I17*'Summary of area'!$C$22/'Identify beneficiaries'!$L13),"")</f>
        <v>Qualitative</v>
      </c>
      <c r="S17" s="149" t="str">
        <f>IF('Identify beneficiaries'!I13="Y",IF(OR($I17="Qualitative",$I17="Not relevant"),$I17,$I17*'Summary of area'!$C$22/'Identify beneficiaries'!$L13),"")</f>
        <v/>
      </c>
      <c r="T17" s="149" t="str">
        <f>IF('Identify beneficiaries'!J13="Y",IF(OR($I17="Qualitative",$I17="Not relevant"),$I17,$I17*'Summary of area'!$C$22/'Identify beneficiaries'!$L13),"")</f>
        <v/>
      </c>
      <c r="U17" s="149" t="str">
        <f>IF('Identify beneficiaries'!K13="Y",IF(OR($I17="Qualitative",$I17="Not relevant"),$I17,$I17*'Summary of area'!$C$22/'Identify beneficiaries'!$L13),"")</f>
        <v>Qualitative</v>
      </c>
      <c r="V17" s="149" t="str">
        <f>IF(OR(I17="Qualitative",I17="Not relevant"),I17,ROUND(I17*'Summary of area'!$C$21,3-LEN(INT(I17*'Summary of area'!$C$21))))</f>
        <v>Qualitative</v>
      </c>
      <c r="X17" s="14" t="str">
        <f t="shared" si="0"/>
        <v/>
      </c>
      <c r="Y17" s="14" t="str">
        <f t="shared" si="1"/>
        <v/>
      </c>
    </row>
    <row r="18" spans="1:25" ht="26.25" hidden="1" thickBot="1">
      <c r="A18" s="597"/>
      <c r="B18" s="596" t="s">
        <v>579</v>
      </c>
      <c r="C18" s="596" t="s">
        <v>52</v>
      </c>
      <c r="D18" s="665">
        <f>IF('Describe baseline'!E18="-","+",IF('Describe baseline'!E18="+","-",'Describe baseline'!E18))</f>
        <v>0</v>
      </c>
      <c r="E18" s="668" t="str">
        <f>IF(ISERROR(LEFT('Describe baseline'!F18,'OUTPUT-all'!J18-2)),"",LEFT('Describe baseline'!F18,'OUTPUT-all'!J18-2))</f>
        <v/>
      </c>
      <c r="F18" s="665" t="str">
        <f>IF(ISERROR(LEFT('Describe baseline'!G18,'OUTPUT-all'!K18-2)),"",LEFT('Describe baseline'!G18,'OUTPUT-all'!K18-2))</f>
        <v/>
      </c>
      <c r="G18" s="665" t="str">
        <f>IF(ISERROR(LEFT('Describe baseline'!H18:H22,'OUTPUT-all'!L18-1)),"",LEFT('Describe baseline'!H18:H22,'OUTPUT-all'!L18-1))</f>
        <v/>
      </c>
      <c r="H18" s="371" t="str">
        <f>IF(ISERROR(LEFT('Water levels-Social Infra'!K180,'OUTPUT-all'!M18-2)),"",LEFT('Water levels-Social Infra'!K180,'OUTPUT-all'!M18-1))</f>
        <v>High</v>
      </c>
      <c r="I18" s="661" t="str">
        <f>IF('Water levels-Social Infra'!D180="Enter number of properties",IF(D18="Neutral","Not relevant","Qualitative"),ROUND('Water levels-Social Infra'!H180,3-LEN(INT('Water levels-Social Infra'!H180))))</f>
        <v>Qualitative</v>
      </c>
      <c r="J18" s="154" t="e">
        <f>FIND("(",'Describe baseline'!F18)</f>
        <v>#VALUE!</v>
      </c>
      <c r="K18" s="154" t="e">
        <f>FIND("(",'Describe baseline'!G18)</f>
        <v>#VALUE!</v>
      </c>
      <c r="L18" s="154" t="e">
        <f>FIND(":",'Describe baseline'!H18)</f>
        <v>#VALUE!</v>
      </c>
      <c r="M18" s="154">
        <f>FIND(":",'Water levels-Social Infra'!K180)</f>
        <v>5</v>
      </c>
      <c r="N18" s="19" t="s">
        <v>151</v>
      </c>
      <c r="O18" s="149" t="str">
        <f>IF('Identify beneficiaries'!E14="Y",IF(OR($I18="Qualitative",$I18="Not relevant"),$I18,ROUND($I18*'Summary of area'!$E$34/'Identify beneficiaries'!$L14,3-LEN(INT($I18*'Summary of area'!$E$34/'Identify beneficiaries'!$L14)))),"")</f>
        <v/>
      </c>
      <c r="P18" s="149" t="str">
        <f>IF('Identify beneficiaries'!F14="Y",IF(OR($I18="Qualitative",$I18="Not relevant"),$I18,ROUND($I18*'Summary of area'!$E$34/'Identify beneficiaries'!$L14,3-LEN(INT($I18*'Summary of area'!$E$34/'Identify beneficiaries'!$L14)))),"")</f>
        <v/>
      </c>
      <c r="Q18" s="149" t="str">
        <f>IF('Identify beneficiaries'!G14="Y",IF(OR($I18="Qualitative",$I18="Not relevant"),$I18,ROUND($I18*'Summary of area'!$E$34/'Identify beneficiaries'!$L14,3-LEN(INT($I18*'Summary of area'!$E$34/'Identify beneficiaries'!$L14)))),"")</f>
        <v/>
      </c>
      <c r="R18" s="149" t="str">
        <f>IF('Identify beneficiaries'!H14="Y",IF(OR($I18="Qualitative",$I18="Not relevant"),$I18,ROUND($I18*'Summary of area'!$E$34/'Identify beneficiaries'!$L14,3-LEN(INT($I18*'Summary of area'!$E$34/'Identify beneficiaries'!$L14)))),"")</f>
        <v>Qualitative</v>
      </c>
      <c r="S18" s="149" t="str">
        <f>IF('Identify beneficiaries'!I14="Y",IF(OR($I18="Qualitative",$I18="Not relevant"),$I18,ROUND($I18*'Summary of area'!$E$34/'Identify beneficiaries'!$L14,3-LEN(INT($I18*'Summary of area'!$E$34/'Identify beneficiaries'!$L14)))),"")</f>
        <v>Qualitative</v>
      </c>
      <c r="T18" s="149" t="str">
        <f>IF('Identify beneficiaries'!J14="Y",IF(OR($I18="Qualitative",$I18="Not relevant"),$I18,ROUND($I18*'Summary of area'!$E$34/'Identify beneficiaries'!$L14,3-LEN(INT($I18*'Summary of area'!$E$34/'Identify beneficiaries'!$L14)))),"")</f>
        <v/>
      </c>
      <c r="U18" s="149" t="str">
        <f>IF('Identify beneficiaries'!K14="Y",IF(OR($I18="Qualitative",$I18="Not relevant"),$I18,ROUND($I18*'Summary of area'!$E$34/'Identify beneficiaries'!$L14,3-LEN(INT($I18*'Summary of area'!$E$34/'Identify beneficiaries'!$L14)))),"")</f>
        <v/>
      </c>
      <c r="V18" s="149" t="str">
        <f>IF(OR(I18="Qualitative",I18="Not relevant"),I18,ROUND(I18*'Summary of area'!$D$34,3-LEN(INT(I18*'Summary of area'!$D$34))))</f>
        <v>Qualitative</v>
      </c>
      <c r="X18" s="14" t="str">
        <f t="shared" si="0"/>
        <v/>
      </c>
      <c r="Y18" s="14" t="str">
        <f t="shared" si="1"/>
        <v/>
      </c>
    </row>
    <row r="19" spans="1:25" ht="12.75" customHeight="1" hidden="1">
      <c r="A19" s="597"/>
      <c r="B19" s="602"/>
      <c r="C19" s="602"/>
      <c r="D19" s="666">
        <f>IF('Describe baseline'!E19="-","+",IF('Describe baseline'!E19="+","-",'Describe baseline'!E19))</f>
        <v>0</v>
      </c>
      <c r="E19" s="668" t="str">
        <f>IF(ISERROR(LEFT('Describe baseline'!F19,'OUTPUT-all'!J19-2)),"",LEFT('Describe baseline'!F19,'OUTPUT-all'!J19-2))</f>
        <v/>
      </c>
      <c r="F19" s="666" t="str">
        <f>IF(ISERROR(LEFT('Describe baseline'!G19:G23,'OUTPUT-all'!K19-2)),"",LEFT('Describe baseline'!G19:G23,'OUTPUT-all'!K19-2))</f>
        <v/>
      </c>
      <c r="G19" s="666" t="str">
        <f>IF(ISERROR(LEFT('Describe baseline'!H19:H23,'OUTPUT-all'!L19-2)),"",LEFT('Describe baseline'!H19:H23,'OUTPUT-all'!L19-2))</f>
        <v/>
      </c>
      <c r="H19" s="480"/>
      <c r="I19" s="662" t="e">
        <f>IF(D19="-",ROUND(#REF!,2-LEN(INT(#REF!)))*-1,ROUND(#REF!,2-LEN(INT(#REF!))))</f>
        <v>#REF!</v>
      </c>
      <c r="J19" s="154" t="e">
        <f>FIND("(",'Describe baseline'!F19)</f>
        <v>#VALUE!</v>
      </c>
      <c r="K19" s="154" t="e">
        <f>FIND("(",'Describe baseline'!G19)</f>
        <v>#VALUE!</v>
      </c>
      <c r="L19" s="154" t="e">
        <f>FIND(":",'Describe baseline'!H19)</f>
        <v>#VALUE!</v>
      </c>
      <c r="M19" s="364"/>
      <c r="N19" s="148"/>
      <c r="O19" s="149"/>
      <c r="P19" s="149"/>
      <c r="Q19" s="149"/>
      <c r="R19" s="149"/>
      <c r="S19" s="149"/>
      <c r="T19" s="149"/>
      <c r="U19" s="149"/>
      <c r="V19" s="149"/>
      <c r="X19" s="14" t="e">
        <f t="shared" si="0"/>
        <v>#REF!</v>
      </c>
      <c r="Y19" s="14" t="e">
        <f t="shared" si="1"/>
        <v>#REF!</v>
      </c>
    </row>
    <row r="20" spans="1:25" ht="12.75" customHeight="1" hidden="1">
      <c r="A20" s="597"/>
      <c r="B20" s="615"/>
      <c r="C20" s="615"/>
      <c r="D20" s="654">
        <f>IF('Describe baseline'!E20="-","+",IF('Describe baseline'!E20="+","-",'Describe baseline'!E20))</f>
        <v>0</v>
      </c>
      <c r="E20" s="668" t="str">
        <f>IF(ISERROR(LEFT('Describe baseline'!F20,'OUTPUT-all'!J20-2)),"",LEFT('Describe baseline'!F20,'OUTPUT-all'!J20-2))</f>
        <v/>
      </c>
      <c r="F20" s="654" t="str">
        <f>IF(ISERROR(LEFT('Describe baseline'!G20:G24,'OUTPUT-all'!K20-2)),"",LEFT('Describe baseline'!G20:G24,'OUTPUT-all'!K20-2))</f>
        <v/>
      </c>
      <c r="G20" s="654" t="str">
        <f>IF(ISERROR(LEFT('Describe baseline'!H20:H24,'OUTPUT-all'!L20-2)),"",LEFT('Describe baseline'!H20:H24,'OUTPUT-all'!L20-2))</f>
        <v/>
      </c>
      <c r="H20" s="476"/>
      <c r="I20" s="651" t="e">
        <f>IF(D20="-",ROUND(#REF!,2-LEN(INT(#REF!)))*-1,ROUND(#REF!,2-LEN(INT(#REF!))))</f>
        <v>#REF!</v>
      </c>
      <c r="J20" s="154" t="e">
        <f>FIND("(",'Describe baseline'!F20)</f>
        <v>#VALUE!</v>
      </c>
      <c r="K20" s="154" t="e">
        <f>FIND("(",'Describe baseline'!G20)</f>
        <v>#VALUE!</v>
      </c>
      <c r="L20" s="154" t="e">
        <f>FIND(":",'Describe baseline'!H20)</f>
        <v>#VALUE!</v>
      </c>
      <c r="M20" s="364"/>
      <c r="N20" s="148"/>
      <c r="O20" s="149"/>
      <c r="P20" s="149"/>
      <c r="Q20" s="149"/>
      <c r="R20" s="149"/>
      <c r="S20" s="149"/>
      <c r="T20" s="149"/>
      <c r="U20" s="149"/>
      <c r="V20" s="149"/>
      <c r="X20" s="14" t="e">
        <f t="shared" si="0"/>
        <v>#REF!</v>
      </c>
      <c r="Y20" s="14" t="e">
        <f t="shared" si="1"/>
        <v>#REF!</v>
      </c>
    </row>
    <row r="21" spans="1:25" ht="12.75" customHeight="1" hidden="1">
      <c r="A21" s="597"/>
      <c r="B21" s="615"/>
      <c r="C21" s="615"/>
      <c r="D21" s="654">
        <f>IF('Describe baseline'!E21="-","+",IF('Describe baseline'!E21="+","-",'Describe baseline'!E21))</f>
        <v>0</v>
      </c>
      <c r="E21" s="668" t="str">
        <f>IF(ISERROR(LEFT('Describe baseline'!F21,'OUTPUT-all'!J21-2)),"",LEFT('Describe baseline'!F21,'OUTPUT-all'!J21-2))</f>
        <v/>
      </c>
      <c r="F21" s="654" t="str">
        <f>IF(ISERROR(LEFT('Describe baseline'!G21:G25,'OUTPUT-all'!K21-2)),"",LEFT('Describe baseline'!G21:G25,'OUTPUT-all'!K21-2))</f>
        <v/>
      </c>
      <c r="G21" s="654" t="str">
        <f>IF(ISERROR(LEFT('Describe baseline'!H21:H25,'OUTPUT-all'!L21-2)),"",LEFT('Describe baseline'!H21:H25,'OUTPUT-all'!L21-2))</f>
        <v/>
      </c>
      <c r="H21" s="476"/>
      <c r="I21" s="651" t="e">
        <f>IF(D21="-",ROUND(#REF!,2-LEN(INT(#REF!)))*-1,ROUND(#REF!,2-LEN(INT(#REF!))))</f>
        <v>#REF!</v>
      </c>
      <c r="J21" s="154" t="e">
        <f>FIND("(",'Describe baseline'!F21)</f>
        <v>#VALUE!</v>
      </c>
      <c r="K21" s="154" t="e">
        <f>FIND("(",'Describe baseline'!G21)</f>
        <v>#VALUE!</v>
      </c>
      <c r="L21" s="154" t="e">
        <f>FIND(":",'Describe baseline'!H21)</f>
        <v>#VALUE!</v>
      </c>
      <c r="M21" s="364"/>
      <c r="N21" s="148"/>
      <c r="O21" s="149"/>
      <c r="P21" s="149"/>
      <c r="Q21" s="149"/>
      <c r="R21" s="149"/>
      <c r="S21" s="149"/>
      <c r="T21" s="149"/>
      <c r="U21" s="149"/>
      <c r="V21" s="149"/>
      <c r="X21" s="14" t="e">
        <f t="shared" si="0"/>
        <v>#REF!</v>
      </c>
      <c r="Y21" s="14" t="e">
        <f t="shared" si="1"/>
        <v>#REF!</v>
      </c>
    </row>
    <row r="22" spans="1:25" ht="12.75" customHeight="1" hidden="1">
      <c r="A22" s="597"/>
      <c r="B22" s="615"/>
      <c r="C22" s="615"/>
      <c r="D22" s="654">
        <f>IF('Describe baseline'!E22="-","+",IF('Describe baseline'!E22="+","-",'Describe baseline'!E22))</f>
        <v>0</v>
      </c>
      <c r="E22" s="668" t="str">
        <f>IF(ISERROR(LEFT('Describe baseline'!F22,'OUTPUT-all'!J22-2)),"",LEFT('Describe baseline'!F22,'OUTPUT-all'!J22-2))</f>
        <v/>
      </c>
      <c r="F22" s="654" t="str">
        <f>IF(ISERROR(LEFT('Describe baseline'!G22:G26,'OUTPUT-all'!K22-2)),"",LEFT('Describe baseline'!G22:G26,'OUTPUT-all'!K22-2))</f>
        <v/>
      </c>
      <c r="G22" s="654" t="str">
        <f>IF(ISERROR(LEFT('Describe baseline'!H22:H26,'OUTPUT-all'!L22-2)),"",LEFT('Describe baseline'!H22:H26,'OUTPUT-all'!L22-2))</f>
        <v/>
      </c>
      <c r="H22" s="476"/>
      <c r="I22" s="651" t="e">
        <f>IF(D22="-",ROUND(#REF!,2-LEN(INT(#REF!)))*-1,ROUND(#REF!,2-LEN(INT(#REF!))))</f>
        <v>#REF!</v>
      </c>
      <c r="J22" s="154" t="e">
        <f>FIND("(",'Describe baseline'!F22)</f>
        <v>#VALUE!</v>
      </c>
      <c r="K22" s="154" t="e">
        <f>FIND("(",'Describe baseline'!G22)</f>
        <v>#VALUE!</v>
      </c>
      <c r="L22" s="154" t="e">
        <f>FIND(":",'Describe baseline'!H22)</f>
        <v>#VALUE!</v>
      </c>
      <c r="M22" s="364"/>
      <c r="N22" s="148"/>
      <c r="O22" s="149"/>
      <c r="P22" s="149"/>
      <c r="Q22" s="149"/>
      <c r="R22" s="149"/>
      <c r="S22" s="149"/>
      <c r="T22" s="149"/>
      <c r="U22" s="149"/>
      <c r="V22" s="149"/>
      <c r="X22" s="14" t="e">
        <f t="shared" si="0"/>
        <v>#REF!</v>
      </c>
      <c r="Y22" s="14" t="e">
        <f t="shared" si="1"/>
        <v>#REF!</v>
      </c>
    </row>
    <row r="23" spans="1:25" ht="12.75" customHeight="1" hidden="1">
      <c r="A23" s="597"/>
      <c r="B23" s="615"/>
      <c r="C23" s="669"/>
      <c r="D23" s="655">
        <f>IF('Describe baseline'!E23="-","+",IF('Describe baseline'!E23="+","-",'Describe baseline'!E23))</f>
        <v>0</v>
      </c>
      <c r="E23" s="668" t="str">
        <f>IF(ISERROR(LEFT('Describe baseline'!F23,'OUTPUT-all'!J23-2)),"",LEFT('Describe baseline'!F23,'OUTPUT-all'!J23-2))</f>
        <v/>
      </c>
      <c r="F23" s="655" t="str">
        <f>IF(ISERROR(LEFT('Describe baseline'!G23:G27,'OUTPUT-all'!K23-2)),"",LEFT('Describe baseline'!G23:G27,'OUTPUT-all'!K23-2))</f>
        <v/>
      </c>
      <c r="G23" s="655" t="str">
        <f>IF(ISERROR(LEFT('Describe baseline'!H23:H27,'OUTPUT-all'!L23-2)),"",LEFT('Describe baseline'!H23:H27,'OUTPUT-all'!L23-2))</f>
        <v/>
      </c>
      <c r="H23" s="477"/>
      <c r="I23" s="652" t="e">
        <f>IF(D23="-",ROUND(#REF!,2-LEN(INT(#REF!)))*-1,ROUND(#REF!,2-LEN(INT(#REF!))))</f>
        <v>#REF!</v>
      </c>
      <c r="J23" s="154" t="e">
        <f>FIND("(",'Describe baseline'!F23)</f>
        <v>#VALUE!</v>
      </c>
      <c r="K23" s="154" t="e">
        <f>FIND("(",'Describe baseline'!G23)</f>
        <v>#VALUE!</v>
      </c>
      <c r="L23" s="154" t="e">
        <f>FIND(":",'Describe baseline'!H23)</f>
        <v>#VALUE!</v>
      </c>
      <c r="M23" s="364"/>
      <c r="N23" s="148"/>
      <c r="O23" s="149"/>
      <c r="P23" s="149"/>
      <c r="Q23" s="149"/>
      <c r="R23" s="149"/>
      <c r="S23" s="149"/>
      <c r="T23" s="149"/>
      <c r="U23" s="149"/>
      <c r="V23" s="149"/>
      <c r="X23" s="14" t="e">
        <f t="shared" si="0"/>
        <v>#REF!</v>
      </c>
      <c r="Y23" s="14" t="e">
        <f t="shared" si="1"/>
        <v>#REF!</v>
      </c>
    </row>
    <row r="24" spans="1:25" ht="26.25" hidden="1" thickBot="1">
      <c r="A24" s="597"/>
      <c r="B24" s="597"/>
      <c r="C24" s="24" t="s">
        <v>53</v>
      </c>
      <c r="D24" s="481">
        <f>IF('Describe baseline'!E24="-","+",IF('Describe baseline'!E24="+","-",'Describe baseline'!E24))</f>
        <v>0</v>
      </c>
      <c r="E24" s="481" t="str">
        <f>IF(ISERROR(LEFT('Describe baseline'!F24,'OUTPUT-all'!J24-2)),"",LEFT('Describe baseline'!F24,'OUTPUT-all'!J24-2))</f>
        <v/>
      </c>
      <c r="F24" s="481" t="str">
        <f>IF(ISERROR(LEFT('Describe baseline'!G24,'OUTPUT-all'!K24-2)),"",LEFT('Describe baseline'!G24,'OUTPUT-all'!K24-2))</f>
        <v/>
      </c>
      <c r="G24" s="481" t="str">
        <f>IF(ISERROR(LEFT('Describe baseline'!H24:H28,'OUTPUT-all'!L24-1)),"",LEFT('Describe baseline'!H24:H28,'OUTPUT-all'!L24-1))</f>
        <v/>
      </c>
      <c r="H24" s="481"/>
      <c r="I24" s="94" t="str">
        <f>IF(D24="Neutral","Not relevant","Qualitative")</f>
        <v>Qualitative</v>
      </c>
      <c r="J24" s="154" t="e">
        <f>FIND("(",'Describe baseline'!F24)</f>
        <v>#VALUE!</v>
      </c>
      <c r="K24" s="154" t="e">
        <f>FIND("(",'Describe baseline'!G24)</f>
        <v>#VALUE!</v>
      </c>
      <c r="L24" s="154" t="e">
        <f>FIND(":",'Describe baseline'!H24)</f>
        <v>#VALUE!</v>
      </c>
      <c r="M24" s="364"/>
      <c r="N24" s="19" t="s">
        <v>152</v>
      </c>
      <c r="O24" s="149" t="str">
        <f>IF('Identify beneficiaries'!E15="Y",IF(OR($I24="Qualitative",$I24="Not relevant"),$I24,$I24*'Summary of area'!$C$22/'Identify beneficiaries'!$L15),"")</f>
        <v>Qualitative</v>
      </c>
      <c r="P24" s="149" t="str">
        <f>IF('Identify beneficiaries'!F15="Y",IF(OR($I24="Qualitative",$I24="Not relevant"),$I24,$I24*'Summary of area'!$C$22/'Identify beneficiaries'!$L15),"")</f>
        <v/>
      </c>
      <c r="Q24" s="149" t="str">
        <f>IF('Identify beneficiaries'!G15="Y",IF(OR($I24="Qualitative",$I24="Not relevant"),$I24,$I24*'Summary of area'!$C$22/'Identify beneficiaries'!$L15),"")</f>
        <v/>
      </c>
      <c r="R24" s="149" t="str">
        <f>IF('Identify beneficiaries'!H15="Y",IF(OR($I24="Qualitative",$I24="Not relevant"),$I24,$I24*'Summary of area'!$C$22/'Identify beneficiaries'!$L15),"")</f>
        <v/>
      </c>
      <c r="S24" s="149" t="str">
        <f>IF('Identify beneficiaries'!I15="Y",IF(OR($I24="Qualitative",$I24="Not relevant"),$I24,$I24*'Summary of area'!$C$22/'Identify beneficiaries'!$L15),"")</f>
        <v/>
      </c>
      <c r="T24" s="149" t="str">
        <f>IF('Identify beneficiaries'!J15="Y",IF(OR($I24="Qualitative",$I24="Not relevant"),$I24,$I24*'Summary of area'!$C$22/'Identify beneficiaries'!$L15),"")</f>
        <v/>
      </c>
      <c r="U24" s="149" t="str">
        <f>IF('Identify beneficiaries'!K15="Y",IF(OR($I24="Qualitative",$I24="Not relevant"),$I24,$I24*'Summary of area'!$C$22/'Identify beneficiaries'!$L15),"")</f>
        <v/>
      </c>
      <c r="V24" s="149" t="str">
        <f>IF(OR(I24="Qualitative",I24="Not relevant"),I24,ROUND(I24*'Summary of area'!$C$21,3-LEN(INT(I24*'Summary of area'!$C$21))))</f>
        <v>Qualitative</v>
      </c>
      <c r="X24" s="14" t="str">
        <f t="shared" si="0"/>
        <v/>
      </c>
      <c r="Y24" s="14" t="str">
        <f t="shared" si="1"/>
        <v/>
      </c>
    </row>
    <row r="25" spans="1:25" ht="26.25" hidden="1" thickBot="1">
      <c r="A25" s="597"/>
      <c r="B25" s="598"/>
      <c r="C25" s="24" t="s">
        <v>54</v>
      </c>
      <c r="D25" s="481">
        <f>IF('Describe baseline'!E25="-","+",IF('Describe baseline'!E25="+","-",'Describe baseline'!E25))</f>
        <v>0</v>
      </c>
      <c r="E25" s="481" t="str">
        <f>IF(ISERROR(LEFT('Describe baseline'!F25,'OUTPUT-all'!J25-2)),"",LEFT('Describe baseline'!F25,'OUTPUT-all'!J25-2))</f>
        <v/>
      </c>
      <c r="F25" s="481" t="str">
        <f>IF(ISERROR(LEFT('Describe baseline'!G25,'OUTPUT-all'!K25-2)),"",LEFT('Describe baseline'!G25,'OUTPUT-all'!K25-2))</f>
        <v/>
      </c>
      <c r="G25" s="481" t="str">
        <f>IF(ISERROR(LEFT('Describe baseline'!H25:H29,'OUTPUT-all'!L25-1)),"",LEFT('Describe baseline'!H25:H29,'OUTPUT-all'!L25-1))</f>
        <v/>
      </c>
      <c r="H25" s="481"/>
      <c r="I25" s="94" t="str">
        <f>IF(D25="Neutral","Not relevant","Qualitative")</f>
        <v>Qualitative</v>
      </c>
      <c r="J25" s="154" t="e">
        <f>FIND("(",'Describe baseline'!F25)</f>
        <v>#VALUE!</v>
      </c>
      <c r="K25" s="154" t="e">
        <f>FIND("(",'Describe baseline'!G25)</f>
        <v>#VALUE!</v>
      </c>
      <c r="L25" s="154" t="e">
        <f>FIND(":",'Describe baseline'!H25)</f>
        <v>#VALUE!</v>
      </c>
      <c r="M25" s="364"/>
      <c r="N25" s="19" t="s">
        <v>153</v>
      </c>
      <c r="O25" s="149" t="str">
        <f>IF('Identify beneficiaries'!E16="Y",IF(OR($I25="Qualitative",$I25="Not relevant"),$I25,$I25*'Summary of area'!$C$22/'Identify beneficiaries'!$L16),"")</f>
        <v/>
      </c>
      <c r="P25" s="149" t="str">
        <f>IF('Identify beneficiaries'!F16="Y",IF(OR($I25="Qualitative",$I25="Not relevant"),$I25,$I25*'Summary of area'!$C$22/'Identify beneficiaries'!$L16),"")</f>
        <v/>
      </c>
      <c r="Q25" s="149" t="str">
        <f>IF('Identify beneficiaries'!G16="Y",IF(OR($I25="Qualitative",$I25="Not relevant"),$I25,$I25*'Summary of area'!$C$22/'Identify beneficiaries'!$L16),"")</f>
        <v/>
      </c>
      <c r="R25" s="149" t="str">
        <f>IF('Identify beneficiaries'!H16="Y",IF(OR($I25="Qualitative",$I25="Not relevant"),$I25,$I25*'Summary of area'!$C$22/'Identify beneficiaries'!$L16),"")</f>
        <v/>
      </c>
      <c r="S25" s="149" t="str">
        <f>IF('Identify beneficiaries'!I16="Y",IF(OR($I25="Qualitative",$I25="Not relevant"),$I25,$I25*'Summary of area'!$C$22/'Identify beneficiaries'!$L16),"")</f>
        <v/>
      </c>
      <c r="T25" s="149" t="str">
        <f>IF('Identify beneficiaries'!J16="Y",IF(OR($I25="Qualitative",$I25="Not relevant"),$I25,$I25*'Summary of area'!$C$22/'Identify beneficiaries'!$L16),"")</f>
        <v>Qualitative</v>
      </c>
      <c r="U25" s="149" t="str">
        <f>IF('Identify beneficiaries'!K16="Y",IF(OR($I25="Qualitative",$I25="Not relevant"),$I25,$I25*'Summary of area'!$C$22/'Identify beneficiaries'!$L16),"")</f>
        <v/>
      </c>
      <c r="V25" s="149" t="str">
        <f>IF(OR(I25="Qualitative",I25="Not relevant"),I25,ROUND(I25*'Summary of area'!$C$21,3-LEN(INT(I25*'Summary of area'!$C$21))))</f>
        <v>Qualitative</v>
      </c>
      <c r="X25" s="14" t="str">
        <f t="shared" si="0"/>
        <v/>
      </c>
      <c r="Y25" s="14" t="str">
        <f t="shared" si="1"/>
        <v/>
      </c>
    </row>
    <row r="26" spans="1:25" ht="24.75" customHeight="1" hidden="1" thickBot="1">
      <c r="A26" s="597"/>
      <c r="B26" s="596" t="s">
        <v>23</v>
      </c>
      <c r="C26" s="596" t="s">
        <v>52</v>
      </c>
      <c r="D26" s="665">
        <f>IF('Describe baseline'!E26="-","+",IF('Describe baseline'!E26="+","-",'Describe baseline'!E26))</f>
        <v>0</v>
      </c>
      <c r="E26" s="668" t="str">
        <f>IF(ISERROR(LEFT('Describe baseline'!F26,'OUTPUT-all'!J26-2)),"",LEFT('Describe baseline'!F26,'OUTPUT-all'!J26-2))</f>
        <v/>
      </c>
      <c r="F26" s="665" t="str">
        <f>IF(ISERROR(LEFT('Describe baseline'!G26,'OUTPUT-all'!K26-2)),"",LEFT('Describe baseline'!G26,'OUTPUT-all'!K26-2))</f>
        <v/>
      </c>
      <c r="G26" s="665" t="str">
        <f>IF(ISERROR(LEFT('Describe baseline'!H26:H30,'OUTPUT-all'!L26-1)),"",LEFT('Describe baseline'!H26:H30,'OUTPUT-all'!L26-1))</f>
        <v/>
      </c>
      <c r="H26" s="371" t="str">
        <f>IF(ISERROR(LEFT('Water levels-Emergency'!K163,'OUTPUT-all'!M26-2)),"",LEFT('Water levels-Emergency'!K163,'OUTPUT-all'!M26-1))</f>
        <v>High</v>
      </c>
      <c r="I26" s="661" t="str">
        <f>IF('Water levels-Emergency'!D163="Enter number of stations",IF(D26="Neutral","Not relevant","Qualitative"),ROUND('Water levels-Emergency'!H163,3-LEN(INT('Water levels-Emergency'!H163))))</f>
        <v>Qualitative</v>
      </c>
      <c r="J26" s="154" t="e">
        <f>FIND("(",'Describe baseline'!F26)</f>
        <v>#VALUE!</v>
      </c>
      <c r="K26" s="154" t="e">
        <f>FIND("(",'Describe baseline'!G26)</f>
        <v>#VALUE!</v>
      </c>
      <c r="L26" s="154" t="e">
        <f>FIND(":",'Describe baseline'!H26)</f>
        <v>#VALUE!</v>
      </c>
      <c r="M26" s="154">
        <f>FIND(":",'Water levels-Emergency'!K163)</f>
        <v>5</v>
      </c>
      <c r="N26" s="19" t="s">
        <v>157</v>
      </c>
      <c r="O26" s="149" t="str">
        <f>IF('Identify beneficiaries'!E17="Y",IF(OR($I26="Qualitative",$I26="Not relevant"),$I26,ROUND($I26*'Summary of area'!$E$35/'Identify beneficiaries'!$L17,3-LEN(INT($I26*'Summary of area'!$E$35/'Identify beneficiaries'!$L17)))),"")</f>
        <v/>
      </c>
      <c r="P26" s="149" t="str">
        <f>IF('Identify beneficiaries'!F17="Y",IF(OR($I26="Qualitative",$I26="Not relevant"),$I26,ROUND($I26*'Summary of area'!$E$35/'Identify beneficiaries'!$L17,3-LEN(INT($I26*'Summary of area'!$E$35/'Identify beneficiaries'!$L17)))),"")</f>
        <v/>
      </c>
      <c r="Q26" s="149" t="str">
        <f>IF('Identify beneficiaries'!G17="Y",IF(OR($I26="Qualitative",$I26="Not relevant"),$I26,ROUND($I26*'Summary of area'!$E$35/'Identify beneficiaries'!$L17,3-LEN(INT($I26*'Summary of area'!$E$35/'Identify beneficiaries'!$L17)))),"")</f>
        <v/>
      </c>
      <c r="R26" s="149" t="str">
        <f>IF('Identify beneficiaries'!H17="Y",IF(OR($I26="Qualitative",$I26="Not relevant"),$I26,ROUND($I26*'Summary of area'!$E$35/'Identify beneficiaries'!$L17,3-LEN(INT($I26*'Summary of area'!$E$35/'Identify beneficiaries'!$L17)))),"")</f>
        <v>Qualitative</v>
      </c>
      <c r="S26" s="149" t="str">
        <f>IF('Identify beneficiaries'!I17="Y",IF(OR($I26="Qualitative",$I26="Not relevant"),$I26,ROUND($I26*'Summary of area'!$E$35/'Identify beneficiaries'!$L17,3-LEN(INT($I26*'Summary of area'!$E$35/'Identify beneficiaries'!$L17)))),"")</f>
        <v>Qualitative</v>
      </c>
      <c r="T26" s="149" t="str">
        <f>IF('Identify beneficiaries'!J17="Y",IF(OR($I26="Qualitative",$I26="Not relevant"),$I26,ROUND($I26*'Summary of area'!$E$35/'Identify beneficiaries'!$L17,3-LEN(INT($I26*'Summary of area'!$E$35/'Identify beneficiaries'!$L17)))),"")</f>
        <v/>
      </c>
      <c r="U26" s="149" t="str">
        <f>IF('Identify beneficiaries'!K17="Y",IF(OR($I26="Qualitative",$I26="Not relevant"),$I26,ROUND($I26*'Summary of area'!$E$35/'Identify beneficiaries'!$L17,3-LEN(INT($I26*'Summary of area'!$E$35/'Identify beneficiaries'!$L17)))),"")</f>
        <v/>
      </c>
      <c r="V26" s="149" t="str">
        <f>IF(OR(I26="Qualitative",I26="Not relevant"),I26,ROUND(I26*'Summary of area'!$D$35,3-LEN(INT(I26*'Summary of area'!$D$35))))</f>
        <v>Qualitative</v>
      </c>
      <c r="X26" s="14" t="str">
        <f t="shared" si="0"/>
        <v/>
      </c>
      <c r="Y26" s="14" t="str">
        <f t="shared" si="1"/>
        <v/>
      </c>
    </row>
    <row r="27" spans="1:25" ht="13.5" hidden="1" thickBot="1">
      <c r="A27" s="597"/>
      <c r="B27" s="615"/>
      <c r="C27" s="669"/>
      <c r="D27" s="655">
        <f>IF('Describe baseline'!E27="-","+",IF('Describe baseline'!E27="+","-",'Describe baseline'!E27))</f>
        <v>0</v>
      </c>
      <c r="E27" s="668" t="str">
        <f>IF(ISERROR(LEFT('Describe baseline'!F27,'OUTPUT-all'!J27-2)),"",LEFT('Describe baseline'!F27,'OUTPUT-all'!J27-2))</f>
        <v/>
      </c>
      <c r="F27" s="655" t="str">
        <f>IF(ISERROR(LEFT('Describe baseline'!G27:G31,'OUTPUT-all'!K27-2)),"",LEFT('Describe baseline'!G27:G31,'OUTPUT-all'!K27-2))</f>
        <v/>
      </c>
      <c r="G27" s="655" t="str">
        <f>IF(ISERROR(LEFT('Describe baseline'!H27:H31,'OUTPUT-all'!L27-2)),"",LEFT('Describe baseline'!H27:H31,'OUTPUT-all'!L27-2))</f>
        <v/>
      </c>
      <c r="H27" s="477"/>
      <c r="I27" s="652" t="e">
        <f>IF(D27="-",ROUND(#REF!,2-LEN(INT(#REF!)))*-1,ROUND(#REF!,2-LEN(INT(#REF!))))</f>
        <v>#REF!</v>
      </c>
      <c r="J27" s="154" t="e">
        <f>FIND("(",'Describe baseline'!F27)</f>
        <v>#VALUE!</v>
      </c>
      <c r="K27" s="154" t="e">
        <f>FIND("(",'Describe baseline'!G27)</f>
        <v>#VALUE!</v>
      </c>
      <c r="L27" s="154" t="e">
        <f>FIND(":",'Describe baseline'!H27)</f>
        <v>#VALUE!</v>
      </c>
      <c r="M27" s="364"/>
      <c r="N27" s="148"/>
      <c r="O27" s="149"/>
      <c r="P27" s="149"/>
      <c r="Q27" s="149"/>
      <c r="R27" s="149"/>
      <c r="S27" s="149"/>
      <c r="T27" s="149"/>
      <c r="U27" s="149"/>
      <c r="V27" s="149"/>
      <c r="X27" s="14" t="e">
        <f t="shared" si="0"/>
        <v>#REF!</v>
      </c>
      <c r="Y27" s="14" t="e">
        <f t="shared" si="1"/>
        <v>#REF!</v>
      </c>
    </row>
    <row r="28" spans="1:25" ht="26.25" hidden="1" thickBot="1">
      <c r="A28" s="597"/>
      <c r="B28" s="615"/>
      <c r="C28" s="24" t="s">
        <v>53</v>
      </c>
      <c r="D28" s="481">
        <f>IF('Describe baseline'!E28="-","+",IF('Describe baseline'!E28="+","-",'Describe baseline'!E28))</f>
        <v>0</v>
      </c>
      <c r="E28" s="481" t="str">
        <f>IF(ISERROR(LEFT('Describe baseline'!F28,'OUTPUT-all'!J28-2)),"",LEFT('Describe baseline'!F28,'OUTPUT-all'!J28-2))</f>
        <v/>
      </c>
      <c r="F28" s="481" t="str">
        <f>IF(ISERROR(LEFT('Describe baseline'!G28,'OUTPUT-all'!K28-2)),"",LEFT('Describe baseline'!G28,'OUTPUT-all'!K28-2))</f>
        <v/>
      </c>
      <c r="G28" s="481" t="str">
        <f>IF(ISERROR(LEFT('Describe baseline'!H28:H32,'OUTPUT-all'!L28-1)),"",LEFT('Describe baseline'!H28:H32,'OUTPUT-all'!L28-1))</f>
        <v/>
      </c>
      <c r="H28" s="481"/>
      <c r="I28" s="94" t="str">
        <f>IF(D28="Neutral","Not relevant","Qualitative")</f>
        <v>Qualitative</v>
      </c>
      <c r="J28" s="154" t="e">
        <f>FIND("(",'Describe baseline'!F28)</f>
        <v>#VALUE!</v>
      </c>
      <c r="K28" s="154" t="e">
        <f>FIND("(",'Describe baseline'!G28)</f>
        <v>#VALUE!</v>
      </c>
      <c r="L28" s="154" t="e">
        <f>FIND(":",'Describe baseline'!H28)</f>
        <v>#VALUE!</v>
      </c>
      <c r="M28" s="364"/>
      <c r="N28" s="19" t="s">
        <v>158</v>
      </c>
      <c r="O28" s="149" t="str">
        <f>IF('Identify beneficiaries'!E18="Y",IF(OR($I28="Qualitative",$I28="Not relevant"),$I28,$I28*'Summary of area'!$C$22/'Identify beneficiaries'!$L18),"")</f>
        <v>Qualitative</v>
      </c>
      <c r="P28" s="149" t="str">
        <f>IF('Identify beneficiaries'!F18="Y",IF(OR($I28="Qualitative",$I28="Not relevant"),$I28,$I28*'Summary of area'!$C$22/'Identify beneficiaries'!$L18),"")</f>
        <v>Qualitative</v>
      </c>
      <c r="Q28" s="149" t="str">
        <f>IF('Identify beneficiaries'!G18="Y",IF(OR($I28="Qualitative",$I28="Not relevant"),$I28,$I28*'Summary of area'!$C$22/'Identify beneficiaries'!$L18),"")</f>
        <v>Qualitative</v>
      </c>
      <c r="R28" s="149" t="str">
        <f>IF('Identify beneficiaries'!H18="Y",IF(OR($I28="Qualitative",$I28="Not relevant"),$I28,$I28*'Summary of area'!$C$22/'Identify beneficiaries'!$L18),"")</f>
        <v>Qualitative</v>
      </c>
      <c r="S28" s="149" t="str">
        <f>IF('Identify beneficiaries'!I18="Y",IF(OR($I28="Qualitative",$I28="Not relevant"),$I28,$I28*'Summary of area'!$C$22/'Identify beneficiaries'!$L18),"")</f>
        <v/>
      </c>
      <c r="T28" s="149" t="str">
        <f>IF('Identify beneficiaries'!J18="Y",IF(OR($I28="Qualitative",$I28="Not relevant"),$I28,$I28*'Summary of area'!$C$22/'Identify beneficiaries'!$L18),"")</f>
        <v/>
      </c>
      <c r="U28" s="149" t="str">
        <f>IF('Identify beneficiaries'!K18="Y",IF(OR($I28="Qualitative",$I28="Not relevant"),$I28,$I28*'Summary of area'!$C$22/'Identify beneficiaries'!$L18),"")</f>
        <v/>
      </c>
      <c r="V28" s="149" t="str">
        <f>IF(OR(I28="Qualitative",I28="Not relevant"),I28,ROUND(I28*'Summary of area'!$C$21,3-LEN(INT(I28*'Summary of area'!$C$21))))</f>
        <v>Qualitative</v>
      </c>
      <c r="X28" s="14" t="str">
        <f t="shared" si="0"/>
        <v/>
      </c>
      <c r="Y28" s="14" t="str">
        <f t="shared" si="1"/>
        <v/>
      </c>
    </row>
    <row r="29" spans="1:25" ht="26.25" hidden="1" thickBot="1">
      <c r="A29" s="597"/>
      <c r="B29" s="669"/>
      <c r="C29" s="24" t="s">
        <v>54</v>
      </c>
      <c r="D29" s="481">
        <f>IF('Describe baseline'!E29="-","+",IF('Describe baseline'!E29="+","-",'Describe baseline'!E29))</f>
        <v>0</v>
      </c>
      <c r="E29" s="481" t="str">
        <f>IF(ISERROR(LEFT('Describe baseline'!F29,'OUTPUT-all'!J29-2)),"",LEFT('Describe baseline'!F29,'OUTPUT-all'!J29-2))</f>
        <v/>
      </c>
      <c r="F29" s="481" t="str">
        <f>IF(ISERROR(LEFT('Describe baseline'!G29,'OUTPUT-all'!K29-2)),"",LEFT('Describe baseline'!G29,'OUTPUT-all'!K29-2))</f>
        <v/>
      </c>
      <c r="G29" s="481" t="str">
        <f>IF(ISERROR(LEFT('Describe baseline'!H29:H33,'OUTPUT-all'!L29-1)),"",LEFT('Describe baseline'!H29:H33,'OUTPUT-all'!L29-1))</f>
        <v/>
      </c>
      <c r="H29" s="481"/>
      <c r="I29" s="94" t="str">
        <f>IF(D29="Neutral","Not relevant","Qualitative")</f>
        <v>Qualitative</v>
      </c>
      <c r="J29" s="154" t="e">
        <f>FIND("(",'Describe baseline'!F29)</f>
        <v>#VALUE!</v>
      </c>
      <c r="K29" s="154" t="e">
        <f>FIND("(",'Describe baseline'!G29)</f>
        <v>#VALUE!</v>
      </c>
      <c r="L29" s="154" t="e">
        <f>FIND(":",'Describe baseline'!H29)</f>
        <v>#VALUE!</v>
      </c>
      <c r="M29" s="364"/>
      <c r="N29" s="19" t="s">
        <v>159</v>
      </c>
      <c r="O29" s="149" t="str">
        <f>IF('Identify beneficiaries'!E19="Y",IF(OR($I29="Qualitative",$I29="Not relevant"),$I29,$I29*'Summary of area'!$C$22/'Identify beneficiaries'!$L19),"")</f>
        <v/>
      </c>
      <c r="P29" s="149" t="str">
        <f>IF('Identify beneficiaries'!F19="Y",IF(OR($I29="Qualitative",$I29="Not relevant"),$I29,$I29*'Summary of area'!$C$22/'Identify beneficiaries'!$L19),"")</f>
        <v/>
      </c>
      <c r="Q29" s="149" t="str">
        <f>IF('Identify beneficiaries'!G19="Y",IF(OR($I29="Qualitative",$I29="Not relevant"),$I29,$I29*'Summary of area'!$C$22/'Identify beneficiaries'!$L19),"")</f>
        <v/>
      </c>
      <c r="R29" s="149" t="str">
        <f>IF('Identify beneficiaries'!H19="Y",IF(OR($I29="Qualitative",$I29="Not relevant"),$I29,$I29*'Summary of area'!$C$22/'Identify beneficiaries'!$L19),"")</f>
        <v/>
      </c>
      <c r="S29" s="149" t="str">
        <f>IF('Identify beneficiaries'!I19="Y",IF(OR($I29="Qualitative",$I29="Not relevant"),$I29,$I29*'Summary of area'!$C$22/'Identify beneficiaries'!$L19),"")</f>
        <v/>
      </c>
      <c r="T29" s="149" t="str">
        <f>IF('Identify beneficiaries'!J19="Y",IF(OR($I29="Qualitative",$I29="Not relevant"),$I29,$I29*'Summary of area'!$C$22/'Identify beneficiaries'!$L19),"")</f>
        <v>Qualitative</v>
      </c>
      <c r="U29" s="149" t="str">
        <f>IF('Identify beneficiaries'!K19="Y",IF(OR($I29="Qualitative",$I29="Not relevant"),$I29,$I29*'Summary of area'!$C$22/'Identify beneficiaries'!$L19),"")</f>
        <v>Qualitative</v>
      </c>
      <c r="V29" s="149" t="str">
        <f>IF(OR(I29="Qualitative",I29="Not relevant"),I29,ROUND(I29*'Summary of area'!$C$21,3-LEN(INT(I29*'Summary of area'!$C$21))))</f>
        <v>Qualitative</v>
      </c>
      <c r="X29" s="14" t="str">
        <f t="shared" si="0"/>
        <v/>
      </c>
      <c r="Y29" s="14" t="str">
        <f t="shared" si="1"/>
        <v/>
      </c>
    </row>
    <row r="30" spans="1:25" ht="41.25" customHeight="1" hidden="1" thickBot="1">
      <c r="A30" s="597"/>
      <c r="B30" s="596" t="s">
        <v>71</v>
      </c>
      <c r="C30" s="596" t="s">
        <v>52</v>
      </c>
      <c r="D30" s="665">
        <f>IF('Describe baseline'!E30="-","+",IF('Describe baseline'!E30="+","-",'Describe baseline'!E30))</f>
        <v>0</v>
      </c>
      <c r="E30" s="668" t="str">
        <f>IF(ISERROR(LEFT('Describe baseline'!F30,'OUTPUT-all'!J30-2)),"",LEFT('Describe baseline'!F30,'OUTPUT-all'!J30-2))</f>
        <v/>
      </c>
      <c r="F30" s="665" t="str">
        <f>IF(ISERROR(LEFT('Describe baseline'!G30,'OUTPUT-all'!K30-2)),"",LEFT('Describe baseline'!G30,'OUTPUT-all'!K30-2))</f>
        <v/>
      </c>
      <c r="G30" s="665" t="str">
        <f>IF(ISERROR(LEFT('Describe baseline'!H30:H34,'OUTPUT-all'!L30-1)),"",LEFT('Describe baseline'!H30:H34,'OUTPUT-all'!L30-1))</f>
        <v/>
      </c>
      <c r="H30" s="371" t="str">
        <f>IF(ISERROR(LEFT('Water levels-Utilities'!K200,'OUTPUT-all'!M30-2)),"",LEFT('Water levels-Utilities'!K200,'OUTPUT-all'!M30-1))</f>
        <v>High</v>
      </c>
      <c r="I30" s="661" t="str">
        <f>IF('Water levels-Utilities'!D200="Enter number of utilities/stations",IF(D30="Neutral","Not relevant","Qualitative"),ROUND('Water levels-Utilities'!H200,3-LEN(INT('Water levels-Utilities'!H200))))</f>
        <v>Qualitative</v>
      </c>
      <c r="J30" s="154" t="e">
        <f>FIND("(",'Describe baseline'!F30)</f>
        <v>#VALUE!</v>
      </c>
      <c r="K30" s="154" t="e">
        <f>FIND("(",'Describe baseline'!G30)</f>
        <v>#VALUE!</v>
      </c>
      <c r="L30" s="154" t="e">
        <f>FIND(":",'Describe baseline'!H30)</f>
        <v>#VALUE!</v>
      </c>
      <c r="M30" s="154">
        <f>FIND(":",'Water levels-Utilities'!K200)</f>
        <v>5</v>
      </c>
      <c r="N30" s="19" t="s">
        <v>154</v>
      </c>
      <c r="O30" s="149" t="str">
        <f>IF('Identify beneficiaries'!E20="Y",IF(OR($I30="Qualitative",$I30="Not relevant"),$I30,ROUND($I30*'Summary of area'!$E$36/'Identify beneficiaries'!$L20,3-LEN(INT($I30*'Summary of area'!$E$36/'Identify beneficiaries'!$L20)))),"")</f>
        <v/>
      </c>
      <c r="P30" s="149" t="str">
        <f>IF('Identify beneficiaries'!F20="Y",IF(OR($I30="Qualitative",$I30="Not relevant"),$I30,ROUND($I30*'Summary of area'!$E$36/'Identify beneficiaries'!$L20,3-LEN(INT($I30*'Summary of area'!$E$36/'Identify beneficiaries'!$L20)))),"")</f>
        <v/>
      </c>
      <c r="Q30" s="149" t="str">
        <f>IF('Identify beneficiaries'!G20="Y",IF(OR($I30="Qualitative",$I30="Not relevant"),$I30,ROUND($I30*'Summary of area'!$E$36/'Identify beneficiaries'!$L20,3-LEN(INT($I30*'Summary of area'!$E$36/'Identify beneficiaries'!$L20)))),"")</f>
        <v/>
      </c>
      <c r="R30" s="149" t="str">
        <f>IF('Identify beneficiaries'!H20="Y",IF(OR($I30="Qualitative",$I30="Not relevant"),$I30,ROUND($I30*'Summary of area'!$E$36/'Identify beneficiaries'!$L20,3-LEN(INT($I30*'Summary of area'!$E$36/'Identify beneficiaries'!$L20)))),"")</f>
        <v/>
      </c>
      <c r="S30" s="149" t="str">
        <f>IF('Identify beneficiaries'!I20="Y",IF(OR($I30="Qualitative",$I30="Not relevant"),$I30,ROUND($I30*'Summary of area'!$E$36/'Identify beneficiaries'!$L20,3-LEN(INT($I30*'Summary of area'!$E$36/'Identify beneficiaries'!$L20)))),"")</f>
        <v>Qualitative</v>
      </c>
      <c r="T30" s="149" t="str">
        <f>IF('Identify beneficiaries'!J20="Y",IF(OR($I30="Qualitative",$I30="Not relevant"),$I30,ROUND($I30*'Summary of area'!$E$36/'Identify beneficiaries'!$L20,3-LEN(INT($I30*'Summary of area'!$E$36/'Identify beneficiaries'!$L20)))),"")</f>
        <v/>
      </c>
      <c r="U30" s="149" t="str">
        <f>IF('Identify beneficiaries'!K20="Y",IF(OR($I30="Qualitative",$I30="Not relevant"),$I30,ROUND($I30*'Summary of area'!$E$36/'Identify beneficiaries'!$L20,3-LEN(INT($I30*'Summary of area'!$E$36/'Identify beneficiaries'!$L20)))),"")</f>
        <v/>
      </c>
      <c r="V30" s="149" t="str">
        <f>IF(OR(I30="Qualitative",I30="Not relevant"),I30,ROUND(I30*'Summary of area'!$D$36,3-LEN(INT(I30*'Summary of area'!$D$36))))</f>
        <v>Qualitative</v>
      </c>
      <c r="X30" s="14" t="str">
        <f t="shared" si="0"/>
        <v/>
      </c>
      <c r="Y30" s="14" t="str">
        <f t="shared" si="1"/>
        <v/>
      </c>
    </row>
    <row r="31" spans="1:25" ht="12.75" customHeight="1" hidden="1">
      <c r="A31" s="597"/>
      <c r="B31" s="615"/>
      <c r="C31" s="615"/>
      <c r="D31" s="654">
        <f>IF('Describe baseline'!E31="-","+",IF('Describe baseline'!E31="+","-",'Describe baseline'!E31))</f>
        <v>0</v>
      </c>
      <c r="E31" s="668" t="str">
        <f>IF(ISERROR(LEFT('Describe baseline'!F31,'OUTPUT-all'!J31-2)),"",LEFT('Describe baseline'!F31,'OUTPUT-all'!J31-2))</f>
        <v/>
      </c>
      <c r="F31" s="654" t="str">
        <f>IF(ISERROR(LEFT('Describe baseline'!G31:G35,'OUTPUT-all'!K31-2)),"",LEFT('Describe baseline'!G31:G35,'OUTPUT-all'!K31-2))</f>
        <v/>
      </c>
      <c r="G31" s="654" t="str">
        <f>IF(ISERROR(LEFT('Describe baseline'!H31:H35,'OUTPUT-all'!L31-2)),"",LEFT('Describe baseline'!H31:H35,'OUTPUT-all'!L31-2))</f>
        <v/>
      </c>
      <c r="H31" s="476"/>
      <c r="I31" s="651" t="e">
        <f>IF(D31="-",ROUND(#REF!,2-LEN(INT(#REF!)))*-1,ROUND(#REF!,2-LEN(INT(#REF!))))</f>
        <v>#REF!</v>
      </c>
      <c r="J31" s="154" t="e">
        <f>FIND("(",'Describe baseline'!F31)</f>
        <v>#VALUE!</v>
      </c>
      <c r="K31" s="154" t="e">
        <f>FIND("(",'Describe baseline'!G31)</f>
        <v>#VALUE!</v>
      </c>
      <c r="L31" s="154" t="e">
        <f>FIND(":",'Describe baseline'!H31)</f>
        <v>#VALUE!</v>
      </c>
      <c r="M31" s="364"/>
      <c r="N31" s="148"/>
      <c r="O31" s="149"/>
      <c r="P31" s="149"/>
      <c r="Q31" s="149"/>
      <c r="R31" s="149"/>
      <c r="S31" s="149"/>
      <c r="T31" s="149"/>
      <c r="U31" s="149"/>
      <c r="V31" s="149"/>
      <c r="X31" s="14" t="e">
        <f t="shared" si="0"/>
        <v>#REF!</v>
      </c>
      <c r="Y31" s="14" t="e">
        <f t="shared" si="1"/>
        <v>#REF!</v>
      </c>
    </row>
    <row r="32" spans="1:25" ht="12.75" customHeight="1" hidden="1">
      <c r="A32" s="597"/>
      <c r="B32" s="615"/>
      <c r="C32" s="615"/>
      <c r="D32" s="654">
        <f>IF('Describe baseline'!E32="-","+",IF('Describe baseline'!E32="+","-",'Describe baseline'!E32))</f>
        <v>0</v>
      </c>
      <c r="E32" s="668" t="str">
        <f>IF(ISERROR(LEFT('Describe baseline'!F32,'OUTPUT-all'!J32-2)),"",LEFT('Describe baseline'!F32,'OUTPUT-all'!J32-2))</f>
        <v/>
      </c>
      <c r="F32" s="654" t="str">
        <f>IF(ISERROR(LEFT('Describe baseline'!G32:G36,'OUTPUT-all'!K32-2)),"",LEFT('Describe baseline'!G32:G36,'OUTPUT-all'!K32-2))</f>
        <v/>
      </c>
      <c r="G32" s="654" t="str">
        <f>IF(ISERROR(LEFT('Describe baseline'!H32:H36,'OUTPUT-all'!L32-2)),"",LEFT('Describe baseline'!H32:H36,'OUTPUT-all'!L32-2))</f>
        <v/>
      </c>
      <c r="H32" s="476"/>
      <c r="I32" s="651" t="e">
        <f>IF(D32="-",ROUND(#REF!,2-LEN(INT(#REF!)))*-1,ROUND(#REF!,2-LEN(INT(#REF!))))</f>
        <v>#REF!</v>
      </c>
      <c r="J32" s="154" t="e">
        <f>FIND("(",'Describe baseline'!F32)</f>
        <v>#VALUE!</v>
      </c>
      <c r="K32" s="154" t="e">
        <f>FIND("(",'Describe baseline'!G32)</f>
        <v>#VALUE!</v>
      </c>
      <c r="L32" s="154" t="e">
        <f>FIND(":",'Describe baseline'!H32)</f>
        <v>#VALUE!</v>
      </c>
      <c r="M32" s="364"/>
      <c r="N32" s="148"/>
      <c r="O32" s="149"/>
      <c r="P32" s="149"/>
      <c r="Q32" s="149"/>
      <c r="R32" s="149"/>
      <c r="S32" s="149"/>
      <c r="T32" s="149"/>
      <c r="U32" s="149"/>
      <c r="V32" s="149"/>
      <c r="X32" s="14" t="e">
        <f t="shared" si="0"/>
        <v>#REF!</v>
      </c>
      <c r="Y32" s="14" t="e">
        <f t="shared" si="1"/>
        <v>#REF!</v>
      </c>
    </row>
    <row r="33" spans="1:25" ht="12.75" customHeight="1" hidden="1">
      <c r="A33" s="597"/>
      <c r="B33" s="615"/>
      <c r="C33" s="615"/>
      <c r="D33" s="654">
        <f>IF('Describe baseline'!E33="-","+",IF('Describe baseline'!E33="+","-",'Describe baseline'!E33))</f>
        <v>0</v>
      </c>
      <c r="E33" s="668" t="str">
        <f>IF(ISERROR(LEFT('Describe baseline'!F33,'OUTPUT-all'!J33-2)),"",LEFT('Describe baseline'!F33,'OUTPUT-all'!J33-2))</f>
        <v/>
      </c>
      <c r="F33" s="654" t="str">
        <f>IF(ISERROR(LEFT('Describe baseline'!G33:G37,'OUTPUT-all'!K33-2)),"",LEFT('Describe baseline'!G33:G37,'OUTPUT-all'!K33-2))</f>
        <v/>
      </c>
      <c r="G33" s="654" t="str">
        <f>IF(ISERROR(LEFT('Describe baseline'!H33:H37,'OUTPUT-all'!L33-2)),"",LEFT('Describe baseline'!H33:H37,'OUTPUT-all'!L33-2))</f>
        <v/>
      </c>
      <c r="H33" s="476"/>
      <c r="I33" s="651" t="e">
        <f>IF(D33="-",ROUND(#REF!,2-LEN(INT(#REF!)))*-1,ROUND(#REF!,2-LEN(INT(#REF!))))</f>
        <v>#REF!</v>
      </c>
      <c r="J33" s="154" t="e">
        <f>FIND("(",'Describe baseline'!F33)</f>
        <v>#VALUE!</v>
      </c>
      <c r="K33" s="154" t="e">
        <f>FIND("(",'Describe baseline'!G33)</f>
        <v>#VALUE!</v>
      </c>
      <c r="L33" s="154" t="e">
        <f>FIND(":",'Describe baseline'!H33)</f>
        <v>#VALUE!</v>
      </c>
      <c r="M33" s="364"/>
      <c r="N33" s="148"/>
      <c r="O33" s="149"/>
      <c r="P33" s="149"/>
      <c r="Q33" s="149"/>
      <c r="R33" s="149"/>
      <c r="S33" s="149"/>
      <c r="T33" s="149"/>
      <c r="U33" s="149"/>
      <c r="V33" s="149"/>
      <c r="X33" s="14" t="e">
        <f t="shared" si="0"/>
        <v>#REF!</v>
      </c>
      <c r="Y33" s="14" t="e">
        <f t="shared" si="1"/>
        <v>#REF!</v>
      </c>
    </row>
    <row r="34" spans="1:25" ht="12.75" customHeight="1" hidden="1">
      <c r="A34" s="597"/>
      <c r="B34" s="615"/>
      <c r="C34" s="669"/>
      <c r="D34" s="655">
        <f>IF('Describe baseline'!E34="-","+",IF('Describe baseline'!E34="+","-",'Describe baseline'!E34))</f>
        <v>0</v>
      </c>
      <c r="E34" s="668" t="str">
        <f>IF(ISERROR(LEFT('Describe baseline'!F34,'OUTPUT-all'!J34-2)),"",LEFT('Describe baseline'!F34,'OUTPUT-all'!J34-2))</f>
        <v/>
      </c>
      <c r="F34" s="655" t="str">
        <f>IF(ISERROR(LEFT('Describe baseline'!G34:G38,'OUTPUT-all'!K34-2)),"",LEFT('Describe baseline'!G34:G38,'OUTPUT-all'!K34-2))</f>
        <v/>
      </c>
      <c r="G34" s="655" t="str">
        <f>IF(ISERROR(LEFT('Describe baseline'!H34:H38,'OUTPUT-all'!L34-2)),"",LEFT('Describe baseline'!H34:H38,'OUTPUT-all'!L34-2))</f>
        <v/>
      </c>
      <c r="H34" s="477"/>
      <c r="I34" s="652" t="e">
        <f>IF(D34="-",ROUND(#REF!,2-LEN(INT(#REF!)))*-1,ROUND(#REF!,2-LEN(INT(#REF!))))</f>
        <v>#REF!</v>
      </c>
      <c r="J34" s="154" t="e">
        <f>FIND("(",'Describe baseline'!F34)</f>
        <v>#VALUE!</v>
      </c>
      <c r="K34" s="154" t="e">
        <f>FIND("(",'Describe baseline'!G34)</f>
        <v>#VALUE!</v>
      </c>
      <c r="L34" s="154" t="e">
        <f>FIND(":",'Describe baseline'!H34)</f>
        <v>#VALUE!</v>
      </c>
      <c r="M34" s="364"/>
      <c r="N34" s="148"/>
      <c r="O34" s="149"/>
      <c r="P34" s="149"/>
      <c r="Q34" s="149"/>
      <c r="R34" s="149"/>
      <c r="S34" s="149"/>
      <c r="T34" s="149"/>
      <c r="U34" s="149"/>
      <c r="V34" s="149"/>
      <c r="X34" s="14" t="e">
        <f t="shared" si="0"/>
        <v>#REF!</v>
      </c>
      <c r="Y34" s="14" t="e">
        <f t="shared" si="1"/>
        <v>#REF!</v>
      </c>
    </row>
    <row r="35" spans="1:25" ht="22.5" customHeight="1" hidden="1" thickBot="1">
      <c r="A35" s="597"/>
      <c r="B35" s="615"/>
      <c r="C35" s="24" t="s">
        <v>53</v>
      </c>
      <c r="D35" s="481">
        <f>IF('Describe baseline'!E35="-","+",IF('Describe baseline'!E35="+","-",'Describe baseline'!E35))</f>
        <v>0</v>
      </c>
      <c r="E35" s="481" t="str">
        <f>IF(ISERROR(LEFT('Describe baseline'!F35,'OUTPUT-all'!J35-2)),"",LEFT('Describe baseline'!F35,'OUTPUT-all'!J35-2))</f>
        <v/>
      </c>
      <c r="F35" s="481" t="str">
        <f>IF(ISERROR(LEFT('Describe baseline'!G35,'OUTPUT-all'!K35-2)),"",LEFT('Describe baseline'!G35,'OUTPUT-all'!K35-2))</f>
        <v/>
      </c>
      <c r="G35" s="481" t="str">
        <f>IF(ISERROR(LEFT('Describe baseline'!H35:H39,'OUTPUT-all'!L35-1)),"",LEFT('Describe baseline'!H35:H39,'OUTPUT-all'!L35-1))</f>
        <v/>
      </c>
      <c r="H35" s="481"/>
      <c r="I35" s="94" t="str">
        <f>IF(D35="Neutral","Not relevant","Qualitative")</f>
        <v>Qualitative</v>
      </c>
      <c r="J35" s="154" t="e">
        <f>FIND("(",'Describe baseline'!F35)</f>
        <v>#VALUE!</v>
      </c>
      <c r="K35" s="154" t="e">
        <f>FIND("(",'Describe baseline'!G35)</f>
        <v>#VALUE!</v>
      </c>
      <c r="L35" s="154" t="e">
        <f>FIND(":",'Describe baseline'!H35)</f>
        <v>#VALUE!</v>
      </c>
      <c r="M35" s="364"/>
      <c r="N35" s="19" t="s">
        <v>155</v>
      </c>
      <c r="O35" s="149" t="str">
        <f>IF('Identify beneficiaries'!E21="Y",IF(OR($I35="Qualitative",$I35="Not relevant"),$I35,$I35*'Summary of area'!$C$22/'Identify beneficiaries'!$L21),"")</f>
        <v>Qualitative</v>
      </c>
      <c r="P35" s="149" t="str">
        <f>IF('Identify beneficiaries'!F21="Y",IF(OR($I35="Qualitative",$I35="Not relevant"),$I35,$I35*'Summary of area'!$C$22/'Identify beneficiaries'!$L21),"")</f>
        <v>Qualitative</v>
      </c>
      <c r="Q35" s="149" t="str">
        <f>IF('Identify beneficiaries'!G21="Y",IF(OR($I35="Qualitative",$I35="Not relevant"),$I35,$I35*'Summary of area'!$C$22/'Identify beneficiaries'!$L21),"")</f>
        <v>Qualitative</v>
      </c>
      <c r="R35" s="149" t="str">
        <f>IF('Identify beneficiaries'!H21="Y",IF(OR($I35="Qualitative",$I35="Not relevant"),$I35,$I35*'Summary of area'!$C$22/'Identify beneficiaries'!$L21),"")</f>
        <v>Qualitative</v>
      </c>
      <c r="S35" s="149" t="str">
        <f>IF('Identify beneficiaries'!I21="Y",IF(OR($I35="Qualitative",$I35="Not relevant"),$I35,$I35*'Summary of area'!$C$22/'Identify beneficiaries'!$L21),"")</f>
        <v/>
      </c>
      <c r="T35" s="149" t="str">
        <f>IF('Identify beneficiaries'!J21="Y",IF(OR($I35="Qualitative",$I35="Not relevant"),$I35,$I35*'Summary of area'!$C$22/'Identify beneficiaries'!$L21),"")</f>
        <v/>
      </c>
      <c r="U35" s="149" t="str">
        <f>IF('Identify beneficiaries'!K21="Y",IF(OR($I35="Qualitative",$I35="Not relevant"),$I35,$I35*'Summary of area'!$C$22/'Identify beneficiaries'!$L21),"")</f>
        <v/>
      </c>
      <c r="V35" s="149" t="str">
        <f>IF(OR(I35="Qualitative",I35="Not relevant"),I35,ROUND(I35*'Summary of area'!$C$21,3-LEN(INT(I35*'Summary of area'!$C$21))))</f>
        <v>Qualitative</v>
      </c>
      <c r="X35" s="14" t="str">
        <f t="shared" si="0"/>
        <v/>
      </c>
      <c r="Y35" s="14" t="str">
        <f t="shared" si="1"/>
        <v/>
      </c>
    </row>
    <row r="36" spans="1:25" ht="26.25" hidden="1" thickBot="1">
      <c r="A36" s="597"/>
      <c r="B36" s="669"/>
      <c r="C36" s="24" t="s">
        <v>54</v>
      </c>
      <c r="D36" s="481">
        <f>IF('Describe baseline'!E36="-","+",IF('Describe baseline'!E36="+","-",'Describe baseline'!E36))</f>
        <v>0</v>
      </c>
      <c r="E36" s="481" t="str">
        <f>IF(ISERROR(LEFT('Describe baseline'!F36,'OUTPUT-all'!J36-2)),"",LEFT('Describe baseline'!F36,'OUTPUT-all'!J36-2))</f>
        <v/>
      </c>
      <c r="F36" s="481" t="str">
        <f>IF(ISERROR(LEFT('Describe baseline'!G36,'OUTPUT-all'!K36-2)),"",LEFT('Describe baseline'!G36,'OUTPUT-all'!K36-2))</f>
        <v/>
      </c>
      <c r="G36" s="481" t="str">
        <f>IF(ISERROR(LEFT('Describe baseline'!H36:H40,'OUTPUT-all'!L36-1)),"",LEFT('Describe baseline'!H36:H40,'OUTPUT-all'!L36-1))</f>
        <v/>
      </c>
      <c r="H36" s="481"/>
      <c r="I36" s="94" t="str">
        <f>IF(D36="Neutral","Not relevant","Qualitative")</f>
        <v>Qualitative</v>
      </c>
      <c r="J36" s="154" t="e">
        <f>FIND("(",'Describe baseline'!F36)</f>
        <v>#VALUE!</v>
      </c>
      <c r="K36" s="154" t="e">
        <f>FIND("(",'Describe baseline'!G36)</f>
        <v>#VALUE!</v>
      </c>
      <c r="L36" s="154" t="e">
        <f>FIND(":",'Describe baseline'!H36)</f>
        <v>#VALUE!</v>
      </c>
      <c r="M36" s="364"/>
      <c r="N36" s="19" t="s">
        <v>156</v>
      </c>
      <c r="O36" s="149" t="str">
        <f>IF('Identify beneficiaries'!E22="Y",IF(OR($I36="Qualitative",$I36="Not relevant"),$I36,$I36*'Summary of area'!$C$22/'Identify beneficiaries'!$L22),"")</f>
        <v/>
      </c>
      <c r="P36" s="149" t="str">
        <f>IF('Identify beneficiaries'!F22="Y",IF(OR($I36="Qualitative",$I36="Not relevant"),$I36,$I36*'Summary of area'!$C$22/'Identify beneficiaries'!$L22),"")</f>
        <v/>
      </c>
      <c r="Q36" s="149" t="str">
        <f>IF('Identify beneficiaries'!G22="Y",IF(OR($I36="Qualitative",$I36="Not relevant"),$I36,$I36*'Summary of area'!$C$22/'Identify beneficiaries'!$L22),"")</f>
        <v/>
      </c>
      <c r="R36" s="149" t="str">
        <f>IF('Identify beneficiaries'!H22="Y",IF(OR($I36="Qualitative",$I36="Not relevant"),$I36,$I36*'Summary of area'!$C$22/'Identify beneficiaries'!$L22),"")</f>
        <v/>
      </c>
      <c r="S36" s="149" t="str">
        <f>IF('Identify beneficiaries'!I22="Y",IF(OR($I36="Qualitative",$I36="Not relevant"),$I36,$I36*'Summary of area'!$C$22/'Identify beneficiaries'!$L22),"")</f>
        <v/>
      </c>
      <c r="T36" s="149" t="str">
        <f>IF('Identify beneficiaries'!J22="Y",IF(OR($I36="Qualitative",$I36="Not relevant"),$I36,$I36*'Summary of area'!$C$22/'Identify beneficiaries'!$L22),"")</f>
        <v>Qualitative</v>
      </c>
      <c r="U36" s="149" t="str">
        <f>IF('Identify beneficiaries'!K22="Y",IF(OR($I36="Qualitative",$I36="Not relevant"),$I36,$I36*'Summary of area'!$C$22/'Identify beneficiaries'!$L22),"")</f>
        <v>Qualitative</v>
      </c>
      <c r="V36" s="149" t="str">
        <f>IF(OR(I36="Qualitative",I36="Not relevant"),I36,ROUND(I36*'Summary of area'!$C$21,3-LEN(INT(I36*'Summary of area'!$C$21))))</f>
        <v>Qualitative</v>
      </c>
      <c r="X36" s="14" t="str">
        <f t="shared" si="0"/>
        <v/>
      </c>
      <c r="Y36" s="14" t="str">
        <f t="shared" si="1"/>
        <v/>
      </c>
    </row>
    <row r="37" spans="1:25" ht="25.5" customHeight="1" hidden="1" thickBot="1">
      <c r="A37" s="597"/>
      <c r="B37" s="596" t="s">
        <v>815</v>
      </c>
      <c r="C37" s="596" t="s">
        <v>52</v>
      </c>
      <c r="D37" s="665">
        <f>IF('Describe baseline'!E37="-","+",IF('Describe baseline'!E37="+","-",'Describe baseline'!E37))</f>
        <v>0</v>
      </c>
      <c r="E37" s="668" t="str">
        <f>IF(ISERROR(LEFT('Describe baseline'!F37,'OUTPUT-all'!J37-2)),"",LEFT('Describe baseline'!F37,'OUTPUT-all'!J37-2))</f>
        <v/>
      </c>
      <c r="F37" s="665" t="str">
        <f>IF(ISERROR(LEFT('Describe baseline'!G37,'OUTPUT-all'!K37-2)),"",LEFT('Describe baseline'!G37,'OUTPUT-all'!K37-2))</f>
        <v/>
      </c>
      <c r="G37" s="665" t="str">
        <f>IF(ISERROR(LEFT('Describe baseline'!H37:H41,'OUTPUT-all'!L37-1)),"",LEFT('Describe baseline'!H37:H41,'OUTPUT-all'!L37-1))</f>
        <v/>
      </c>
      <c r="H37" s="371" t="str">
        <f>"Road: "&amp;IF(ISERROR(LEFT('Water levels-Transport (road)'!K224,'OUTPUT-all'!M37-2)),"",LEFT('Water levels-Transport (road)'!K225,'OUTPUT-all'!M37-1))</f>
        <v>Road: High</v>
      </c>
      <c r="I37" s="485" t="str">
        <f>IF('Water levels-Transport (road)'!D224="Enter delay",IF(D37="Neutral","Not relevant","Qualitative"),ROUND('Water levels-Transport (road)'!H224,3-LEN(INT('Water levels-Transport (road)'!H224))))</f>
        <v>Qualitative</v>
      </c>
      <c r="J37" s="154" t="e">
        <f>FIND("(",'Describe baseline'!F37)</f>
        <v>#VALUE!</v>
      </c>
      <c r="K37" s="154" t="e">
        <f>FIND("(",'Describe baseline'!G37)</f>
        <v>#VALUE!</v>
      </c>
      <c r="L37" s="154" t="e">
        <f>FIND(":",'Describe baseline'!H37)</f>
        <v>#VALUE!</v>
      </c>
      <c r="M37" s="154">
        <f>FIND(":",'Water levels-Transport (road)'!K224)</f>
        <v>5</v>
      </c>
      <c r="N37" s="19" t="s">
        <v>160</v>
      </c>
      <c r="O37" s="149" t="str">
        <f>IF('Identify beneficiaries'!E23="Y",IF(OR($I37="Qualitative",$I37="Not relevant"),$I37,ROUND($I37*'Summary of area'!$E$37/'Identify beneficiaries'!$L23,3-LEN(INT($I37*'Summary of area'!$E$37/'Identify beneficiaries'!$L23)))),"")</f>
        <v/>
      </c>
      <c r="P37" s="149" t="str">
        <f>IF('Identify beneficiaries'!F23="Y",IF(OR($I37="Qualitative",$I37="Not relevant"),$I37,ROUND($I37*'Summary of area'!$E$37/'Identify beneficiaries'!$L23,3-LEN(INT($I37*'Summary of area'!$E$37/'Identify beneficiaries'!$L23)))),"")</f>
        <v/>
      </c>
      <c r="Q37" s="149" t="str">
        <f>IF('Identify beneficiaries'!G23="Y",IF(OR($I37="Qualitative",$I37="Not relevant"),$I37,ROUND($I37*'Summary of area'!$E$37/'Identify beneficiaries'!$L23,3-LEN(INT($I37*'Summary of area'!$E$37/'Identify beneficiaries'!$L23)))),"")</f>
        <v/>
      </c>
      <c r="R37" s="149" t="str">
        <f>IF('Identify beneficiaries'!H23="Y",IF(OR($I37="Qualitative",$I37="Not relevant"),$I37,ROUND($I37*'Summary of area'!$E$37/'Identify beneficiaries'!$L23,3-LEN(INT($I37*'Summary of area'!$E$37/'Identify beneficiaries'!$L23)))),"")</f>
        <v>Qualitative</v>
      </c>
      <c r="S37" s="149" t="str">
        <f>IF('Identify beneficiaries'!I23="Y",IF(OR($I37="Qualitative",$I37="Not relevant"),$I37,ROUND($I37*'Summary of area'!$E$37/'Identify beneficiaries'!$L23,3-LEN(INT($I37*'Summary of area'!$E$37/'Identify beneficiaries'!$L23)))),"")</f>
        <v>Qualitative</v>
      </c>
      <c r="T37" s="149" t="str">
        <f>IF('Identify beneficiaries'!J23="Y",IF(OR($I37="Qualitative",$I37="Not relevant"),$I37,ROUND($I37*'Summary of area'!$E$37/'Identify beneficiaries'!$L23,3-LEN(INT($I37*'Summary of area'!$E$37/'Identify beneficiaries'!$L23)))),"")</f>
        <v/>
      </c>
      <c r="U37" s="149" t="str">
        <f>IF('Identify beneficiaries'!K23="Y",IF(OR($I37="Qualitative",$I37="Not relevant"),$I37,ROUND($I37*'Summary of area'!$E$37/'Identify beneficiaries'!$L23,3-LEN(INT($I37*'Summary of area'!$E$37/'Identify beneficiaries'!$L23)))),"")</f>
        <v/>
      </c>
      <c r="V37" s="149" t="str">
        <f>IF(OR(I37="Qualitative",I37="Not relevant"),I37,ROUND(I37*'Summary of area'!$D$37,3-LEN(INT(I37*'Summary of area'!$D$37))))</f>
        <v>Qualitative</v>
      </c>
      <c r="X37" s="14" t="str">
        <f t="shared" si="0"/>
        <v/>
      </c>
      <c r="Y37" s="14" t="str">
        <f t="shared" si="1"/>
        <v/>
      </c>
    </row>
    <row r="38" spans="1:25" ht="25.5" customHeight="1" hidden="1" thickBot="1">
      <c r="A38" s="597"/>
      <c r="B38" s="602"/>
      <c r="C38" s="602"/>
      <c r="D38" s="666">
        <f>IF('Describe baseline'!E38="-","+",IF('Describe baseline'!E38="+","-",'Describe baseline'!E38))</f>
        <v>0</v>
      </c>
      <c r="E38" s="668" t="str">
        <f>IF(ISERROR(LEFT('Describe baseline'!F38,'OUTPUT-all'!J38-2)),"",LEFT('Describe baseline'!F38,'OUTPUT-all'!J38-2))</f>
        <v/>
      </c>
      <c r="F38" s="666" t="str">
        <f>IF(ISERROR(LEFT('Describe baseline'!G38:G42,'OUTPUT-all'!K38-2)),"",LEFT('Describe baseline'!G38:G42,'OUTPUT-all'!K38-2))</f>
        <v/>
      </c>
      <c r="G38" s="666" t="str">
        <f>IF(ISERROR(LEFT('Describe baseline'!H38:H42,'OUTPUT-all'!L38-2)),"",LEFT('Describe baseline'!H38:H42,'OUTPUT-all'!L38-2))</f>
        <v/>
      </c>
      <c r="H38" s="371" t="str">
        <f>"Rail: "&amp;IF(ISERROR(LEFT('Water levels-Transport (rail)'!K175,'OUTPUT-all'!M38-2)),"",LEFT('Water levels-Transport (rail)'!K175,'OUTPUT-all'!M38-1))</f>
        <v xml:space="preserve">Rail: </v>
      </c>
      <c r="I38" s="485">
        <f>IF('Water levels-Transport (rail)'!D173="Enter delay",IF(D38="Neutral","Not relevant","Qualitative"),ROUND('Water levels-Transport (rail)'!H173,3-LEN(INT('Water levels-Transport (rail)'!H173))))</f>
        <v>0</v>
      </c>
      <c r="J38" s="154" t="e">
        <f>FIND("(",'Describe baseline'!F38)</f>
        <v>#VALUE!</v>
      </c>
      <c r="K38" s="154" t="e">
        <f>FIND("(",'Describe baseline'!G38)</f>
        <v>#VALUE!</v>
      </c>
      <c r="L38" s="154" t="e">
        <f>FIND(":",'Describe baseline'!H38)</f>
        <v>#VALUE!</v>
      </c>
      <c r="M38" s="154" t="e">
        <f>FIND(":",'Water levels-Transport (rail)'!K173)</f>
        <v>#VALUE!</v>
      </c>
      <c r="N38" s="19" t="s">
        <v>160</v>
      </c>
      <c r="O38" s="149" t="str">
        <f>IF('Identify beneficiaries'!E24="Y",IF(OR($I38="Qualitative",$I38="Not relevant"),$I38,ROUND($I38*'Summary of area'!$E$38/'Identify beneficiaries'!$L24,3-LEN(INT($I38*'Summary of area'!$E$38/'Identify beneficiaries'!$L24)))),"")</f>
        <v/>
      </c>
      <c r="P38" s="149" t="str">
        <f>IF('Identify beneficiaries'!F24="Y",IF(OR($I38="Qualitative",$I38="Not relevant"),$I38,ROUND($I38*'Summary of area'!$E$38/'Identify beneficiaries'!$L24,3-LEN(INT($I38*'Summary of area'!$E$38/'Identify beneficiaries'!$L24)))),"")</f>
        <v/>
      </c>
      <c r="Q38" s="149" t="str">
        <f>IF('Identify beneficiaries'!G24="Y",IF(OR($I38="Qualitative",$I38="Not relevant"),$I38,ROUND($I38*'Summary of area'!$E$38/'Identify beneficiaries'!$L24,3-LEN(INT($I38*'Summary of area'!$E$38/'Identify beneficiaries'!$L24)))),"")</f>
        <v/>
      </c>
      <c r="R38" s="149" t="str">
        <f>IF('Identify beneficiaries'!H24="Y",IF(OR($I38="Qualitative",$I38="Not relevant"),$I38,ROUND($I38*'Summary of area'!$E$38/'Identify beneficiaries'!$L24,3-LEN(INT($I38*'Summary of area'!$E$38/'Identify beneficiaries'!$L24)))),"")</f>
        <v/>
      </c>
      <c r="S38" s="149">
        <f>IF('Identify beneficiaries'!I24="Y",IF(OR($I38="Qualitative",$I38="Not relevant"),$I38,ROUND($I38*'Summary of area'!$E$38/'Identify beneficiaries'!$L24,3-LEN(INT($I38*'Summary of area'!$E$38/'Identify beneficiaries'!$L24)))),"")</f>
        <v>0</v>
      </c>
      <c r="T38" s="149" t="str">
        <f>IF('Identify beneficiaries'!J24="Y",IF(OR($I38="Qualitative",$I38="Not relevant"),$I38,ROUND($I38*'Summary of area'!$E$38/'Identify beneficiaries'!$L24,3-LEN(INT($I38*'Summary of area'!$E$38/'Identify beneficiaries'!$L24)))),"")</f>
        <v/>
      </c>
      <c r="U38" s="149" t="str">
        <f>IF('Identify beneficiaries'!K24="Y",IF(OR($I38="Qualitative",$I38="Not relevant"),$I38,ROUND($I38*'Summary of area'!$E$38/'Identify beneficiaries'!$L24,3-LEN(INT($I38*'Summary of area'!$E$38/'Identify beneficiaries'!$L24)))),"")</f>
        <v/>
      </c>
      <c r="V38" s="149">
        <f>IF(OR(I38="Qualitative",I38="Not relevant"),I38,ROUND(I38*'Summary of area'!$D$38,3-LEN(INT(I38*'Summary of area'!$D$38))))</f>
        <v>0</v>
      </c>
      <c r="X38" s="14" t="str">
        <f t="shared" si="0"/>
        <v/>
      </c>
      <c r="Y38" s="14" t="str">
        <f t="shared" si="1"/>
        <v/>
      </c>
    </row>
    <row r="39" spans="1:25" ht="12.75" customHeight="1" hidden="1">
      <c r="A39" s="597"/>
      <c r="B39" s="602"/>
      <c r="C39" s="602"/>
      <c r="D39" s="666">
        <f>IF('Describe baseline'!E39="-","+",IF('Describe baseline'!E39="+","-",'Describe baseline'!E39))</f>
        <v>0</v>
      </c>
      <c r="E39" s="668" t="str">
        <f>IF(ISERROR(LEFT('Describe baseline'!F39,'OUTPUT-all'!J39-2)),"",LEFT('Describe baseline'!F39,'OUTPUT-all'!J39-2))</f>
        <v/>
      </c>
      <c r="F39" s="666" t="str">
        <f>IF(ISERROR(LEFT('Describe baseline'!G39:G43,'OUTPUT-all'!K39-2)),"",LEFT('Describe baseline'!G39:G43,'OUTPUT-all'!K39-2))</f>
        <v/>
      </c>
      <c r="G39" s="666" t="str">
        <f>IF(ISERROR(LEFT('Describe baseline'!H39:H43,'OUTPUT-all'!L39-2)),"",LEFT('Describe baseline'!H39:H43,'OUTPUT-all'!L39-2))</f>
        <v/>
      </c>
      <c r="H39" s="480"/>
      <c r="I39" s="486" t="e">
        <f>IF(D39="-",ROUND(#REF!,3-LEN(INT(#REF!)))*-1,ROUND(#REF!,3-LEN(INT(#REF!))))</f>
        <v>#REF!</v>
      </c>
      <c r="J39" s="154" t="e">
        <f>FIND("(",'Describe baseline'!F39)</f>
        <v>#VALUE!</v>
      </c>
      <c r="K39" s="154" t="e">
        <f>FIND("(",'Describe baseline'!G39)</f>
        <v>#VALUE!</v>
      </c>
      <c r="L39" s="154" t="e">
        <f>FIND(":",'Describe baseline'!H39)</f>
        <v>#VALUE!</v>
      </c>
      <c r="M39" s="154">
        <f>FIND(":",'Water levels-Transport (rail)'!K175)</f>
        <v>5</v>
      </c>
      <c r="N39" s="148"/>
      <c r="O39" s="149"/>
      <c r="P39" s="149"/>
      <c r="Q39" s="149"/>
      <c r="R39" s="149"/>
      <c r="S39" s="149"/>
      <c r="T39" s="149"/>
      <c r="U39" s="149"/>
      <c r="V39" s="149"/>
      <c r="X39" s="14" t="e">
        <f t="shared" si="0"/>
        <v>#REF!</v>
      </c>
      <c r="Y39" s="14" t="e">
        <f t="shared" si="1"/>
        <v>#REF!</v>
      </c>
    </row>
    <row r="40" spans="1:25" ht="12.75" customHeight="1" hidden="1">
      <c r="A40" s="597"/>
      <c r="B40" s="615"/>
      <c r="C40" s="615"/>
      <c r="D40" s="654">
        <f>IF('Describe baseline'!E40="-","+",IF('Describe baseline'!E40="+","-",'Describe baseline'!E40))</f>
        <v>0</v>
      </c>
      <c r="E40" s="668" t="str">
        <f>IF(ISERROR(LEFT('Describe baseline'!F40,'OUTPUT-all'!J40-2)),"",LEFT('Describe baseline'!F40,'OUTPUT-all'!J40-2))</f>
        <v/>
      </c>
      <c r="F40" s="654" t="str">
        <f>IF(ISERROR(LEFT('Describe baseline'!G40:G44,'OUTPUT-all'!K40-2)),"",LEFT('Describe baseline'!G40:G44,'OUTPUT-all'!K40-2))</f>
        <v/>
      </c>
      <c r="G40" s="654" t="str">
        <f>IF(ISERROR(LEFT('Describe baseline'!H40:H44,'OUTPUT-all'!L40-2)),"",LEFT('Describe baseline'!H40:H44,'OUTPUT-all'!L40-2))</f>
        <v/>
      </c>
      <c r="H40" s="476"/>
      <c r="I40" s="483" t="e">
        <f>IF(D40="-",ROUND(#REF!,3-LEN(INT(#REF!)))*-1,ROUND(#REF!,3-LEN(INT(#REF!))))</f>
        <v>#REF!</v>
      </c>
      <c r="J40" s="154" t="e">
        <f>FIND("(",'Describe baseline'!F40)</f>
        <v>#VALUE!</v>
      </c>
      <c r="K40" s="154" t="e">
        <f>FIND("(",'Describe baseline'!G40)</f>
        <v>#VALUE!</v>
      </c>
      <c r="L40" s="154" t="e">
        <f>FIND(":",'Describe baseline'!H40)</f>
        <v>#VALUE!</v>
      </c>
      <c r="M40" s="154" t="e">
        <f>FIND(":",'Water levels-Transport (rail)'!K176)</f>
        <v>#VALUE!</v>
      </c>
      <c r="N40" s="148"/>
      <c r="O40" s="149"/>
      <c r="P40" s="149"/>
      <c r="Q40" s="149"/>
      <c r="R40" s="149"/>
      <c r="S40" s="149"/>
      <c r="T40" s="149"/>
      <c r="U40" s="149"/>
      <c r="V40" s="149"/>
      <c r="X40" s="14" t="e">
        <f t="shared" si="0"/>
        <v>#REF!</v>
      </c>
      <c r="Y40" s="14" t="e">
        <f t="shared" si="1"/>
        <v>#REF!</v>
      </c>
    </row>
    <row r="41" spans="1:25" ht="12.75" customHeight="1" hidden="1">
      <c r="A41" s="597"/>
      <c r="B41" s="615"/>
      <c r="C41" s="679"/>
      <c r="D41" s="667">
        <f>IF('Describe baseline'!E41="-","+",IF('Describe baseline'!E41="+","-",'Describe baseline'!E41))</f>
        <v>0</v>
      </c>
      <c r="E41" s="668" t="str">
        <f>IF(ISERROR(LEFT('Describe baseline'!F41,'OUTPUT-all'!J41-2)),"",LEFT('Describe baseline'!F41,'OUTPUT-all'!J41-2))</f>
        <v/>
      </c>
      <c r="F41" s="667" t="str">
        <f>IF(ISERROR(LEFT('Describe baseline'!G41:G45,'OUTPUT-all'!K41-2)),"",LEFT('Describe baseline'!G41:G45,'OUTPUT-all'!K41-2))</f>
        <v/>
      </c>
      <c r="G41" s="667" t="str">
        <f>IF(ISERROR(LEFT('Describe baseline'!H41:H45,'OUTPUT-all'!L41-2)),"",LEFT('Describe baseline'!H41:H45,'OUTPUT-all'!L41-2))</f>
        <v/>
      </c>
      <c r="H41" s="477"/>
      <c r="I41" s="398" t="e">
        <f>IF(D41="-",ROUND(#REF!,3-LEN(INT(#REF!)))*-1,ROUND(#REF!,3-LEN(INT(#REF!))))</f>
        <v>#REF!</v>
      </c>
      <c r="J41" s="154" t="e">
        <f>FIND("(",'Describe baseline'!F41)</f>
        <v>#VALUE!</v>
      </c>
      <c r="K41" s="154" t="e">
        <f>FIND("(",'Describe baseline'!G41)</f>
        <v>#VALUE!</v>
      </c>
      <c r="L41" s="154" t="e">
        <f>FIND(":",'Describe baseline'!H41)</f>
        <v>#VALUE!</v>
      </c>
      <c r="M41" s="154" t="e">
        <f>FIND(":",'Water levels-Transport (rail)'!K177)</f>
        <v>#VALUE!</v>
      </c>
      <c r="N41" s="148"/>
      <c r="O41" s="149"/>
      <c r="P41" s="149"/>
      <c r="Q41" s="149"/>
      <c r="R41" s="149"/>
      <c r="S41" s="149"/>
      <c r="T41" s="149"/>
      <c r="U41" s="149"/>
      <c r="V41" s="149"/>
      <c r="X41" s="14" t="e">
        <f t="shared" si="0"/>
        <v>#REF!</v>
      </c>
      <c r="Y41" s="14" t="e">
        <f t="shared" si="1"/>
        <v>#REF!</v>
      </c>
    </row>
    <row r="42" spans="1:25" ht="39" customHeight="1" hidden="1" thickBot="1">
      <c r="A42" s="597"/>
      <c r="B42" s="615"/>
      <c r="C42" s="596" t="s">
        <v>53</v>
      </c>
      <c r="D42" s="665">
        <f>IF('Describe baseline'!E42="-","+",IF('Describe baseline'!E42="+","-",'Describe baseline'!E42))</f>
        <v>0</v>
      </c>
      <c r="E42" s="665" t="str">
        <f>IF(ISERROR(LEFT('Describe baseline'!F42,'OUTPUT-all'!J42-2)),"",LEFT('Describe baseline'!F42,'OUTPUT-all'!J42-2))</f>
        <v/>
      </c>
      <c r="F42" s="665" t="str">
        <f>IF(ISERROR(LEFT('Describe baseline'!G42,'OUTPUT-all'!K42-2)),"",LEFT('Describe baseline'!G42,'OUTPUT-all'!K42-2))</f>
        <v/>
      </c>
      <c r="G42" s="665" t="str">
        <f>IF(ISERROR(LEFT('Describe baseline'!H42:H46,'OUTPUT-all'!L42-1)),"",LEFT('Describe baseline'!H42:H46,'OUTPUT-all'!L42-1))</f>
        <v/>
      </c>
      <c r="H42" s="371" t="str">
        <f>"Road: "&amp;IF(ISERROR(LEFT('Water levels-Transport (road)'!K225,'OUTPUT-all'!M42-2)),"",LEFT('Water levels-Transport (road)'!K225,'OUTPUT-all'!M42-1))</f>
        <v>Road: High</v>
      </c>
      <c r="I42" s="485" t="str">
        <f>IF('Water levels-Transport (road)'!D225="Enter delay",IF(D37="Neutral","Not relevant","Qualitative"),ROUND('Water levels-Transport (road)'!H225,3-LEN(INT('Water levels-Transport (road)'!H225))))</f>
        <v>Qualitative</v>
      </c>
      <c r="J42" s="154" t="e">
        <f>FIND("(",'Describe baseline'!F42)</f>
        <v>#VALUE!</v>
      </c>
      <c r="K42" s="154" t="e">
        <f>FIND("(",'Describe baseline'!G42)</f>
        <v>#VALUE!</v>
      </c>
      <c r="L42" s="154" t="e">
        <f>FIND(":",'Describe baseline'!H42)</f>
        <v>#VALUE!</v>
      </c>
      <c r="M42" s="154">
        <f>FIND(":",'Water levels-Transport (road)'!K225)</f>
        <v>5</v>
      </c>
      <c r="N42" s="19" t="s">
        <v>829</v>
      </c>
      <c r="O42" s="149" t="str">
        <f>IF('Identify beneficiaries'!E25="Y",IF(OR($I42="Qualitative",$I42="Not relevant"),$I42,$I42*'Summary of area'!$E$37/'Identify beneficiaries'!$L25),"")</f>
        <v>Qualitative</v>
      </c>
      <c r="P42" s="149" t="str">
        <f>IF('Identify beneficiaries'!F25="Y",IF(OR($I42="Qualitative",$I42="Not relevant"),$I42,$I42*'Summary of area'!$E$37/'Identify beneficiaries'!$L25),"")</f>
        <v>Qualitative</v>
      </c>
      <c r="Q42" s="149" t="str">
        <f>IF('Identify beneficiaries'!G25="Y",IF(OR($I42="Qualitative",$I42="Not relevant"),$I42,$I42*'Summary of area'!$E$37/'Identify beneficiaries'!$L25),"")</f>
        <v>Qualitative</v>
      </c>
      <c r="R42" s="149" t="str">
        <f>IF('Identify beneficiaries'!H25="Y",IF(OR($I42="Qualitative",$I42="Not relevant"),$I42,$I42*'Summary of area'!$E$37/'Identify beneficiaries'!$L25),"")</f>
        <v>Qualitative</v>
      </c>
      <c r="S42" s="149" t="str">
        <f>IF('Identify beneficiaries'!I25="Y",IF(OR($I42="Qualitative",$I42="Not relevant"),$I42,$I42*'Summary of area'!$E$37/'Identify beneficiaries'!$L25),"")</f>
        <v/>
      </c>
      <c r="T42" s="149" t="str">
        <f>IF('Identify beneficiaries'!J25="Y",IF(OR($I42="Qualitative",$I42="Not relevant"),$I42,$I42*'Summary of area'!$E$37/'Identify beneficiaries'!$L25),"")</f>
        <v>Qualitative</v>
      </c>
      <c r="U42" s="149" t="str">
        <f>IF('Identify beneficiaries'!K25="Y",IF(OR($I42="Qualitative",$I42="Not relevant"),$I42,$I42*'Summary of area'!$E$37/'Identify beneficiaries'!$L25),"")</f>
        <v/>
      </c>
      <c r="V42" s="149" t="str">
        <f>IF(OR(I42="Qualitative",I42="Not relevant"),I42,ROUND(I42*'Summary of area'!$D$37,3-LEN(INT(I42*'Summary of area'!$D$37))))</f>
        <v>Qualitative</v>
      </c>
      <c r="X42" s="14" t="str">
        <f t="shared" si="0"/>
        <v/>
      </c>
      <c r="Y42" s="14" t="str">
        <f t="shared" si="1"/>
        <v/>
      </c>
    </row>
    <row r="43" spans="1:22" ht="39" customHeight="1" hidden="1" thickBot="1">
      <c r="A43" s="597"/>
      <c r="B43" s="615"/>
      <c r="C43" s="598"/>
      <c r="D43" s="689"/>
      <c r="E43" s="689"/>
      <c r="F43" s="689"/>
      <c r="G43" s="689"/>
      <c r="H43" s="371" t="str">
        <f>"Rail: "&amp;IF(ISERROR(LEFT('Water levels-Transport (rail)'!K175,'OUTPUT-all'!M43-2)),"",LEFT('Water levels-Transport (rail)'!K175,'OUTPUT-all'!M43-1))</f>
        <v>Rail: High</v>
      </c>
      <c r="I43" s="485" t="str">
        <f>IF('Water levels-Transport (rail)'!D175="Enter delay",IF(D38="Neutral","Not relevant","Qualitative"),ROUND('Water levels-Transport (rail)'!H175,3-LEN(INT('Water levels-Transport (rail)'!H175))))</f>
        <v>Qualitative</v>
      </c>
      <c r="J43" s="154" t="e">
        <f>FIND("(",'Describe baseline'!F42)</f>
        <v>#VALUE!</v>
      </c>
      <c r="K43" s="154" t="e">
        <f>FIND("(",'Describe baseline'!G42)</f>
        <v>#VALUE!</v>
      </c>
      <c r="L43" s="154" t="e">
        <f>FIND(":",'Describe baseline'!H42)</f>
        <v>#VALUE!</v>
      </c>
      <c r="M43" s="154">
        <f>FIND(":",'Water levels-Transport (rail)'!K175)</f>
        <v>5</v>
      </c>
      <c r="N43" s="19" t="s">
        <v>830</v>
      </c>
      <c r="O43" s="149" t="str">
        <f>IF('Identify beneficiaries'!E26="Y",IF(OR($I43="Qualitative",$I43="Not relevant"),$I43,$I43*'Summary of area'!$E$38/'Identify beneficiaries'!$L26),"")</f>
        <v>Qualitative</v>
      </c>
      <c r="P43" s="149" t="str">
        <f>IF('Identify beneficiaries'!F26="Y",IF(OR($I43="Qualitative",$I43="Not relevant"),$I43,$I43*'Summary of area'!$E$38/'Identify beneficiaries'!$L26),"")</f>
        <v>Qualitative</v>
      </c>
      <c r="Q43" s="149" t="str">
        <f>IF('Identify beneficiaries'!G26="Y",IF(OR($I43="Qualitative",$I43="Not relevant"),$I43,$I43*'Summary of area'!$E$38/'Identify beneficiaries'!$L26),"")</f>
        <v>Qualitative</v>
      </c>
      <c r="R43" s="149" t="str">
        <f>IF('Identify beneficiaries'!H26="Y",IF(OR($I43="Qualitative",$I43="Not relevant"),$I43,$I43*'Summary of area'!$E$38/'Identify beneficiaries'!$L26),"")</f>
        <v>Qualitative</v>
      </c>
      <c r="S43" s="149" t="str">
        <f>IF('Identify beneficiaries'!I26="Y",IF(OR($I43="Qualitative",$I43="Not relevant"),$I43,$I43*'Summary of area'!$E$38/'Identify beneficiaries'!$L26),"")</f>
        <v/>
      </c>
      <c r="T43" s="149" t="str">
        <f>IF('Identify beneficiaries'!J26="Y",IF(OR($I43="Qualitative",$I43="Not relevant"),$I43,$I43*'Summary of area'!$E$38/'Identify beneficiaries'!$L26),"")</f>
        <v>Qualitative</v>
      </c>
      <c r="U43" s="149" t="str">
        <f>IF('Identify beneficiaries'!K26="Y",IF(OR($I43="Qualitative",$I43="Not relevant"),$I43,$I43*'Summary of area'!$E$38/'Identify beneficiaries'!$L26),"")</f>
        <v/>
      </c>
      <c r="V43" s="149" t="str">
        <f>IF(OR(I43="Qualitative",I43="Not relevant"),I43,ROUND(I43*'Summary of area'!$D$38,3-LEN(INT(I43*'Summary of area'!$D$38))))</f>
        <v>Qualitative</v>
      </c>
    </row>
    <row r="44" spans="1:25" ht="26.25" hidden="1" thickBot="1">
      <c r="A44" s="609"/>
      <c r="B44" s="616"/>
      <c r="C44" s="28" t="s">
        <v>54</v>
      </c>
      <c r="D44" s="29">
        <f>IF('Describe baseline'!E43="-","+",IF('Describe baseline'!E43="+","-",'Describe baseline'!E43))</f>
        <v>0</v>
      </c>
      <c r="E44" s="29" t="str">
        <f>IF(ISERROR(LEFT('Describe baseline'!F43,'OUTPUT-all'!J44-2)),"",LEFT('Describe baseline'!F43,'OUTPUT-all'!J44-2))</f>
        <v/>
      </c>
      <c r="F44" s="29" t="str">
        <f>IF(ISERROR(LEFT('Describe baseline'!G43,'OUTPUT-all'!K44-2)),"",LEFT('Describe baseline'!G43,'OUTPUT-all'!K44-2))</f>
        <v/>
      </c>
      <c r="G44" s="29" t="str">
        <f>IF(ISERROR(LEFT('Describe baseline'!H43:H47,'OUTPUT-all'!L44-1)),"",LEFT('Describe baseline'!H43:H47,'OUTPUT-all'!L44-1))</f>
        <v/>
      </c>
      <c r="H44" s="29"/>
      <c r="I44" s="99" t="str">
        <f>IF(D44="Neutral","Not relevant","Qualitative")</f>
        <v>Qualitative</v>
      </c>
      <c r="J44" s="154" t="e">
        <f>FIND("(",'Describe baseline'!F43)</f>
        <v>#VALUE!</v>
      </c>
      <c r="K44" s="154" t="e">
        <f>FIND("(",'Describe baseline'!G43)</f>
        <v>#VALUE!</v>
      </c>
      <c r="L44" s="154" t="e">
        <f>FIND(":",'Describe baseline'!H43)</f>
        <v>#VALUE!</v>
      </c>
      <c r="M44" s="364"/>
      <c r="N44" s="62" t="s">
        <v>161</v>
      </c>
      <c r="O44" s="150" t="str">
        <f>IF('Identify beneficiaries'!E27="Y",IF(OR($I44="Qualitative",$I44="Not relevant"),$I44,$I44*'Summary of area'!$C$22/'Identify beneficiaries'!$L27),"")</f>
        <v/>
      </c>
      <c r="P44" s="150" t="str">
        <f>IF('Identify beneficiaries'!F27="Y",IF(OR($I44="Qualitative",$I44="Not relevant"),$I44,$I44*'Summary of area'!$C$22/'Identify beneficiaries'!$L27),"")</f>
        <v/>
      </c>
      <c r="Q44" s="150" t="str">
        <f>IF('Identify beneficiaries'!G27="Y",IF(OR($I44="Qualitative",$I44="Not relevant"),$I44,$I44*'Summary of area'!$C$22/'Identify beneficiaries'!$L27),"")</f>
        <v/>
      </c>
      <c r="R44" s="150" t="str">
        <f>IF('Identify beneficiaries'!H27="Y",IF(OR($I44="Qualitative",$I44="Not relevant"),$I44,$I44*'Summary of area'!$C$22/'Identify beneficiaries'!$L27),"")</f>
        <v/>
      </c>
      <c r="S44" s="150" t="str">
        <f>IF('Identify beneficiaries'!I27="Y",IF(OR($I44="Qualitative",$I44="Not relevant"),$I44,$I44*'Summary of area'!$C$22/'Identify beneficiaries'!$L27),"")</f>
        <v/>
      </c>
      <c r="T44" s="150" t="str">
        <f>IF('Identify beneficiaries'!J27="Y",IF(OR($I44="Qualitative",$I44="Not relevant"),$I44,$I44*'Summary of area'!$C$22/'Identify beneficiaries'!$L27),"")</f>
        <v>Qualitative</v>
      </c>
      <c r="U44" s="150" t="str">
        <f>IF('Identify beneficiaries'!K27="Y",IF(OR($I44="Qualitative",$I44="Not relevant"),$I44,$I44*'Summary of area'!$C$22/'Identify beneficiaries'!$L27),"")</f>
        <v>Qualitative</v>
      </c>
      <c r="V44" s="149" t="str">
        <f>IF(OR(I44="Qualitative",I44="Not relevant"),I44,ROUND(I44*'Summary of area'!$C$21,3-LEN(INT(I44*'Summary of area'!$C$21))))</f>
        <v>Qualitative</v>
      </c>
      <c r="X44" s="14" t="str">
        <f aca="true" t="shared" si="2" ref="X44:X107">IF(I44="Qualitative",E44,"")</f>
        <v/>
      </c>
      <c r="Y44" s="14" t="str">
        <f aca="true" t="shared" si="3" ref="Y44:Y107">IF(I44="Qualitative",F44,"")</f>
        <v/>
      </c>
    </row>
    <row r="45" spans="1:25" ht="39" customHeight="1" thickBot="1">
      <c r="A45" s="670" t="s">
        <v>40</v>
      </c>
      <c r="B45" s="614" t="s">
        <v>25</v>
      </c>
      <c r="C45" s="30" t="s">
        <v>52</v>
      </c>
      <c r="D45" s="31">
        <f>IF('Describe baseline'!E44="-","+",IF('Describe baseline'!E44="+","-",'Describe baseline'!E44))</f>
        <v>0</v>
      </c>
      <c r="E45" s="31" t="str">
        <f>IF(ISERROR(LEFT('Describe baseline'!F44,'OUTPUT-all'!J45-2)),"",LEFT('Describe baseline'!F44,'OUTPUT-all'!J45-2))</f>
        <v/>
      </c>
      <c r="F45" s="31" t="str">
        <f>IF(ISERROR(LEFT('Describe baseline'!G44,'OUTPUT-all'!K45-2)),"",LEFT('Describe baseline'!G44,'OUTPUT-all'!K45-2))</f>
        <v/>
      </c>
      <c r="G45" s="31" t="str">
        <f>IF(ISERROR(LEFT('Describe baseline'!H44:H48,'OUTPUT-all'!L45-1)),"",LEFT('Describe baseline'!H44:H48,'OUTPUT-all'!L45-1))</f>
        <v/>
      </c>
      <c r="H45" s="31"/>
      <c r="I45" s="100" t="str">
        <f>IF(D45="Neutral","Not relevant","Qualitative")</f>
        <v>Qualitative</v>
      </c>
      <c r="J45" s="154" t="e">
        <f>FIND("(",'Describe baseline'!F44)</f>
        <v>#VALUE!</v>
      </c>
      <c r="K45" s="154" t="e">
        <f>FIND("(",'Describe baseline'!G44)</f>
        <v>#VALUE!</v>
      </c>
      <c r="L45" s="154" t="e">
        <f>FIND(":",'Describe baseline'!H44)</f>
        <v>#VALUE!</v>
      </c>
      <c r="M45" s="154"/>
      <c r="N45" s="61" t="s">
        <v>162</v>
      </c>
      <c r="O45" s="147" t="str">
        <f>IF('Identify beneficiaries'!E28="Y",IF(OR($I45="Qualitative",$I45="Not relevant"),$I45,$I45*'Summary of area'!$C$22/'Identify beneficiaries'!$L28),"")</f>
        <v>Qualitative</v>
      </c>
      <c r="P45" s="147" t="str">
        <f>IF('Identify beneficiaries'!F28="Y",IF(OR($I45="Qualitative",$I45="Not relevant"),$I45,$I45*'Summary of area'!$C$22/'Identify beneficiaries'!$L28),"")</f>
        <v/>
      </c>
      <c r="Q45" s="147" t="str">
        <f>IF('Identify beneficiaries'!G28="Y",IF(OR($I45="Qualitative",$I45="Not relevant"),$I45,$I45*'Summary of area'!$C$22/'Identify beneficiaries'!$L28),"")</f>
        <v/>
      </c>
      <c r="R45" s="147" t="str">
        <f>IF('Identify beneficiaries'!H28="Y",IF(OR($I45="Qualitative",$I45="Not relevant"),$I45,$I45*'Summary of area'!$C$22/'Identify beneficiaries'!$L28),"")</f>
        <v/>
      </c>
      <c r="S45" s="147" t="str">
        <f>IF('Identify beneficiaries'!I28="Y",IF(OR($I45="Qualitative",$I45="Not relevant"),$I45,$I45*'Summary of area'!$C$22/'Identify beneficiaries'!$L28),"")</f>
        <v/>
      </c>
      <c r="T45" s="147" t="str">
        <f>IF('Identify beneficiaries'!J28="Y",IF(OR($I45="Qualitative",$I45="Not relevant"),$I45,$I45*'Summary of area'!$C$22/'Identify beneficiaries'!$L28),"")</f>
        <v>Qualitative</v>
      </c>
      <c r="U45" s="147" t="str">
        <f>IF('Identify beneficiaries'!K28="Y",IF(OR($I45="Qualitative",$I45="Not relevant"),$I45,$I45*'Summary of area'!$C$22/'Identify beneficiaries'!$L28),"")</f>
        <v/>
      </c>
      <c r="V45" s="147" t="str">
        <f>IF(OR(I45="Qualitative",I45="Not relevant"),I45,ROUND(I45*'Summary of area'!$C$21,3-LEN(INT(I45*'Summary of area'!$C$21))))</f>
        <v>Qualitative</v>
      </c>
      <c r="X45" s="14" t="str">
        <f t="shared" si="2"/>
        <v/>
      </c>
      <c r="Y45" s="14" t="str">
        <f t="shared" si="3"/>
        <v/>
      </c>
    </row>
    <row r="46" spans="1:25" ht="39" customHeight="1" thickBot="1">
      <c r="A46" s="607"/>
      <c r="B46" s="597"/>
      <c r="C46" s="20" t="s">
        <v>53</v>
      </c>
      <c r="D46" s="21">
        <f>IF('Describe baseline'!E45="-","+",IF('Describe baseline'!E45="+","-",'Describe baseline'!E45))</f>
        <v>0</v>
      </c>
      <c r="E46" s="21" t="str">
        <f>IF(ISERROR(LEFT('Describe baseline'!F45,'OUTPUT-all'!J46-2)),"",LEFT('Describe baseline'!F45,'OUTPUT-all'!J46-2))</f>
        <v/>
      </c>
      <c r="F46" s="21" t="str">
        <f>IF(ISERROR(LEFT('Describe baseline'!G45,'OUTPUT-all'!K46-2)),"",LEFT('Describe baseline'!G45,'OUTPUT-all'!K46-2))</f>
        <v/>
      </c>
      <c r="G46" s="21" t="str">
        <f>IF(ISERROR(LEFT('Describe baseline'!H45:H49,'OUTPUT-all'!L46-1)),"",LEFT('Describe baseline'!H45:H49,'OUTPUT-all'!L46-1))</f>
        <v/>
      </c>
      <c r="H46" s="21"/>
      <c r="I46" s="101" t="str">
        <f>IF(D46="Neutral","Not relevant","Qualitative")</f>
        <v>Qualitative</v>
      </c>
      <c r="J46" s="154" t="e">
        <f>FIND("(",'Describe baseline'!F45)</f>
        <v>#VALUE!</v>
      </c>
      <c r="K46" s="154" t="e">
        <f>FIND("(",'Describe baseline'!G45)</f>
        <v>#VALUE!</v>
      </c>
      <c r="L46" s="154" t="e">
        <f>FIND(":",'Describe baseline'!H45)</f>
        <v>#VALUE!</v>
      </c>
      <c r="M46" s="364"/>
      <c r="N46" s="19" t="s">
        <v>163</v>
      </c>
      <c r="O46" s="149" t="str">
        <f>IF('Identify beneficiaries'!E29="Y",IF(OR($I46="Qualitative",$I46="Not relevant"),$I46,$I46*'Summary of area'!$C$22/'Identify beneficiaries'!$L29),"")</f>
        <v/>
      </c>
      <c r="P46" s="149" t="str">
        <f>IF('Identify beneficiaries'!F29="Y",IF(OR($I46="Qualitative",$I46="Not relevant"),$I46,$I46*'Summary of area'!$C$22/'Identify beneficiaries'!$L29),"")</f>
        <v/>
      </c>
      <c r="Q46" s="149" t="str">
        <f>IF('Identify beneficiaries'!G29="Y",IF(OR($I46="Qualitative",$I46="Not relevant"),$I46,$I46*'Summary of area'!$C$22/'Identify beneficiaries'!$L29),"")</f>
        <v>Qualitative</v>
      </c>
      <c r="R46" s="149" t="str">
        <f>IF('Identify beneficiaries'!H29="Y",IF(OR($I46="Qualitative",$I46="Not relevant"),$I46,$I46*'Summary of area'!$C$22/'Identify beneficiaries'!$L29),"")</f>
        <v/>
      </c>
      <c r="S46" s="149" t="str">
        <f>IF('Identify beneficiaries'!I29="Y",IF(OR($I46="Qualitative",$I46="Not relevant"),$I46,$I46*'Summary of area'!$C$22/'Identify beneficiaries'!$L29),"")</f>
        <v/>
      </c>
      <c r="T46" s="149" t="str">
        <f>IF('Identify beneficiaries'!J29="Y",IF(OR($I46="Qualitative",$I46="Not relevant"),$I46,$I46*'Summary of area'!$C$22/'Identify beneficiaries'!$L29),"")</f>
        <v/>
      </c>
      <c r="U46" s="149" t="str">
        <f>IF('Identify beneficiaries'!K29="Y",IF(OR($I46="Qualitative",$I46="Not relevant"),$I46,$I46*'Summary of area'!$C$22/'Identify beneficiaries'!$L29),"")</f>
        <v/>
      </c>
      <c r="V46" s="149" t="str">
        <f>IF(OR(I46="Qualitative",I46="Not relevant"),I46,ROUND(I46*'Summary of area'!$C$21,3-LEN(INT(I46*'Summary of area'!$C$21))))</f>
        <v>Qualitative</v>
      </c>
      <c r="X46" s="14" t="str">
        <f t="shared" si="2"/>
        <v/>
      </c>
      <c r="Y46" s="14" t="str">
        <f t="shared" si="3"/>
        <v/>
      </c>
    </row>
    <row r="47" spans="1:25" ht="51.75" thickBot="1">
      <c r="A47" s="617"/>
      <c r="B47" s="609"/>
      <c r="C47" s="32" t="s">
        <v>54</v>
      </c>
      <c r="D47" s="33">
        <f>IF('Describe baseline'!E46="-","+",IF('Describe baseline'!E46="+","-",'Describe baseline'!E46))</f>
        <v>0</v>
      </c>
      <c r="E47" s="33" t="str">
        <f>IF(ISERROR(LEFT('Describe baseline'!F46,'OUTPUT-all'!J47-2)),"",LEFT('Describe baseline'!F46,'OUTPUT-all'!J47-2))</f>
        <v/>
      </c>
      <c r="F47" s="33" t="str">
        <f>IF(ISERROR(LEFT('Describe baseline'!G46,'OUTPUT-all'!K47-2)),"",LEFT('Describe baseline'!G46,'OUTPUT-all'!K47-2))</f>
        <v/>
      </c>
      <c r="G47" s="33" t="str">
        <f>IF(ISERROR(LEFT('Describe baseline'!H46:H50,'OUTPUT-all'!L47-1)),"",LEFT('Describe baseline'!H46:H50,'OUTPUT-all'!L47-1))</f>
        <v/>
      </c>
      <c r="H47" s="33"/>
      <c r="I47" s="102" t="str">
        <f>IF(D47="Neutral","Not relevant","Qualitative")</f>
        <v>Qualitative</v>
      </c>
      <c r="J47" s="154" t="e">
        <f>FIND("(",'Describe baseline'!F46)</f>
        <v>#VALUE!</v>
      </c>
      <c r="K47" s="154" t="e">
        <f>FIND("(",'Describe baseline'!G46)</f>
        <v>#VALUE!</v>
      </c>
      <c r="L47" s="154" t="e">
        <f>FIND(":",'Describe baseline'!H46)</f>
        <v>#VALUE!</v>
      </c>
      <c r="M47" s="364"/>
      <c r="N47" s="62" t="s">
        <v>164</v>
      </c>
      <c r="O47" s="150" t="str">
        <f>IF('Identify beneficiaries'!E30="Y",IF(OR($I47="Qualitative",$I47="Not relevant"),$I47,$I47*'Summary of area'!$C$22/'Identify beneficiaries'!$L30),"")</f>
        <v/>
      </c>
      <c r="P47" s="150" t="str">
        <f>IF('Identify beneficiaries'!F30="Y",IF(OR($I47="Qualitative",$I47="Not relevant"),$I47,$I47*'Summary of area'!$C$22/'Identify beneficiaries'!$L30),"")</f>
        <v/>
      </c>
      <c r="Q47" s="150" t="str">
        <f>IF('Identify beneficiaries'!G30="Y",IF(OR($I47="Qualitative",$I47="Not relevant"),$I47,$I47*'Summary of area'!$C$22/'Identify beneficiaries'!$L30),"")</f>
        <v/>
      </c>
      <c r="R47" s="150" t="str">
        <f>IF('Identify beneficiaries'!H30="Y",IF(OR($I47="Qualitative",$I47="Not relevant"),$I47,$I47*'Summary of area'!$C$22/'Identify beneficiaries'!$L30),"")</f>
        <v>Qualitative</v>
      </c>
      <c r="S47" s="150" t="str">
        <f>IF('Identify beneficiaries'!I30="Y",IF(OR($I47="Qualitative",$I47="Not relevant"),$I47,$I47*'Summary of area'!$C$22/'Identify beneficiaries'!$L30),"")</f>
        <v/>
      </c>
      <c r="T47" s="150" t="str">
        <f>IF('Identify beneficiaries'!J30="Y",IF(OR($I47="Qualitative",$I47="Not relevant"),$I47,$I47*'Summary of area'!$C$22/'Identify beneficiaries'!$L30),"")</f>
        <v>Qualitative</v>
      </c>
      <c r="U47" s="150" t="str">
        <f>IF('Identify beneficiaries'!K30="Y",IF(OR($I47="Qualitative",$I47="Not relevant"),$I47,$I47*'Summary of area'!$C$22/'Identify beneficiaries'!$L30),"")</f>
        <v/>
      </c>
      <c r="V47" s="150" t="str">
        <f>IF(OR(I47="Qualitative",I47="Not relevant"),I47,ROUND(I47*'Summary of area'!$C$21,3-LEN(INT(I47*'Summary of area'!$C$21))))</f>
        <v>Qualitative</v>
      </c>
      <c r="X47" s="14" t="str">
        <f t="shared" si="2"/>
        <v/>
      </c>
      <c r="Y47" s="14" t="str">
        <f t="shared" si="3"/>
        <v/>
      </c>
    </row>
    <row r="48" spans="1:25" ht="39" thickBot="1">
      <c r="A48" s="611" t="s">
        <v>3</v>
      </c>
      <c r="B48" s="614" t="s">
        <v>26</v>
      </c>
      <c r="C48" s="30" t="s">
        <v>52</v>
      </c>
      <c r="D48" s="31">
        <f>IF('Describe baseline'!E47="-","+",IF('Describe baseline'!E47="+","-",'Describe baseline'!E47))</f>
        <v>0</v>
      </c>
      <c r="E48" s="31" t="str">
        <f>IF(ISERROR(LEFT('Describe baseline'!F47,'OUTPUT-all'!J48-2)),"",LEFT('Describe baseline'!F47,'OUTPUT-all'!J48-2))</f>
        <v/>
      </c>
      <c r="F48" s="31" t="str">
        <f>IF(ISERROR(LEFT('Describe baseline'!G47,'OUTPUT-all'!K48-2)),"",LEFT('Describe baseline'!G47,'OUTPUT-all'!K48-2))</f>
        <v/>
      </c>
      <c r="G48" s="31" t="str">
        <f>IF(ISERROR(LEFT('Describe baseline'!H47,'OUTPUT-all'!L48-1)),"",LEFT('Describe baseline'!H47,'OUTPUT-all'!L48-1))</f>
        <v/>
      </c>
      <c r="H48" s="31"/>
      <c r="I48" s="100" t="str">
        <f>IF(D48="Neutral","Not relevant","Qualitative")</f>
        <v>Qualitative</v>
      </c>
      <c r="J48" s="154" t="e">
        <f>FIND("(",'Describe baseline'!F47)</f>
        <v>#VALUE!</v>
      </c>
      <c r="K48" s="154" t="e">
        <f>FIND("(",'Describe baseline'!G47)</f>
        <v>#VALUE!</v>
      </c>
      <c r="L48" s="154" t="e">
        <f>FIND(":",'Describe baseline'!H47)</f>
        <v>#VALUE!</v>
      </c>
      <c r="M48" s="154"/>
      <c r="N48" s="61" t="s">
        <v>165</v>
      </c>
      <c r="O48" s="147" t="str">
        <f>IF('Identify beneficiaries'!E31="Y",IF(OR($I48="Qualitative",$I48="Not relevant"),$I48,$I48*'Summary of area'!$C$22/'Identify beneficiaries'!$L31),"")</f>
        <v>Qualitative</v>
      </c>
      <c r="P48" s="147" t="str">
        <f>IF('Identify beneficiaries'!F31="Y",IF(OR($I48="Qualitative",$I48="Not relevant"),$I48,$I48*'Summary of area'!$C$22/'Identify beneficiaries'!$L31),"")</f>
        <v>Qualitative</v>
      </c>
      <c r="Q48" s="147" t="str">
        <f>IF('Identify beneficiaries'!G31="Y",IF(OR($I48="Qualitative",$I48="Not relevant"),$I48,$I48*'Summary of area'!$C$22/'Identify beneficiaries'!$L31),"")</f>
        <v>Qualitative</v>
      </c>
      <c r="R48" s="147" t="str">
        <f>IF('Identify beneficiaries'!H31="Y",IF(OR($I48="Qualitative",$I48="Not relevant"),$I48,$I48*'Summary of area'!$C$22/'Identify beneficiaries'!$L31),"")</f>
        <v>Qualitative</v>
      </c>
      <c r="S48" s="147" t="str">
        <f>IF('Identify beneficiaries'!I31="Y",IF(OR($I48="Qualitative",$I48="Not relevant"),$I48,$I48*'Summary of area'!$C$22/'Identify beneficiaries'!$L31),"")</f>
        <v/>
      </c>
      <c r="T48" s="147" t="str">
        <f>IF('Identify beneficiaries'!J31="Y",IF(OR($I48="Qualitative",$I48="Not relevant"),$I48,$I48*'Summary of area'!$C$22/'Identify beneficiaries'!$L31),"")</f>
        <v/>
      </c>
      <c r="U48" s="147" t="str">
        <f>IF('Identify beneficiaries'!K31="Y",IF(OR($I48="Qualitative",$I48="Not relevant"),$I48,$I48*'Summary of area'!$C$22/'Identify beneficiaries'!$L31),"")</f>
        <v/>
      </c>
      <c r="V48" s="147" t="str">
        <f>IF(OR(I48="Qualitative",I48="Not relevant"),I48,ROUND(I48*'Summary of area'!$C$21,3-LEN(INT(I48*'Summary of area'!$C$21))))</f>
        <v>Qualitative</v>
      </c>
      <c r="X48" s="14" t="str">
        <f t="shared" si="2"/>
        <v/>
      </c>
      <c r="Y48" s="14" t="str">
        <f t="shared" si="3"/>
        <v/>
      </c>
    </row>
    <row r="49" spans="1:25" ht="13.5" thickBot="1">
      <c r="A49" s="612"/>
      <c r="B49" s="615"/>
      <c r="C49" s="55" t="s">
        <v>53</v>
      </c>
      <c r="D49" s="57"/>
      <c r="E49" s="57"/>
      <c r="F49" s="57"/>
      <c r="G49" s="57"/>
      <c r="H49" s="57"/>
      <c r="I49" s="97"/>
      <c r="J49" s="154" t="e">
        <f>FIND("(",'Describe baseline'!F48)</f>
        <v>#VALUE!</v>
      </c>
      <c r="K49" s="154" t="e">
        <f>FIND("(",'Describe baseline'!G48)</f>
        <v>#VALUE!</v>
      </c>
      <c r="L49" s="154" t="e">
        <f>FIND(":",'Describe baseline'!H48)</f>
        <v>#VALUE!</v>
      </c>
      <c r="M49" s="364"/>
      <c r="N49" s="97"/>
      <c r="O49" s="97"/>
      <c r="P49" s="97"/>
      <c r="Q49" s="97"/>
      <c r="R49" s="97"/>
      <c r="S49" s="97"/>
      <c r="T49" s="97"/>
      <c r="U49" s="97"/>
      <c r="V49" s="97"/>
      <c r="X49" s="14" t="str">
        <f t="shared" si="2"/>
        <v/>
      </c>
      <c r="Y49" s="14" t="str">
        <f t="shared" si="3"/>
        <v/>
      </c>
    </row>
    <row r="50" spans="1:25" ht="13.5" thickBot="1">
      <c r="A50" s="613"/>
      <c r="B50" s="616"/>
      <c r="C50" s="58" t="s">
        <v>54</v>
      </c>
      <c r="D50" s="60"/>
      <c r="E50" s="60"/>
      <c r="F50" s="60"/>
      <c r="G50" s="60"/>
      <c r="H50" s="60"/>
      <c r="I50" s="98"/>
      <c r="J50" s="154" t="e">
        <f>FIND("(",'Describe baseline'!F49)</f>
        <v>#VALUE!</v>
      </c>
      <c r="K50" s="154" t="e">
        <f>FIND("(",'Describe baseline'!G49)</f>
        <v>#VALUE!</v>
      </c>
      <c r="L50" s="154" t="e">
        <f>FIND(":",'Describe baseline'!H49)</f>
        <v>#VALUE!</v>
      </c>
      <c r="M50" s="364"/>
      <c r="N50" s="98"/>
      <c r="O50" s="98"/>
      <c r="P50" s="98"/>
      <c r="Q50" s="98"/>
      <c r="R50" s="98"/>
      <c r="S50" s="98"/>
      <c r="T50" s="98"/>
      <c r="U50" s="98"/>
      <c r="V50" s="98"/>
      <c r="X50" s="14" t="str">
        <f t="shared" si="2"/>
        <v/>
      </c>
      <c r="Y50" s="14" t="str">
        <f t="shared" si="3"/>
        <v/>
      </c>
    </row>
    <row r="51" spans="1:25" ht="15.75" thickBot="1">
      <c r="A51" s="686" t="s">
        <v>4</v>
      </c>
      <c r="B51" s="687"/>
      <c r="C51" s="4"/>
      <c r="D51" s="96"/>
      <c r="E51" s="96"/>
      <c r="F51" s="96"/>
      <c r="G51" s="96"/>
      <c r="H51" s="96"/>
      <c r="I51" s="103"/>
      <c r="J51" s="154" t="e">
        <f>FIND("(",'Describe baseline'!F50)</f>
        <v>#VALUE!</v>
      </c>
      <c r="K51" s="154" t="e">
        <f>FIND("(",'Describe baseline'!G50)</f>
        <v>#VALUE!</v>
      </c>
      <c r="L51" s="154" t="e">
        <f>FIND(":",'Describe baseline'!H50)</f>
        <v>#VALUE!</v>
      </c>
      <c r="M51" s="365"/>
      <c r="O51" s="147"/>
      <c r="P51" s="147"/>
      <c r="Q51" s="147"/>
      <c r="R51" s="147"/>
      <c r="S51" s="147"/>
      <c r="T51" s="147"/>
      <c r="U51" s="147"/>
      <c r="V51" s="147"/>
      <c r="X51" s="14" t="str">
        <f t="shared" si="2"/>
        <v/>
      </c>
      <c r="Y51" s="14" t="str">
        <f t="shared" si="3"/>
        <v/>
      </c>
    </row>
    <row r="52" spans="1:25" ht="15" customHeight="1" hidden="1" thickBot="1">
      <c r="A52" s="606" t="s">
        <v>5</v>
      </c>
      <c r="B52" s="608" t="s">
        <v>27</v>
      </c>
      <c r="C52" s="608" t="s">
        <v>52</v>
      </c>
      <c r="D52" s="663">
        <f>IF('Describe baseline'!E51="-","+",IF('Describe baseline'!E51="+","-",'Describe baseline'!E51))</f>
        <v>0</v>
      </c>
      <c r="E52" s="663" t="str">
        <f>IF(ISERROR(LEFT('Describe baseline'!F51,'OUTPUT-all'!J52-2)),"",LEFT('Describe baseline'!F51,'OUTPUT-all'!J52-2))</f>
        <v/>
      </c>
      <c r="F52" s="663" t="str">
        <f>IF(ISERROR(LEFT('Describe baseline'!G51,'OUTPUT-all'!K52-2)),"",LEFT('Describe baseline'!G51,'OUTPUT-all'!K52-2))</f>
        <v/>
      </c>
      <c r="G52" s="663" t="str">
        <f>IF(ISERROR(LEFT('Describe baseline'!H51,'OUTPUT-all'!L52-1)),"",LEFT('Describe baseline'!H51,'OUTPUT-all'!L52-1))</f>
        <v/>
      </c>
      <c r="H52" s="371" t="str">
        <f>IF(ISERROR(LEFT('Food production'!K267,'OUTPUT-all'!M52-1)),"",LEFT('Food production'!K267,'OUTPUT-all'!M52-1))</f>
        <v>High</v>
      </c>
      <c r="I52" s="658">
        <f>IF('Food production'!D267="Enter number of hecatres",IF(D52="Neutral","Not relevant","Qualitative"),ROUND('Food production'!H267,3-LEN(INT('Food production'!H267))))</f>
        <v>0</v>
      </c>
      <c r="J52" s="154" t="e">
        <f>FIND("(",'Describe baseline'!F51)</f>
        <v>#VALUE!</v>
      </c>
      <c r="K52" s="154" t="e">
        <f>FIND("(",'Describe baseline'!G51)</f>
        <v>#VALUE!</v>
      </c>
      <c r="L52" s="154" t="e">
        <f>FIND(":",'Describe baseline'!H51)</f>
        <v>#VALUE!</v>
      </c>
      <c r="M52" s="154">
        <f>FIND(":",'Food production'!K267)</f>
        <v>5</v>
      </c>
      <c r="N52" s="61" t="s">
        <v>163</v>
      </c>
      <c r="O52" s="147" t="str">
        <f>IF('Identify beneficiaries'!E35="Y",IF(OR($I52="Qualitative",$I52="Not relevant"),$I52,ROUND($I52*'Summary of area'!$E$39/'Identify beneficiaries'!$L35,3-LEN(INT($I52*'Summary of area'!$E$39/'Identify beneficiaries'!$L35)))),"")</f>
        <v/>
      </c>
      <c r="P52" s="147" t="str">
        <f>IF('Identify beneficiaries'!F35="Y",IF(OR($I52="Qualitative",$I52="Not relevant"),$I52,ROUND($I52*'Summary of area'!$E$39/'Identify beneficiaries'!$L35,3-LEN(INT($I52*'Summary of area'!$E$39/'Identify beneficiaries'!$L35)))),"")</f>
        <v/>
      </c>
      <c r="Q52" s="147">
        <f>IF('Identify beneficiaries'!G35="Y",IF(OR($I52="Qualitative",$I52="Not relevant"),$I52,ROUND($I52*'Summary of area'!$E$39/'Identify beneficiaries'!$L35,3-LEN(INT($I52*'Summary of area'!$E$39/'Identify beneficiaries'!$L35)))),"")</f>
        <v>0</v>
      </c>
      <c r="R52" s="147" t="str">
        <f>IF('Identify beneficiaries'!H35="Y",IF(OR($I52="Qualitative",$I52="Not relevant"),$I52,ROUND($I52*'Summary of area'!$E$39/'Identify beneficiaries'!$L35,3-LEN(INT($I52*'Summary of area'!$E$39/'Identify beneficiaries'!$L35)))),"")</f>
        <v/>
      </c>
      <c r="S52" s="147" t="str">
        <f>IF('Identify beneficiaries'!I35="Y",IF(OR($I52="Qualitative",$I52="Not relevant"),$I52,ROUND($I52*'Summary of area'!$E$39/'Identify beneficiaries'!$L35,3-LEN(INT($I52*'Summary of area'!$E$39/'Identify beneficiaries'!$L35)))),"")</f>
        <v/>
      </c>
      <c r="T52" s="147" t="str">
        <f>IF('Identify beneficiaries'!J35="Y",IF(OR($I52="Qualitative",$I52="Not relevant"),$I52,ROUND($I52*'Summary of area'!$E$39/'Identify beneficiaries'!$L35,3-LEN(INT($I52*'Summary of area'!$E$39/'Identify beneficiaries'!$L35)))),"")</f>
        <v/>
      </c>
      <c r="U52" s="147" t="str">
        <f>IF('Identify beneficiaries'!K35="Y",IF(OR($I52="Qualitative",$I52="Not relevant"),$I52,ROUND($I52*'Summary of area'!$E$39/'Identify beneficiaries'!$L35,3-LEN(INT($I52*'Summary of area'!$E$39/'Identify beneficiaries'!$L35)))),"")</f>
        <v/>
      </c>
      <c r="V52" s="147">
        <f>IF(OR(I52="Qualitative",I52="Not relevant"),I52,ROUND(I52*'Summary of area'!$D$39,3-LEN(INT(I52*'Summary of area'!$D$39))))</f>
        <v>0</v>
      </c>
      <c r="X52" s="14" t="str">
        <f t="shared" si="2"/>
        <v/>
      </c>
      <c r="Y52" s="14" t="str">
        <f t="shared" si="3"/>
        <v/>
      </c>
    </row>
    <row r="53" spans="1:25" ht="13.5" hidden="1" thickBot="1">
      <c r="A53" s="607"/>
      <c r="B53" s="597"/>
      <c r="C53" s="669"/>
      <c r="D53" s="655">
        <f>IF('Describe baseline'!E52="-","+",IF('Describe baseline'!E52="+","-",'Describe baseline'!E52))</f>
        <v>0</v>
      </c>
      <c r="E53" s="664" t="str">
        <f>IF(ISERROR(LEFT('Describe baseline'!F52,'OUTPUT-all'!J53-2)),"",LEFT('Describe baseline'!F52,'OUTPUT-all'!J53-2))</f>
        <v/>
      </c>
      <c r="F53" s="655" t="str">
        <f>IF(ISERROR(LEFT('Describe baseline'!G52:G56,'OUTPUT-all'!K53-2)),"",LEFT('Describe baseline'!G52:G56,'OUTPUT-all'!K53-2))</f>
        <v/>
      </c>
      <c r="G53" s="655" t="str">
        <f>IF(ISERROR(LEFT('Describe baseline'!H52:H56,'OUTPUT-all'!L53-2)),"",LEFT('Describe baseline'!H52:H56,'OUTPUT-all'!L53-2))</f>
        <v/>
      </c>
      <c r="H53" s="477"/>
      <c r="I53" s="652" t="e">
        <f>ROUND(#REF!,2-LEN(INT(#REF!)))</f>
        <v>#REF!</v>
      </c>
      <c r="J53" s="154" t="e">
        <f>FIND("(",'Describe baseline'!F52)</f>
        <v>#VALUE!</v>
      </c>
      <c r="K53" s="154" t="e">
        <f>FIND("(",'Describe baseline'!G52)</f>
        <v>#VALUE!</v>
      </c>
      <c r="L53" s="154" t="e">
        <f>FIND(":",'Describe baseline'!H52)</f>
        <v>#VALUE!</v>
      </c>
      <c r="M53" s="364"/>
      <c r="N53" s="148"/>
      <c r="O53" s="149"/>
      <c r="P53" s="149"/>
      <c r="Q53" s="149"/>
      <c r="R53" s="149"/>
      <c r="S53" s="149"/>
      <c r="T53" s="149"/>
      <c r="U53" s="149"/>
      <c r="V53" s="149" t="e">
        <f>IF(OR(I53="Qualitative",I53="Not relevant"),I53,ROUND(I53*'Summary of area'!$C$21,3-LEN(INT(I53*'Summary of area'!$C$21))))</f>
        <v>#REF!</v>
      </c>
      <c r="X53" s="14" t="e">
        <f t="shared" si="2"/>
        <v>#REF!</v>
      </c>
      <c r="Y53" s="14" t="e">
        <f t="shared" si="3"/>
        <v>#REF!</v>
      </c>
    </row>
    <row r="54" spans="1:25" ht="13.5" hidden="1" thickBot="1">
      <c r="A54" s="607"/>
      <c r="B54" s="597"/>
      <c r="C54" s="24" t="s">
        <v>53</v>
      </c>
      <c r="D54" s="481">
        <f>IF('Describe baseline'!E53="-","+",IF('Describe baseline'!E53="+","-",'Describe baseline'!E53))</f>
        <v>0</v>
      </c>
      <c r="E54" s="481" t="str">
        <f>IF(ISERROR(LEFT('Describe baseline'!F53,'OUTPUT-all'!J54-2)),"",LEFT('Describe baseline'!F53,'OUTPUT-all'!J54-2))</f>
        <v/>
      </c>
      <c r="F54" s="481" t="str">
        <f>IF(ISERROR(LEFT('Describe baseline'!G53,'OUTPUT-all'!K54-2)),"",LEFT('Describe baseline'!G53,'OUTPUT-all'!K54-2))</f>
        <v/>
      </c>
      <c r="G54" s="481" t="str">
        <f>IF(ISERROR(LEFT('Describe baseline'!H53,'OUTPUT-all'!L54-1)),"",LEFT('Describe baseline'!H53,'OUTPUT-all'!L54-1))</f>
        <v/>
      </c>
      <c r="H54" s="481"/>
      <c r="I54" s="94" t="str">
        <f>IF(D54="Neutral","Not relevant","Qualitative")</f>
        <v>Qualitative</v>
      </c>
      <c r="J54" s="154" t="e">
        <f>FIND("(",'Describe baseline'!F53)</f>
        <v>#VALUE!</v>
      </c>
      <c r="K54" s="154" t="e">
        <f>FIND("(",'Describe baseline'!G53)</f>
        <v>#VALUE!</v>
      </c>
      <c r="L54" s="154" t="e">
        <f>FIND(":",'Describe baseline'!H53)</f>
        <v>#VALUE!</v>
      </c>
      <c r="M54" s="364"/>
      <c r="N54" s="19" t="s">
        <v>166</v>
      </c>
      <c r="O54" s="149" t="str">
        <f>IF('Identify beneficiaries'!E36="Y",IF(OR($I54="Qualitative",$I54="Not relevant"),$I54,$I54*'Summary of area'!$C$22/'Identify beneficiaries'!$L36),"")</f>
        <v>Qualitative</v>
      </c>
      <c r="P54" s="149" t="str">
        <f>IF('Identify beneficiaries'!F36="Y",IF(OR($I54="Qualitative",$I54="Not relevant"),$I54,$I54*'Summary of area'!$C$22/'Identify beneficiaries'!$L36),"")</f>
        <v/>
      </c>
      <c r="Q54" s="149" t="str">
        <f>IF('Identify beneficiaries'!G36="Y",IF(OR($I54="Qualitative",$I54="Not relevant"),$I54,$I54*'Summary of area'!$C$22/'Identify beneficiaries'!$L36),"")</f>
        <v/>
      </c>
      <c r="R54" s="149" t="str">
        <f>IF('Identify beneficiaries'!H36="Y",IF(OR($I54="Qualitative",$I54="Not relevant"),$I54,$I54*'Summary of area'!$C$22/'Identify beneficiaries'!$L36),"")</f>
        <v/>
      </c>
      <c r="S54" s="149" t="str">
        <f>IF('Identify beneficiaries'!I36="Y",IF(OR($I54="Qualitative",$I54="Not relevant"),$I54,$I54*'Summary of area'!$C$22/'Identify beneficiaries'!$L36),"")</f>
        <v/>
      </c>
      <c r="T54" s="149" t="str">
        <f>IF('Identify beneficiaries'!J36="Y",IF(OR($I54="Qualitative",$I54="Not relevant"),$I54,$I54*'Summary of area'!$C$22/'Identify beneficiaries'!$L36),"")</f>
        <v>Qualitative</v>
      </c>
      <c r="U54" s="149" t="str">
        <f>IF('Identify beneficiaries'!K36="Y",IF(OR($I54="Qualitative",$I54="Not relevant"),$I54,$I54*'Summary of area'!$C$22/'Identify beneficiaries'!$L36),"")</f>
        <v/>
      </c>
      <c r="V54" s="149" t="str">
        <f>IF(OR(I54="Qualitative",I54="Not relevant"),I54,ROUND(I54*'Summary of area'!$C$21,3-LEN(INT(I54*'Summary of area'!$C$21))))</f>
        <v>Qualitative</v>
      </c>
      <c r="X54" s="14" t="str">
        <f t="shared" si="2"/>
        <v/>
      </c>
      <c r="Y54" s="14" t="str">
        <f t="shared" si="3"/>
        <v/>
      </c>
    </row>
    <row r="55" spans="1:25" ht="19.5" customHeight="1" hidden="1" thickBot="1">
      <c r="A55" s="617"/>
      <c r="B55" s="609"/>
      <c r="C55" s="28" t="s">
        <v>54</v>
      </c>
      <c r="D55" s="481">
        <f>IF('Describe baseline'!E54="-","+",IF('Describe baseline'!E54="+","-",'Describe baseline'!E54))</f>
        <v>0</v>
      </c>
      <c r="E55" s="481" t="str">
        <f>IF(ISERROR(LEFT('Describe baseline'!F54,'OUTPUT-all'!J55-2)),"",LEFT('Describe baseline'!F54,'OUTPUT-all'!J55-2))</f>
        <v/>
      </c>
      <c r="F55" s="481" t="str">
        <f>IF(ISERROR(LEFT('Describe baseline'!G54,'OUTPUT-all'!K55-2)),"",LEFT('Describe baseline'!G54,'OUTPUT-all'!K55-2))</f>
        <v/>
      </c>
      <c r="G55" s="481" t="str">
        <f>IF(ISERROR(LEFT('Describe baseline'!H54:H58,'OUTPUT-all'!L55-1)),"",LEFT('Describe baseline'!H54:H58,'OUTPUT-all'!L55-1))</f>
        <v/>
      </c>
      <c r="H55" s="481"/>
      <c r="I55" s="94" t="str">
        <f>IF(D55="Neutral","Not relevant","Qualitative")</f>
        <v>Qualitative</v>
      </c>
      <c r="J55" s="325" t="e">
        <f>FIND("(",'Describe baseline'!F54)</f>
        <v>#VALUE!</v>
      </c>
      <c r="K55" s="325" t="e">
        <f>FIND("(",'Describe baseline'!G54)</f>
        <v>#VALUE!</v>
      </c>
      <c r="L55" s="154" t="e">
        <f>FIND(":",'Describe baseline'!H54)</f>
        <v>#VALUE!</v>
      </c>
      <c r="M55" s="364"/>
      <c r="N55" s="19" t="s">
        <v>697</v>
      </c>
      <c r="O55" s="149" t="str">
        <f>IF('Identify beneficiaries'!E37="Y",IF(OR($I55="Qualitative",$I55="Not relevant"),$I55,$I55*'Summary of area'!$C$22/'Identify beneficiaries'!$L37),"")</f>
        <v/>
      </c>
      <c r="P55" s="149" t="str">
        <f>IF('Identify beneficiaries'!F37="Y",IF(OR($I55="Qualitative",$I55="Not relevant"),$I55,$I55*'Summary of area'!$C$22/'Identify beneficiaries'!$L37),"")</f>
        <v/>
      </c>
      <c r="Q55" s="149" t="str">
        <f>IF('Identify beneficiaries'!G37="Y",IF(OR($I55="Qualitative",$I55="Not relevant"),$I55,$I55*'Summary of area'!$C$22/'Identify beneficiaries'!$L37),"")</f>
        <v/>
      </c>
      <c r="R55" s="149" t="str">
        <f>IF('Identify beneficiaries'!H37="Y",IF(OR($I55="Qualitative",$I55="Not relevant"),$I55,$I55*'Summary of area'!$C$22/'Identify beneficiaries'!$L37),"")</f>
        <v/>
      </c>
      <c r="S55" s="149" t="str">
        <f>IF('Identify beneficiaries'!I37="Y",IF(OR($I55="Qualitative",$I55="Not relevant"),$I55,$I55*'Summary of area'!$C$22/'Identify beneficiaries'!$L37),"")</f>
        <v/>
      </c>
      <c r="T55" s="149" t="str">
        <f>IF('Identify beneficiaries'!J37="Y",IF(OR($I55="Qualitative",$I55="Not relevant"),$I55,$I55*'Summary of area'!$C$22/'Identify beneficiaries'!$L37),"")</f>
        <v>Qualitative</v>
      </c>
      <c r="U55" s="149" t="str">
        <f>IF('Identify beneficiaries'!K37="Y",IF(OR($I55="Qualitative",$I55="Not relevant"),$I55,$I55*'Summary of area'!$C$22/'Identify beneficiaries'!$L37),"")</f>
        <v/>
      </c>
      <c r="V55" s="149" t="str">
        <f>IF(OR(I55="Qualitative",I55="Not relevant"),I55,ROUND(I55*'Summary of area'!$C$21,3-LEN(INT(I55*'Summary of area'!$C$21))))</f>
        <v>Qualitative</v>
      </c>
      <c r="X55" s="14" t="str">
        <f t="shared" si="2"/>
        <v/>
      </c>
      <c r="Y55" s="14" t="str">
        <f t="shared" si="3"/>
        <v/>
      </c>
    </row>
    <row r="56" spans="1:25" ht="26.25" thickBot="1">
      <c r="A56" s="611" t="s">
        <v>6</v>
      </c>
      <c r="B56" s="614" t="s">
        <v>28</v>
      </c>
      <c r="C56" s="30" t="s">
        <v>52</v>
      </c>
      <c r="D56" s="31">
        <f>IF('Describe baseline'!E55="-","+",IF('Describe baseline'!E55="+","-",'Describe baseline'!E55))</f>
        <v>0</v>
      </c>
      <c r="E56" s="31" t="str">
        <f>IF(ISERROR(LEFT('Describe baseline'!F55,'OUTPUT-all'!J56-2)),"",LEFT('Describe baseline'!F55,'OUTPUT-all'!J56-2))</f>
        <v/>
      </c>
      <c r="F56" s="31" t="str">
        <f>IF(ISERROR(LEFT('Describe baseline'!G55,'OUTPUT-all'!K56-2)),"",LEFT('Describe baseline'!G55,'OUTPUT-all'!K56-2))</f>
        <v/>
      </c>
      <c r="G56" s="31" t="str">
        <f>IF(ISERROR(LEFT('Describe baseline'!H55:H59,'OUTPUT-all'!L56-1)),"",LEFT('Describe baseline'!H55:H59,'OUTPUT-all'!L56-1))</f>
        <v/>
      </c>
      <c r="H56" s="31"/>
      <c r="I56" s="100" t="str">
        <f>IF(D56="Neutral","Not relevant","Qualitative")</f>
        <v>Qualitative</v>
      </c>
      <c r="J56" s="154" t="e">
        <f>FIND("(",'Describe baseline'!F55)</f>
        <v>#VALUE!</v>
      </c>
      <c r="K56" s="154" t="e">
        <f>FIND("(",'Describe baseline'!G55)</f>
        <v>#VALUE!</v>
      </c>
      <c r="L56" s="154" t="e">
        <f>FIND(":",'Describe baseline'!H55)</f>
        <v>#VALUE!</v>
      </c>
      <c r="M56" s="154"/>
      <c r="N56" s="61" t="s">
        <v>167</v>
      </c>
      <c r="O56" s="147" t="str">
        <f>IF('Identify beneficiaries'!E38="Y",IF(OR($I56="Qualitative",$I56="Not relevant"),$I56,$I56*'Summary of area'!$C$22/'Identify beneficiaries'!$L38),"")</f>
        <v>Qualitative</v>
      </c>
      <c r="P56" s="147" t="str">
        <f>IF('Identify beneficiaries'!F38="Y",IF(OR($I56="Qualitative",$I56="Not relevant"),$I56,$I56*'Summary of area'!$C$22/'Identify beneficiaries'!$L38),"")</f>
        <v/>
      </c>
      <c r="Q56" s="147" t="str">
        <f>IF('Identify beneficiaries'!G38="Y",IF(OR($I56="Qualitative",$I56="Not relevant"),$I56,$I56*'Summary of area'!$C$22/'Identify beneficiaries'!$L38),"")</f>
        <v>Qualitative</v>
      </c>
      <c r="R56" s="147" t="str">
        <f>IF('Identify beneficiaries'!H38="Y",IF(OR($I56="Qualitative",$I56="Not relevant"),$I56,$I56*'Summary of area'!$C$22/'Identify beneficiaries'!$L38),"")</f>
        <v/>
      </c>
      <c r="S56" s="147" t="str">
        <f>IF('Identify beneficiaries'!I38="Y",IF(OR($I56="Qualitative",$I56="Not relevant"),$I56,$I56*'Summary of area'!$C$22/'Identify beneficiaries'!$L38),"")</f>
        <v/>
      </c>
      <c r="T56" s="147" t="str">
        <f>IF('Identify beneficiaries'!J38="Y",IF(OR($I56="Qualitative",$I56="Not relevant"),$I56,$I56*'Summary of area'!$C$22/'Identify beneficiaries'!$L38),"")</f>
        <v>Qualitative</v>
      </c>
      <c r="U56" s="147" t="str">
        <f>IF('Identify beneficiaries'!K38="Y",IF(OR($I56="Qualitative",$I56="Not relevant"),$I56,$I56*'Summary of area'!$C$22/'Identify beneficiaries'!$L38),"")</f>
        <v/>
      </c>
      <c r="V56" s="147" t="str">
        <f>IF(OR(I56="Qualitative",I56="Not relevant"),I56,ROUND(I56*'Summary of area'!$C$21,3-LEN(INT(I56*'Summary of area'!$C$21))))</f>
        <v>Qualitative</v>
      </c>
      <c r="X56" s="14" t="str">
        <f t="shared" si="2"/>
        <v/>
      </c>
      <c r="Y56" s="14" t="str">
        <f t="shared" si="3"/>
        <v/>
      </c>
    </row>
    <row r="57" spans="1:25" ht="13.5" thickBot="1">
      <c r="A57" s="607"/>
      <c r="B57" s="597"/>
      <c r="C57" s="55" t="s">
        <v>53</v>
      </c>
      <c r="D57" s="57"/>
      <c r="E57" s="57"/>
      <c r="F57" s="57"/>
      <c r="G57" s="57"/>
      <c r="H57" s="57"/>
      <c r="I57" s="97"/>
      <c r="J57" s="154" t="e">
        <f>FIND("(",'Describe baseline'!F56)</f>
        <v>#VALUE!</v>
      </c>
      <c r="K57" s="154" t="e">
        <f>FIND("(",'Describe baseline'!G56)</f>
        <v>#VALUE!</v>
      </c>
      <c r="L57" s="154" t="e">
        <f>FIND(":",'Describe baseline'!H56)</f>
        <v>#VALUE!</v>
      </c>
      <c r="M57" s="364"/>
      <c r="N57" s="97"/>
      <c r="O57" s="97"/>
      <c r="P57" s="97"/>
      <c r="Q57" s="97"/>
      <c r="R57" s="97"/>
      <c r="S57" s="97"/>
      <c r="T57" s="97"/>
      <c r="U57" s="97"/>
      <c r="V57" s="97"/>
      <c r="X57" s="14" t="str">
        <f t="shared" si="2"/>
        <v/>
      </c>
      <c r="Y57" s="14" t="str">
        <f t="shared" si="3"/>
        <v/>
      </c>
    </row>
    <row r="58" spans="1:25" ht="13.5" thickBot="1">
      <c r="A58" s="617"/>
      <c r="B58" s="609"/>
      <c r="C58" s="58" t="s">
        <v>54</v>
      </c>
      <c r="D58" s="60"/>
      <c r="E58" s="60"/>
      <c r="F58" s="60"/>
      <c r="G58" s="60"/>
      <c r="H58" s="60"/>
      <c r="I58" s="98"/>
      <c r="J58" s="154" t="e">
        <f>FIND("(",'Describe baseline'!F57)</f>
        <v>#VALUE!</v>
      </c>
      <c r="K58" s="154" t="e">
        <f>FIND("(",'Describe baseline'!G57)</f>
        <v>#VALUE!</v>
      </c>
      <c r="L58" s="154" t="e">
        <f>FIND(":",'Describe baseline'!H57)</f>
        <v>#VALUE!</v>
      </c>
      <c r="M58" s="364"/>
      <c r="N58" s="98"/>
      <c r="O58" s="98"/>
      <c r="P58" s="98"/>
      <c r="Q58" s="98"/>
      <c r="R58" s="98"/>
      <c r="S58" s="98"/>
      <c r="T58" s="98"/>
      <c r="U58" s="98"/>
      <c r="V58" s="98"/>
      <c r="X58" s="14" t="str">
        <f t="shared" si="2"/>
        <v/>
      </c>
      <c r="Y58" s="14" t="str">
        <f t="shared" si="3"/>
        <v/>
      </c>
    </row>
    <row r="59" spans="1:25" ht="13.5" thickBot="1">
      <c r="A59" s="611" t="s">
        <v>43</v>
      </c>
      <c r="B59" s="614" t="s">
        <v>44</v>
      </c>
      <c r="C59" s="30" t="s">
        <v>52</v>
      </c>
      <c r="D59" s="31">
        <f>IF('Describe baseline'!E58="-","+",IF('Describe baseline'!E58="+","-",'Describe baseline'!E58))</f>
        <v>0</v>
      </c>
      <c r="E59" s="31" t="str">
        <f>IF(ISERROR(LEFT('Describe baseline'!F58,'OUTPUT-all'!J59-2)),"",LEFT('Describe baseline'!F58,'OUTPUT-all'!J59-2))</f>
        <v/>
      </c>
      <c r="F59" s="31" t="str">
        <f>IF(ISERROR(LEFT('Describe baseline'!G58,'OUTPUT-all'!K59-2)),"",LEFT('Describe baseline'!G58,'OUTPUT-all'!K59-2))</f>
        <v/>
      </c>
      <c r="G59" s="31" t="str">
        <f>IF(ISERROR(LEFT('Describe baseline'!H58,'OUTPUT-all'!L59-1)),"",LEFT('Describe baseline'!H58,'OUTPUT-all'!L59-1))</f>
        <v/>
      </c>
      <c r="H59" s="372" t="str">
        <f>IF(ISERROR(LEFT('Energy (direct)'!K96,'OUTPUT-all'!M59-1)),"",LEFT('Energy (direct)'!K96,'OUTPUT-all'!M59-1))</f>
        <v>High</v>
      </c>
      <c r="I59" s="101" t="str">
        <f>IF('Energy (direct)'!D96="Enter number of power stations and/or length of power lines",IF(D59="Neutral","Not relevant","Qualitative"),ROUND('Energy (direct)'!H96,3-LEN(INT('Energy (direct)'!H96))))</f>
        <v>Qualitative</v>
      </c>
      <c r="J59" s="154" t="e">
        <f>FIND("(",'Describe baseline'!F58)</f>
        <v>#VALUE!</v>
      </c>
      <c r="K59" s="154" t="e">
        <f>FIND("(",'Describe baseline'!G58)</f>
        <v>#VALUE!</v>
      </c>
      <c r="L59" s="154" t="e">
        <f>FIND(":",'Describe baseline'!H58)</f>
        <v>#VALUE!</v>
      </c>
      <c r="M59" s="154">
        <f>FIND(":",'Energy (direct)'!K96)</f>
        <v>5</v>
      </c>
      <c r="N59" s="61" t="s">
        <v>168</v>
      </c>
      <c r="O59" s="147" t="str">
        <f>IF('Identify beneficiaries'!E41="Y",IF(OR($I59="Qualitative",$I59="Not relevant"),$I59,$I59*'Summary of area'!$E$40/'Identify beneficiaries'!$L41),"")</f>
        <v/>
      </c>
      <c r="P59" s="147" t="str">
        <f>IF('Identify beneficiaries'!F41="Y",IF(OR($I59="Qualitative",$I59="Not relevant"),$I59,$I59*'Summary of area'!$E$40/'Identify beneficiaries'!$L41),"")</f>
        <v/>
      </c>
      <c r="Q59" s="147" t="str">
        <f>IF('Identify beneficiaries'!G41="Y",IF(OR($I59="Qualitative",$I59="Not relevant"),$I59,$I59*'Summary of area'!$E$40/'Identify beneficiaries'!$L41),"")</f>
        <v/>
      </c>
      <c r="R59" s="147" t="str">
        <f>IF('Identify beneficiaries'!H41="Y",IF(OR($I59="Qualitative",$I59="Not relevant"),$I59,$I59*'Summary of area'!$E$40/'Identify beneficiaries'!$L41),"")</f>
        <v/>
      </c>
      <c r="S59" s="147" t="str">
        <f>IF('Identify beneficiaries'!I41="Y",IF(OR($I59="Qualitative",$I59="Not relevant"),$I59,$I59*'Summary of area'!$E$40/'Identify beneficiaries'!$L41),"")</f>
        <v>Qualitative</v>
      </c>
      <c r="T59" s="147" t="str">
        <f>IF('Identify beneficiaries'!J41="Y",IF(OR($I59="Qualitative",$I59="Not relevant"),$I59,$I59*'Summary of area'!$E$40/'Identify beneficiaries'!$L41),"")</f>
        <v/>
      </c>
      <c r="U59" s="147" t="str">
        <f>IF('Identify beneficiaries'!K41="Y",IF(OR($I59="Qualitative",$I59="Not relevant"),$I59,$I59*'Summary of area'!$E$40/'Identify beneficiaries'!$L41),"")</f>
        <v/>
      </c>
      <c r="V59" s="147" t="str">
        <f>IF(OR(I59="Qualitative",I59="Not relevant"),I59,ROUND(I59*'Summary of area'!$D$40,3-LEN(INT(I59*'Summary of area'!$D$40))))</f>
        <v>Qualitative</v>
      </c>
      <c r="X59" s="14" t="str">
        <f t="shared" si="2"/>
        <v/>
      </c>
      <c r="Y59" s="14" t="str">
        <f t="shared" si="3"/>
        <v/>
      </c>
    </row>
    <row r="60" spans="1:25" ht="13.5" thickBot="1">
      <c r="A60" s="607"/>
      <c r="B60" s="597"/>
      <c r="C60" s="20" t="s">
        <v>53</v>
      </c>
      <c r="D60" s="21">
        <f>IF('Describe baseline'!E59="-","+",IF('Describe baseline'!E59="+","-",'Describe baseline'!E59))</f>
        <v>0</v>
      </c>
      <c r="E60" s="21" t="str">
        <f>IF(ISERROR(LEFT('Describe baseline'!F59,'OUTPUT-all'!J60-2)),"",LEFT('Describe baseline'!F59,'OUTPUT-all'!J60-2))</f>
        <v/>
      </c>
      <c r="F60" s="21" t="str">
        <f>IF(ISERROR(LEFT('Describe baseline'!G59,'OUTPUT-all'!K60-2)),"",LEFT('Describe baseline'!G59,'OUTPUT-all'!K60-2))</f>
        <v/>
      </c>
      <c r="G60" s="21" t="str">
        <f>IF(ISERROR(LEFT('Describe baseline'!H59,'OUTPUT-all'!L60-1)),"",LEFT('Describe baseline'!H59,'OUTPUT-all'!L60-1))</f>
        <v/>
      </c>
      <c r="H60" s="372" t="str">
        <f>IF(ISERROR(LEFT('Energy (indirect)'!N169,'OUTPUT-all'!M60-1)),"",LEFT('Energy (indirect)'!N169,'OUTPUT-all'!M60-1))</f>
        <v>High</v>
      </c>
      <c r="I60" s="101" t="str">
        <f>IF('Energy (indirect)'!D169="Enter number of properties affected by power outages",IF(D60="Neutral","Not relevant","Qualitative"),ROUND('Energy (indirect)'!K169,3-LEN(INT('Energy (indirect)'!K169))))</f>
        <v>Qualitative</v>
      </c>
      <c r="J60" s="154" t="e">
        <f>FIND("(",'Describe baseline'!F59)</f>
        <v>#VALUE!</v>
      </c>
      <c r="K60" s="154" t="e">
        <f>FIND("(",'Describe baseline'!G59)</f>
        <v>#VALUE!</v>
      </c>
      <c r="L60" s="154" t="e">
        <f>FIND(":",'Describe baseline'!H59)</f>
        <v>#VALUE!</v>
      </c>
      <c r="M60" s="154">
        <f>FIND(":",'Energy (indirect)'!N169)</f>
        <v>5</v>
      </c>
      <c r="N60" s="19" t="s">
        <v>169</v>
      </c>
      <c r="O60" s="149" t="str">
        <f>IF('Identify beneficiaries'!E42="Y",IF(OR($I60="Qualitative",$I60="Not relevant"),$I60,ROUND($I60*'Summary of area'!$E$41/'Identify beneficiaries'!$L42,3-LEN(INT($I60*'Summary of area'!$E$41/'Identify beneficiaries'!$L42)))),"")</f>
        <v>Qualitative</v>
      </c>
      <c r="P60" s="149" t="str">
        <f>IF('Identify beneficiaries'!F42="Y",IF(OR($I60="Qualitative",$I60="Not relevant"),$I60,ROUND($I60*'Summary of area'!$E$41/'Identify beneficiaries'!$L42,3-LEN(INT($I60*'Summary of area'!$E$41/'Identify beneficiaries'!$L42)))),"")</f>
        <v>Qualitative</v>
      </c>
      <c r="Q60" s="149" t="str">
        <f>IF('Identify beneficiaries'!G42="Y",IF(OR($I60="Qualitative",$I60="Not relevant"),$I60,ROUND($I60*'Summary of area'!$E$41/'Identify beneficiaries'!$L42,3-LEN(INT($I60*'Summary of area'!$E$41/'Identify beneficiaries'!$L42)))),"")</f>
        <v>Qualitative</v>
      </c>
      <c r="R60" s="149" t="str">
        <f>IF('Identify beneficiaries'!H42="Y",IF(OR($I60="Qualitative",$I60="Not relevant"),$I60,ROUND($I60*'Summary of area'!$E$41/'Identify beneficiaries'!$L42,3-LEN(INT($I60*'Summary of area'!$E$41/'Identify beneficiaries'!$L42)))),"")</f>
        <v>Qualitative</v>
      </c>
      <c r="S60" s="149" t="str">
        <f>IF('Identify beneficiaries'!I42="Y",IF(OR($I60="Qualitative",$I60="Not relevant"),$I60,ROUND($I60*'Summary of area'!$E$41/'Identify beneficiaries'!$L42,3-LEN(INT($I60*'Summary of area'!$E$41/'Identify beneficiaries'!$L42)))),"")</f>
        <v/>
      </c>
      <c r="T60" s="149" t="str">
        <f>IF('Identify beneficiaries'!J42="Y",IF(OR($I60="Qualitative",$I60="Not relevant"),$I60,ROUND($I60*'Summary of area'!$E$41/'Identify beneficiaries'!$L42,3-LEN(INT($I60*'Summary of area'!$E$41/'Identify beneficiaries'!$L42)))),"")</f>
        <v>Qualitative</v>
      </c>
      <c r="U60" s="149" t="str">
        <f>IF('Identify beneficiaries'!K42="Y",IF(OR($I60="Qualitative",$I60="Not relevant"),$I60,ROUND($I60*'Summary of area'!$E$41/'Identify beneficiaries'!$L42,3-LEN(INT($I60*'Summary of area'!$E$41/'Identify beneficiaries'!$L42)))),"")</f>
        <v>Qualitative</v>
      </c>
      <c r="V60" s="149" t="str">
        <f>IF(OR(I60="Qualitative",I60="Not relevant"),I60,ROUND(I60*'Summary of area'!$D$41,3-LEN(INT(I60*'Summary of area'!$D$41))))</f>
        <v>Qualitative</v>
      </c>
      <c r="X60" s="14" t="str">
        <f t="shared" si="2"/>
        <v/>
      </c>
      <c r="Y60" s="14" t="str">
        <f t="shared" si="3"/>
        <v/>
      </c>
    </row>
    <row r="61" spans="1:25" ht="13.5" thickBot="1">
      <c r="A61" s="617"/>
      <c r="B61" s="609"/>
      <c r="C61" s="58" t="s">
        <v>54</v>
      </c>
      <c r="D61" s="60"/>
      <c r="E61" s="60"/>
      <c r="F61" s="60"/>
      <c r="G61" s="60"/>
      <c r="H61" s="60"/>
      <c r="I61" s="98"/>
      <c r="J61" s="154" t="e">
        <f>FIND("(",'Describe baseline'!F60)</f>
        <v>#VALUE!</v>
      </c>
      <c r="K61" s="154" t="e">
        <f>FIND("(",'Describe baseline'!G60)</f>
        <v>#VALUE!</v>
      </c>
      <c r="L61" s="154" t="e">
        <f>FIND(":",'Describe baseline'!H60)</f>
        <v>#VALUE!</v>
      </c>
      <c r="M61" s="364"/>
      <c r="N61" s="98"/>
      <c r="O61" s="98"/>
      <c r="P61" s="98"/>
      <c r="Q61" s="98"/>
      <c r="R61" s="98"/>
      <c r="S61" s="98"/>
      <c r="T61" s="98"/>
      <c r="U61" s="98"/>
      <c r="V61" s="98"/>
      <c r="X61" s="14" t="str">
        <f t="shared" si="2"/>
        <v/>
      </c>
      <c r="Y61" s="14" t="str">
        <f t="shared" si="3"/>
        <v/>
      </c>
    </row>
    <row r="62" spans="1:25" ht="26.25" thickBot="1">
      <c r="A62" s="670" t="s">
        <v>7</v>
      </c>
      <c r="B62" s="614" t="s">
        <v>64</v>
      </c>
      <c r="C62" s="30" t="s">
        <v>52</v>
      </c>
      <c r="D62" s="31">
        <f>IF('Describe baseline'!E61="-","+",IF('Describe baseline'!E61="+","-",'Describe baseline'!E61))</f>
        <v>0</v>
      </c>
      <c r="E62" s="31" t="str">
        <f>IF(ISERROR(LEFT('Describe baseline'!F61,'OUTPUT-all'!J62-2)),"",LEFT('Describe baseline'!F61,'OUTPUT-all'!J62-2))</f>
        <v/>
      </c>
      <c r="F62" s="31" t="str">
        <f>IF(ISERROR(LEFT('Describe baseline'!G61,'OUTPUT-all'!K62-2)),"",LEFT('Describe baseline'!G61,'OUTPUT-all'!K62-2))</f>
        <v/>
      </c>
      <c r="G62" s="31" t="str">
        <f>IF(ISERROR(LEFT('Describe baseline'!H61:H65,'OUTPUT-all'!L62-1)),"",LEFT('Describe baseline'!H61:H65,'OUTPUT-all'!L62-1))</f>
        <v/>
      </c>
      <c r="H62" s="31"/>
      <c r="I62" s="100" t="str">
        <f>IF(D62="Neutral","Not relevant","Qualitative")</f>
        <v>Qualitative</v>
      </c>
      <c r="J62" s="154" t="e">
        <f>FIND("(",'Describe baseline'!F61)</f>
        <v>#VALUE!</v>
      </c>
      <c r="K62" s="154" t="e">
        <f>FIND("(",'Describe baseline'!G61)</f>
        <v>#VALUE!</v>
      </c>
      <c r="L62" s="154" t="e">
        <f>FIND(":",'Describe baseline'!H61)</f>
        <v>#VALUE!</v>
      </c>
      <c r="M62" s="154"/>
      <c r="N62" s="61" t="s">
        <v>170</v>
      </c>
      <c r="O62" s="147" t="str">
        <f>IF('Identify beneficiaries'!E44="Y",IF(OR($I62="Qualitative",$I62="Not relevant"),$I62,$I62*'Summary of area'!$C$22/'Identify beneficiaries'!$L44),"")</f>
        <v/>
      </c>
      <c r="P62" s="147" t="str">
        <f>IF('Identify beneficiaries'!F44="Y",IF(OR($I62="Qualitative",$I62="Not relevant"),$I62,$I62*'Summary of area'!$C$22/'Identify beneficiaries'!$L44),"")</f>
        <v/>
      </c>
      <c r="Q62" s="147" t="str">
        <f>IF('Identify beneficiaries'!G44="Y",IF(OR($I62="Qualitative",$I62="Not relevant"),$I62,$I62*'Summary of area'!$C$22/'Identify beneficiaries'!$L44),"")</f>
        <v>Qualitative</v>
      </c>
      <c r="R62" s="147" t="str">
        <f>IF('Identify beneficiaries'!H44="Y",IF(OR($I62="Qualitative",$I62="Not relevant"),$I62,$I62*'Summary of area'!$C$22/'Identify beneficiaries'!$L44),"")</f>
        <v/>
      </c>
      <c r="S62" s="147" t="str">
        <f>IF('Identify beneficiaries'!I44="Y",IF(OR($I62="Qualitative",$I62="Not relevant"),$I62,$I62*'Summary of area'!$C$22/'Identify beneficiaries'!$L44),"")</f>
        <v/>
      </c>
      <c r="T62" s="147" t="str">
        <f>IF('Identify beneficiaries'!J44="Y",IF(OR($I62="Qualitative",$I62="Not relevant"),$I62,$I62*'Summary of area'!$C$22/'Identify beneficiaries'!$L44),"")</f>
        <v/>
      </c>
      <c r="U62" s="147" t="str">
        <f>IF('Identify beneficiaries'!K44="Y",IF(OR($I62="Qualitative",$I62="Not relevant"),$I62,$I62*'Summary of area'!$C$22/'Identify beneficiaries'!$L44),"")</f>
        <v/>
      </c>
      <c r="V62" s="147" t="str">
        <f>IF(OR(I62="Qualitative",I62="Not relevant"),I62,ROUND(I62*'Summary of area'!$C$21,3-LEN(INT(I62*'Summary of area'!$C$21))))</f>
        <v>Qualitative</v>
      </c>
      <c r="X62" s="14" t="str">
        <f t="shared" si="2"/>
        <v/>
      </c>
      <c r="Y62" s="14" t="str">
        <f t="shared" si="3"/>
        <v/>
      </c>
    </row>
    <row r="63" spans="1:25" ht="13.5" thickBot="1">
      <c r="A63" s="607"/>
      <c r="B63" s="597"/>
      <c r="C63" s="20" t="s">
        <v>53</v>
      </c>
      <c r="D63" s="21">
        <f>IF('Describe baseline'!E62="-","+",IF('Describe baseline'!E62="+","-",'Describe baseline'!E62))</f>
        <v>0</v>
      </c>
      <c r="E63" s="21" t="str">
        <f>IF(ISERROR(LEFT('Describe baseline'!F62,'OUTPUT-all'!J63-2)),"",LEFT('Describe baseline'!F62,'OUTPUT-all'!J63-2))</f>
        <v/>
      </c>
      <c r="F63" s="21" t="str">
        <f>IF(ISERROR(LEFT('Describe baseline'!G62,'OUTPUT-all'!K63-2)),"",LEFT('Describe baseline'!G62,'OUTPUT-all'!K63-2))</f>
        <v/>
      </c>
      <c r="G63" s="21" t="str">
        <f>IF(ISERROR(LEFT('Describe baseline'!H62,'OUTPUT-all'!L63-1)),"",LEFT('Describe baseline'!H62,'OUTPUT-all'!L63-1))</f>
        <v/>
      </c>
      <c r="H63" s="21"/>
      <c r="I63" s="101" t="str">
        <f>IF(D63="Neutral","Not relevant","Qualitative")</f>
        <v>Qualitative</v>
      </c>
      <c r="J63" s="154" t="e">
        <f>FIND("(",'Describe baseline'!F62)</f>
        <v>#VALUE!</v>
      </c>
      <c r="K63" s="154" t="e">
        <f>FIND("(",'Describe baseline'!G62)</f>
        <v>#VALUE!</v>
      </c>
      <c r="L63" s="154" t="e">
        <f>FIND(":",'Describe baseline'!H62)</f>
        <v>#VALUE!</v>
      </c>
      <c r="M63" s="364"/>
      <c r="N63" s="19" t="s">
        <v>166</v>
      </c>
      <c r="O63" s="149" t="str">
        <f>IF('Identify beneficiaries'!E45="Y",IF(OR($I63="Qualitative",$I63="Not relevant"),$I63,$I63*'Summary of area'!$C$22/'Identify beneficiaries'!$L45),"")</f>
        <v>Qualitative</v>
      </c>
      <c r="P63" s="149" t="str">
        <f>IF('Identify beneficiaries'!F45="Y",IF(OR($I63="Qualitative",$I63="Not relevant"),$I63,$I63*'Summary of area'!$C$22/'Identify beneficiaries'!$L45),"")</f>
        <v>Qualitative</v>
      </c>
      <c r="Q63" s="149" t="str">
        <f>IF('Identify beneficiaries'!G45="Y",IF(OR($I63="Qualitative",$I63="Not relevant"),$I63,$I63*'Summary of area'!$C$22/'Identify beneficiaries'!$L45),"")</f>
        <v/>
      </c>
      <c r="R63" s="149" t="str">
        <f>IF('Identify beneficiaries'!H45="Y",IF(OR($I63="Qualitative",$I63="Not relevant"),$I63,$I63*'Summary of area'!$C$22/'Identify beneficiaries'!$L45),"")</f>
        <v>Qualitative</v>
      </c>
      <c r="S63" s="149" t="str">
        <f>IF('Identify beneficiaries'!I45="Y",IF(OR($I63="Qualitative",$I63="Not relevant"),$I63,$I63*'Summary of area'!$C$22/'Identify beneficiaries'!$L45),"")</f>
        <v/>
      </c>
      <c r="T63" s="149" t="str">
        <f>IF('Identify beneficiaries'!J45="Y",IF(OR($I63="Qualitative",$I63="Not relevant"),$I63,$I63*'Summary of area'!$C$22/'Identify beneficiaries'!$L45),"")</f>
        <v>Qualitative</v>
      </c>
      <c r="U63" s="149" t="str">
        <f>IF('Identify beneficiaries'!K45="Y",IF(OR($I63="Qualitative",$I63="Not relevant"),$I63,$I63*'Summary of area'!$C$22/'Identify beneficiaries'!$L45),"")</f>
        <v>Qualitative</v>
      </c>
      <c r="V63" s="149" t="str">
        <f>IF(OR(I63="Qualitative",I63="Not relevant"),I63,ROUND(I63*'Summary of area'!$C$21,3-LEN(INT(I63*'Summary of area'!$C$21))))</f>
        <v>Qualitative</v>
      </c>
      <c r="X63" s="14" t="str">
        <f t="shared" si="2"/>
        <v/>
      </c>
      <c r="Y63" s="14" t="str">
        <f t="shared" si="3"/>
        <v/>
      </c>
    </row>
    <row r="64" spans="1:25" ht="13.5" thickBot="1">
      <c r="A64" s="617"/>
      <c r="B64" s="609"/>
      <c r="C64" s="58" t="s">
        <v>54</v>
      </c>
      <c r="D64" s="60"/>
      <c r="E64" s="60"/>
      <c r="F64" s="60"/>
      <c r="G64" s="60"/>
      <c r="H64" s="60"/>
      <c r="I64" s="98"/>
      <c r="J64" s="154" t="e">
        <f>FIND("(",'Describe baseline'!F63)</f>
        <v>#VALUE!</v>
      </c>
      <c r="K64" s="154" t="e">
        <f>FIND("(",'Describe baseline'!G63)</f>
        <v>#VALUE!</v>
      </c>
      <c r="L64" s="154" t="e">
        <f>FIND(":",'Describe baseline'!H63)</f>
        <v>#VALUE!</v>
      </c>
      <c r="M64" s="364"/>
      <c r="N64" s="98"/>
      <c r="O64" s="98"/>
      <c r="P64" s="98"/>
      <c r="Q64" s="98"/>
      <c r="R64" s="98"/>
      <c r="S64" s="98"/>
      <c r="T64" s="98"/>
      <c r="U64" s="98"/>
      <c r="V64" s="98"/>
      <c r="X64" s="14" t="str">
        <f t="shared" si="2"/>
        <v/>
      </c>
      <c r="Y64" s="14" t="str">
        <f t="shared" si="3"/>
        <v/>
      </c>
    </row>
    <row r="65" spans="1:25" ht="24.75" customHeight="1" hidden="1" thickBot="1">
      <c r="A65" s="606" t="s">
        <v>2</v>
      </c>
      <c r="B65" s="608" t="s">
        <v>65</v>
      </c>
      <c r="C65" s="608" t="s">
        <v>52</v>
      </c>
      <c r="D65" s="663">
        <f>IF('Describe baseline'!E64="-","+",IF('Describe baseline'!E64="+","-",'Describe baseline'!E64))</f>
        <v>0</v>
      </c>
      <c r="E65" s="663" t="str">
        <f>IF(ISERROR(LEFT('Describe baseline'!F64,'OUTPUT-all'!J65-2)),"",LEFT('Describe baseline'!F64,'OUTPUT-all'!J65-2))</f>
        <v/>
      </c>
      <c r="F65" s="663" t="str">
        <f>IF(ISERROR(LEFT('Describe baseline'!G64,'OUTPUT-all'!K65-2)),"",LEFT('Describe baseline'!G64,'OUTPUT-all'!K65-2))</f>
        <v/>
      </c>
      <c r="G65" s="663" t="str">
        <f>IF(ISERROR(LEFT('Describe baseline'!H64,'OUTPUT-all'!L65-1)),"",LEFT('Describe baseline'!H64,'OUTPUT-all'!L65-1))</f>
        <v/>
      </c>
      <c r="H65" s="371" t="str">
        <f>"Designated sites:  "&amp;IF(ISERROR(LEFT('Designated biodiversity sites'!K134,'OUTPUT-all'!M65-1)),"",LEFT('Designated biodiversity sites'!K134,'OUTPUT-all'!M65-1))</f>
        <v>Designated sites:  High</v>
      </c>
      <c r="I65" s="484" t="str">
        <f>IF('Designated biodiversity sites'!D134="Enter number of hectares",IF(D65="Neutral","Not relevant","Qualitative"),ROUND('Designated biodiversity sites'!H134,3-LEN(INT('Designated biodiversity sites'!H134))))</f>
        <v>Qualitative</v>
      </c>
      <c r="J65" s="154" t="e">
        <f>FIND("(",'Describe baseline'!F64)</f>
        <v>#VALUE!</v>
      </c>
      <c r="K65" s="154" t="e">
        <f>FIND("(",'Describe baseline'!G64)</f>
        <v>#VALUE!</v>
      </c>
      <c r="L65" s="154" t="e">
        <f>FIND(":",'Describe baseline'!H64)</f>
        <v>#VALUE!</v>
      </c>
      <c r="M65" s="154">
        <f>FIND(":",'Designated biodiversity sites'!K134)</f>
        <v>5</v>
      </c>
      <c r="N65" s="446" t="s">
        <v>171</v>
      </c>
      <c r="O65" s="147" t="str">
        <f>IF(OR('Identify beneficiaries'!E47="Y",'Identify beneficiaries'!E48="Y",'Identify beneficiaries'!E49="Y"),IF(OR($I65="Qualitative",$I65="Not relevant"),$I65,ROUND($I65*'Summary of area'!$E$42/'Identify beneficiaries'!$L47,3-LEN(INT($I65*'Summary of area'!$E$42/'Identify beneficiaries'!$L47)))),"")</f>
        <v>Qualitative</v>
      </c>
      <c r="P65" s="147" t="str">
        <f>IF(OR('Identify beneficiaries'!F47="Y",'Identify beneficiaries'!F48="Y",'Identify beneficiaries'!F49="Y"),IF(OR($I65="Qualitative",$I65="Not relevant"),$I65,ROUND($I65*'Summary of area'!$E$42/'Identify beneficiaries'!$L47,3-LEN(INT($I65*'Summary of area'!$E$42/'Identify beneficiaries'!$L47)))),"")</f>
        <v/>
      </c>
      <c r="Q65" s="147" t="str">
        <f>IF(OR('Identify beneficiaries'!G47="Y",'Identify beneficiaries'!G48="Y",'Identify beneficiaries'!G49="Y"),IF(OR($I65="Qualitative",$I65="Not relevant"),$I65,ROUND($I65*'Summary of area'!$E$42/'Identify beneficiaries'!$L47,3-LEN(INT($I65*'Summary of area'!$E$42/'Identify beneficiaries'!$L47)))),"")</f>
        <v>Qualitative</v>
      </c>
      <c r="R65" s="147" t="str">
        <f>IF(OR('Identify beneficiaries'!H47="Y",'Identify beneficiaries'!H48="Y",'Identify beneficiaries'!H49="Y"),IF(OR($I65="Qualitative",$I65="Not relevant"),$I65,ROUND($I65*'Summary of area'!$E$42/'Identify beneficiaries'!$L47,3-LEN(INT($I65*'Summary of area'!$E$42/'Identify beneficiaries'!$L47)))),"")</f>
        <v>Qualitative</v>
      </c>
      <c r="S65" s="147" t="str">
        <f>IF(OR('Identify beneficiaries'!I47="Y",'Identify beneficiaries'!I48="Y",'Identify beneficiaries'!I49="Y"),IF(OR($I65="Qualitative",$I65="Not relevant"),$I65,ROUND($I65*'Summary of area'!$E$42/'Identify beneficiaries'!$L47,3-LEN(INT($I65*'Summary of area'!$E$42/'Identify beneficiaries'!$L47)))),"")</f>
        <v/>
      </c>
      <c r="T65" s="147" t="str">
        <f>IF(OR('Identify beneficiaries'!J47="Y",'Identify beneficiaries'!J48="Y",'Identify beneficiaries'!J49="Y"),IF(OR($I65="Qualitative",$I65="Not relevant"),$I65,ROUND($I65*'Summary of area'!$E$42/'Identify beneficiaries'!$L47,3-LEN(INT($I65*'Summary of area'!$E$42/'Identify beneficiaries'!$L47)))),"")</f>
        <v>Qualitative</v>
      </c>
      <c r="U65" s="147" t="str">
        <f>IF(OR('Identify beneficiaries'!K47="Y",'Identify beneficiaries'!K48="Y",'Identify beneficiaries'!K49="Y"),IF(OR($I65="Qualitative",$I65="Not relevant"),$I65,ROUND($I65*'Summary of area'!$E$42/'Identify beneficiaries'!$L47,3-LEN(INT($I65*'Summary of area'!$E$42/'Identify beneficiaries'!$L47)))),"")</f>
        <v/>
      </c>
      <c r="V65" s="147" t="str">
        <f>IF(OR(I65="Qualitative",I65="Not relevant"),I65,ROUND(I65*'Summary of area'!$D$42,3-LEN(INT(I65*'Summary of area'!$D$42))))</f>
        <v>Qualitative</v>
      </c>
      <c r="X65" s="14" t="str">
        <f t="shared" si="2"/>
        <v/>
      </c>
      <c r="Y65" s="14" t="str">
        <f t="shared" si="3"/>
        <v/>
      </c>
    </row>
    <row r="66" spans="1:25" ht="40.5" customHeight="1" hidden="1" thickBot="1">
      <c r="A66" s="612"/>
      <c r="B66" s="597"/>
      <c r="C66" s="669"/>
      <c r="D66" s="655">
        <f>IF('Describe baseline'!E65="-","+",IF('Describe baseline'!E65="+","-",'Describe baseline'!E65))</f>
        <v>0</v>
      </c>
      <c r="E66" s="664" t="str">
        <f>IF(ISERROR(LEFT('Describe baseline'!F65,'OUTPUT-all'!J66-2)),"",LEFT('Describe baseline'!F65,'OUTPUT-all'!J66-2))</f>
        <v/>
      </c>
      <c r="F66" s="655" t="str">
        <f>IF(ISERROR(LEFT('Describe baseline'!G65:G69,'OUTPUT-all'!K66-2)),"",LEFT('Describe baseline'!G65:G69,'OUTPUT-all'!K66-2))</f>
        <v/>
      </c>
      <c r="G66" s="655" t="str">
        <f>IF(ISERROR(LEFT('Describe baseline'!H65:H69,'OUTPUT-all'!L66-2)),"",LEFT('Describe baseline'!H65:H69,'OUTPUT-all'!L66-2))</f>
        <v/>
      </c>
      <c r="H66" s="371" t="str">
        <f>"Non-designated land:  "&amp;IF(ISERROR(LEFT('Biodiversity - non-designated'!Q79,'OUTPUT-all'!M66-1)),"",LEFT('Biodiversity - non-designated'!Q79,'OUTPUT-all'!M66-1))</f>
        <v>Non-designated land:  High</v>
      </c>
      <c r="I66" s="94" t="str">
        <f>IF('Biodiversity - non-designated'!C79="Enter ha and/or km of watercourses",IF(D66="Neutral","Not relevant","Qualitative"),ROUND('Biodiversity - non-designated'!O79,3-LEN(INT('Biodiversity - non-designated'!O79))))</f>
        <v>Qualitative</v>
      </c>
      <c r="J66" s="154" t="e">
        <f>FIND("(",'Describe baseline'!F65)</f>
        <v>#VALUE!</v>
      </c>
      <c r="K66" s="154" t="e">
        <f>FIND("(",'Describe baseline'!G65)</f>
        <v>#VALUE!</v>
      </c>
      <c r="L66" s="154" t="e">
        <f>FIND(":",'Describe baseline'!H65)</f>
        <v>#VALUE!</v>
      </c>
      <c r="M66" s="154">
        <f>FIND(":",'Biodiversity - non-designated'!Q79)</f>
        <v>5</v>
      </c>
      <c r="N66" s="19" t="s">
        <v>171</v>
      </c>
      <c r="O66" s="149" t="str">
        <f>IF(OR('Identify beneficiaries'!E48="Y",'Identify beneficiaries'!E49="Y",'Identify beneficiaries'!E47="Y"),IF(OR($I66="Qualitative",$I66="Not relevant"),$I66,ROUND($I66*'Summary of area'!$E$42/'Identify beneficiaries'!$L47,3-LEN(INT($I66*'Summary of area'!$E$42/'Identify beneficiaries'!$L47)))),"")</f>
        <v>Qualitative</v>
      </c>
      <c r="P66" s="149" t="str">
        <f>IF(OR('Identify beneficiaries'!F48="Y",'Identify beneficiaries'!F49="Y",'Identify beneficiaries'!F47="Y"),IF(OR($I66="Qualitative",$I66="Not relevant"),$I66,ROUND($I66*'Summary of area'!$E$42/'Identify beneficiaries'!$L47,3-LEN(INT($I66*'Summary of area'!$E$42/'Identify beneficiaries'!$L47)))),"")</f>
        <v/>
      </c>
      <c r="Q66" s="149" t="str">
        <f>IF(OR('Identify beneficiaries'!G48="Y",'Identify beneficiaries'!G49="Y",'Identify beneficiaries'!G47="Y"),IF(OR($I66="Qualitative",$I66="Not relevant"),$I66,ROUND($I66*'Summary of area'!$E$42/'Identify beneficiaries'!$L47,3-LEN(INT($I66*'Summary of area'!$E$42/'Identify beneficiaries'!$L47)))),"")</f>
        <v>Qualitative</v>
      </c>
      <c r="R66" s="149" t="str">
        <f>IF(OR('Identify beneficiaries'!H48="Y",'Identify beneficiaries'!H49="Y",'Identify beneficiaries'!H47="Y"),IF(OR($I66="Qualitative",$I66="Not relevant"),$I66,ROUND($I66*'Summary of area'!$E$42/'Identify beneficiaries'!$L47,3-LEN(INT($I66*'Summary of area'!$E$42/'Identify beneficiaries'!$L47)))),"")</f>
        <v>Qualitative</v>
      </c>
      <c r="S66" s="149" t="str">
        <f>IF(OR('Identify beneficiaries'!I48="Y",'Identify beneficiaries'!I49="Y",'Identify beneficiaries'!I47="Y"),IF(OR($I66="Qualitative",$I66="Not relevant"),$I66,ROUND($I66*'Summary of area'!$E$42/'Identify beneficiaries'!$L47,3-LEN(INT($I66*'Summary of area'!$E$42/'Identify beneficiaries'!$L47)))),"")</f>
        <v/>
      </c>
      <c r="T66" s="149" t="str">
        <f>IF(OR('Identify beneficiaries'!J48="Y",'Identify beneficiaries'!J49="Y",'Identify beneficiaries'!J47="Y"),IF(OR($I66="Qualitative",$I66="Not relevant"),$I66,ROUND($I66*'Summary of area'!$E$42/'Identify beneficiaries'!$L47,3-LEN(INT($I66*'Summary of area'!$E$42/'Identify beneficiaries'!$L47)))),"")</f>
        <v>Qualitative</v>
      </c>
      <c r="U66" s="149" t="str">
        <f>IF(OR('Identify beneficiaries'!K48="Y",'Identify beneficiaries'!K49="Y",'Identify beneficiaries'!K47="Y"),IF(OR($I66="Qualitative",$I66="Not relevant"),$I66,ROUND($I66*'Summary of area'!$E$42/'Identify beneficiaries'!$L47,3-LEN(INT($I66*'Summary of area'!$E$42/'Identify beneficiaries'!$L47)))),"")</f>
        <v/>
      </c>
      <c r="V66" s="149" t="str">
        <f>IF(OR(I66="Qualitative",I66="Not relevant"),I66,ROUND(I66*'Summary of area'!$D$42,3-LEN(INT(I66*'Summary of area'!$D$42))))</f>
        <v>Qualitative</v>
      </c>
      <c r="X66" s="14" t="str">
        <f t="shared" si="2"/>
        <v/>
      </c>
      <c r="Y66" s="14" t="str">
        <f t="shared" si="3"/>
        <v/>
      </c>
    </row>
    <row r="67" spans="1:25" ht="26.25" hidden="1" thickBot="1">
      <c r="A67" s="607"/>
      <c r="B67" s="597"/>
      <c r="C67" s="24" t="s">
        <v>53</v>
      </c>
      <c r="D67" s="481">
        <f>IF('Describe baseline'!E66="-","+",IF('Describe baseline'!E66="+","-",'Describe baseline'!E66))</f>
        <v>0</v>
      </c>
      <c r="E67" s="481" t="str">
        <f>IF(ISERROR(LEFT('Describe baseline'!F66,'OUTPUT-all'!J67-2)),"",LEFT('Describe baseline'!F66,'OUTPUT-all'!J67-2))</f>
        <v/>
      </c>
      <c r="F67" s="481" t="str">
        <f>IF(ISERROR(LEFT('Describe baseline'!G66,'OUTPUT-all'!K67-2)),"",LEFT('Describe baseline'!G66,'OUTPUT-all'!K67-2))</f>
        <v/>
      </c>
      <c r="G67" s="481" t="str">
        <f>IF(ISERROR(LEFT('Describe baseline'!H66:H70,'OUTPUT-all'!L67-1)),"",LEFT('Describe baseline'!H66:H70,'OUTPUT-all'!L67-1))</f>
        <v/>
      </c>
      <c r="H67" s="481"/>
      <c r="I67" s="94" t="str">
        <f>IF(D67="Neutral","Not relevant","Qualitative")</f>
        <v>Qualitative</v>
      </c>
      <c r="J67" s="154" t="e">
        <f>FIND("(",'Describe baseline'!F66)</f>
        <v>#VALUE!</v>
      </c>
      <c r="K67" s="154" t="e">
        <f>FIND("(",'Describe baseline'!G66)</f>
        <v>#VALUE!</v>
      </c>
      <c r="L67" s="154" t="e">
        <f>FIND(":",'Describe baseline'!H66)</f>
        <v>#VALUE!</v>
      </c>
      <c r="M67" s="364"/>
      <c r="N67" s="19" t="s">
        <v>163</v>
      </c>
      <c r="O67" s="149" t="str">
        <f>IF('Identify beneficiaries'!E48="Y",IF(OR($I67="Qualitative",$I67="Not relevant"),"Captured above",$I67*'Summary of area'!$C$22/'Identify beneficiaries'!$L48),"")</f>
        <v/>
      </c>
      <c r="P67" s="149" t="str">
        <f>IF('Identify beneficiaries'!F48="Y",IF(OR($I67="Qualitative",$I67="Not relevant"),"Captured above",$I67*'Summary of area'!$C$22/'Identify beneficiaries'!$L48),"")</f>
        <v/>
      </c>
      <c r="Q67" s="149" t="str">
        <f>IF('Identify beneficiaries'!G48="Y",IF(OR($I67="Qualitative",$I67="Not relevant"),"Captured above",$I67*'Summary of area'!$C$22/'Identify beneficiaries'!$L48),"")</f>
        <v>Captured above</v>
      </c>
      <c r="R67" s="149" t="str">
        <f>IF('Identify beneficiaries'!H48="Y",IF(OR($I67="Qualitative",$I67="Not relevant"),"Captured above",$I67*'Summary of area'!$C$22/'Identify beneficiaries'!$L48),"")</f>
        <v/>
      </c>
      <c r="S67" s="149" t="str">
        <f>IF('Identify beneficiaries'!I48="Y",IF(OR($I67="Qualitative",$I67="Not relevant"),"Captured above",$I67*'Summary of area'!$C$22/'Identify beneficiaries'!$L48),"")</f>
        <v/>
      </c>
      <c r="T67" s="149" t="str">
        <f>IF('Identify beneficiaries'!J48="Y",IF(OR($I67="Qualitative",$I67="Not relevant"),"Captured above",$I67*'Summary of area'!$C$22/'Identify beneficiaries'!$L48),"")</f>
        <v/>
      </c>
      <c r="U67" s="149" t="str">
        <f>IF('Identify beneficiaries'!K48="Y",IF(OR($I67="Qualitative",$I67="Not relevant"),"Captured above",$I67*'Summary of area'!$C$22/'Identify beneficiaries'!$L48),"")</f>
        <v/>
      </c>
      <c r="V67" s="149" t="str">
        <f>IF(OR(I67="Qualitative",I67="Not relevant"),"Captured above",ROUND(I67*'Summary of area'!$D$42,3-LEN(INT(I67*'Summary of area'!$D$42))))</f>
        <v>Captured above</v>
      </c>
      <c r="X67" s="14" t="str">
        <f t="shared" si="2"/>
        <v/>
      </c>
      <c r="Y67" s="14" t="str">
        <f t="shared" si="3"/>
        <v/>
      </c>
    </row>
    <row r="68" spans="1:25" ht="26.25" hidden="1" thickBot="1">
      <c r="A68" s="617"/>
      <c r="B68" s="609"/>
      <c r="C68" s="28" t="s">
        <v>54</v>
      </c>
      <c r="D68" s="481">
        <f>IF('Describe baseline'!E67="-","+",IF('Describe baseline'!E67="+","-",'Describe baseline'!E67))</f>
        <v>0</v>
      </c>
      <c r="E68" s="29" t="str">
        <f>IF(ISERROR(LEFT('Describe baseline'!F67,'OUTPUT-all'!J68-2)),"",LEFT('Describe baseline'!F67,'OUTPUT-all'!J68-2))</f>
        <v/>
      </c>
      <c r="F68" s="29" t="str">
        <f>IF(ISERROR(LEFT('Describe baseline'!G67,'OUTPUT-all'!K68-2)),"",LEFT('Describe baseline'!G67,'OUTPUT-all'!K68-2))</f>
        <v/>
      </c>
      <c r="G68" s="29" t="str">
        <f>IF(ISERROR(LEFT('Describe baseline'!H67:H71,'OUTPUT-all'!L68-1)),"",LEFT('Describe baseline'!H67:H71,'OUTPUT-all'!L68-1))</f>
        <v/>
      </c>
      <c r="H68" s="479"/>
      <c r="I68" s="94" t="str">
        <f>IF(D68="Neutral","Not relevant","Qualitative")</f>
        <v>Qualitative</v>
      </c>
      <c r="J68" s="154" t="e">
        <f>FIND("(",'Describe baseline'!F67)</f>
        <v>#VALUE!</v>
      </c>
      <c r="K68" s="154" t="e">
        <f>FIND("(",'Describe baseline'!G67)</f>
        <v>#VALUE!</v>
      </c>
      <c r="L68" s="154" t="e">
        <f>FIND(":",'Describe baseline'!H67)</f>
        <v>#VALUE!</v>
      </c>
      <c r="M68" s="364"/>
      <c r="N68" s="62" t="s">
        <v>172</v>
      </c>
      <c r="O68" s="150" t="str">
        <f>IF('Identify beneficiaries'!E49="Y",IF(OR($I68="Qualitative",$I68="Not relevant"),"Captured above",$I68*'Summary of area'!$C$22/'Identify beneficiaries'!$L49),"")</f>
        <v/>
      </c>
      <c r="P68" s="150" t="str">
        <f>IF('Identify beneficiaries'!F49="Y",IF(OR($I68="Qualitative",$I68="Not relevant"),"Captured above",$I68*'Summary of area'!$C$22/'Identify beneficiaries'!$L49),"")</f>
        <v/>
      </c>
      <c r="Q68" s="150" t="str">
        <f>IF('Identify beneficiaries'!G49="Y",IF(OR($I68="Qualitative",$I68="Not relevant"),"Captured above",$I68*'Summary of area'!$C$22/'Identify beneficiaries'!$L49),"")</f>
        <v/>
      </c>
      <c r="R68" s="150" t="str">
        <f>IF('Identify beneficiaries'!H49="Y",IF(OR($I68="Qualitative",$I68="Not relevant"),"Captured above",$I68*'Summary of area'!$C$22/'Identify beneficiaries'!$L49),"")</f>
        <v/>
      </c>
      <c r="S68" s="150" t="str">
        <f>IF('Identify beneficiaries'!I49="Y",IF(OR($I68="Qualitative",$I68="Not relevant"),"Captured above",$I68*'Summary of area'!$C$22/'Identify beneficiaries'!$L49),"")</f>
        <v/>
      </c>
      <c r="T68" s="150" t="str">
        <f>IF('Identify beneficiaries'!J49="Y",IF(OR($I68="Qualitative",$I68="Not relevant"),"Captured above",$I68*'Summary of area'!$C$22/'Identify beneficiaries'!$L49),"")</f>
        <v>Captured above</v>
      </c>
      <c r="U68" s="150" t="str">
        <f>IF('Identify beneficiaries'!K49="Y",IF(OR($I68="Qualitative",$I68="Not relevant"),"Captured above",$I68*'Summary of area'!$C$22/'Identify beneficiaries'!$L49),"")</f>
        <v/>
      </c>
      <c r="V68" s="150" t="str">
        <f>IF(OR(I68="Qualitative",I68="Not relevant"),"Captured above",ROUND(I68*'Summary of area'!$D$42,3-LEN(INT(I68*'Summary of area'!$D$42))))</f>
        <v>Captured above</v>
      </c>
      <c r="X68" s="14" t="str">
        <f t="shared" si="2"/>
        <v/>
      </c>
      <c r="Y68" s="14" t="str">
        <f t="shared" si="3"/>
        <v/>
      </c>
    </row>
    <row r="69" spans="1:25" ht="13.5" thickBot="1">
      <c r="A69" s="611" t="s">
        <v>69</v>
      </c>
      <c r="B69" s="614" t="s">
        <v>29</v>
      </c>
      <c r="C69" s="30" t="s">
        <v>52</v>
      </c>
      <c r="D69" s="31">
        <f>IF('Describe baseline'!E68="-","+",IF('Describe baseline'!E68="+","-",'Describe baseline'!E68))</f>
        <v>0</v>
      </c>
      <c r="E69" s="31" t="str">
        <f>IF(ISERROR(LEFT('Describe baseline'!F68,'OUTPUT-all'!J69-2)),"",LEFT('Describe baseline'!F68,'OUTPUT-all'!J69-2))</f>
        <v/>
      </c>
      <c r="F69" s="31" t="str">
        <f>IF(ISERROR(LEFT('Describe baseline'!G68,'OUTPUT-all'!K69-2)),"",LEFT('Describe baseline'!G68,'OUTPUT-all'!K69-2))</f>
        <v/>
      </c>
      <c r="G69" s="31" t="str">
        <f>IF(ISERROR(LEFT('Describe baseline'!H68,'OUTPUT-all'!L69-1)),"",LEFT('Describe baseline'!H68,'OUTPUT-all'!L69-1))</f>
        <v/>
      </c>
      <c r="H69" s="374" t="str">
        <f>IF(ISERROR(LEFT('Water supply'!N155,'OUTPUT-all'!M69-1)),"",LEFT('Water supply'!N155,'OUTPUT-all'!M69-1))</f>
        <v>High</v>
      </c>
      <c r="I69" s="100" t="str">
        <f>IF('Water supply'!D155="Enter number of licences (direct benefits)",IF(D69="Neutral","Not relevant","Qualitative"),ROUND('Water supply'!K155,3-LEN(INT('Water supply'!K155))))</f>
        <v>Qualitative</v>
      </c>
      <c r="J69" s="154" t="e">
        <f>FIND("(",'Describe baseline'!F68)</f>
        <v>#VALUE!</v>
      </c>
      <c r="K69" s="154" t="e">
        <f>FIND("(",'Describe baseline'!G68)</f>
        <v>#VALUE!</v>
      </c>
      <c r="L69" s="154" t="e">
        <f>FIND(":",'Describe baseline'!H68)</f>
        <v>#VALUE!</v>
      </c>
      <c r="M69" s="154">
        <f>FIND(":",'Water supply'!N155)</f>
        <v>5</v>
      </c>
      <c r="N69" s="61" t="s">
        <v>173</v>
      </c>
      <c r="O69" s="147" t="str">
        <f>IF('Identify beneficiaries'!E50="Y",IF(OR($I69="Qualitative",$I69="Not relevant"),$I69,ROUND($I69*'Summary of area'!$E$44/'Identify beneficiaries'!$L50,3-LEN(INT($I69*'Summary of area'!$E$44/'Identify beneficiaries'!$L50)))),"")</f>
        <v/>
      </c>
      <c r="P69" s="147" t="str">
        <f>IF('Identify beneficiaries'!F50="Y",IF(OR($I69="Qualitative",$I69="Not relevant"),$I69,ROUND($I69*'Summary of area'!$E$44/'Identify beneficiaries'!$L50,3-LEN(INT($I69*'Summary of area'!$E$44/'Identify beneficiaries'!$L50)))),"")</f>
        <v>Qualitative</v>
      </c>
      <c r="Q69" s="147" t="str">
        <f>IF('Identify beneficiaries'!G50="Y",IF(OR($I69="Qualitative",$I69="Not relevant"),$I69,ROUND($I69*'Summary of area'!$E$44/'Identify beneficiaries'!$L50,3-LEN(INT($I69*'Summary of area'!$E$44/'Identify beneficiaries'!$L50)))),"")</f>
        <v>Qualitative</v>
      </c>
      <c r="R69" s="147" t="str">
        <f>IF('Identify beneficiaries'!H50="Y",IF(OR($I69="Qualitative",$I69="Not relevant"),$I69,ROUND($I69*'Summary of area'!$E$44/'Identify beneficiaries'!$L50,3-LEN(INT($I69*'Summary of area'!$E$44/'Identify beneficiaries'!$L50)))),"")</f>
        <v/>
      </c>
      <c r="S69" s="147" t="str">
        <f>IF('Identify beneficiaries'!I50="Y",IF(OR($I69="Qualitative",$I69="Not relevant"),$I69,ROUND($I69*'Summary of area'!$E$44/'Identify beneficiaries'!$L50,3-LEN(INT($I69*'Summary of area'!$E$44/'Identify beneficiaries'!$L50)))),"")</f>
        <v>Qualitative</v>
      </c>
      <c r="T69" s="147" t="str">
        <f>IF('Identify beneficiaries'!J50="Y",IF(OR($I69="Qualitative",$I69="Not relevant"),$I69,ROUND($I69*'Summary of area'!$E$44/'Identify beneficiaries'!$L50,3-LEN(INT($I69*'Summary of area'!$E$44/'Identify beneficiaries'!$L50)))),"")</f>
        <v/>
      </c>
      <c r="U69" s="147" t="str">
        <f>IF('Identify beneficiaries'!K50="Y",IF(OR($I69="Qualitative",$I69="Not relevant"),$I69,ROUND($I69*'Summary of area'!$E$44/'Identify beneficiaries'!$L50,3-LEN(INT($I69*'Summary of area'!$E$44/'Identify beneficiaries'!$L50)))),"")</f>
        <v/>
      </c>
      <c r="V69" s="147" t="str">
        <f>IF(OR(I69="Qualitative",I69="Not relevant"),I69,ROUND(I69*'Summary of area'!$D$44,3-LEN(INT(I69*'Summary of area'!$D$44))))</f>
        <v>Qualitative</v>
      </c>
      <c r="X69" s="14" t="str">
        <f t="shared" si="2"/>
        <v/>
      </c>
      <c r="Y69" s="14" t="str">
        <f t="shared" si="3"/>
        <v/>
      </c>
    </row>
    <row r="70" spans="1:25" ht="13.5" thickBot="1">
      <c r="A70" s="607"/>
      <c r="B70" s="597"/>
      <c r="C70" s="20" t="s">
        <v>53</v>
      </c>
      <c r="D70" s="21">
        <f>IF('Describe baseline'!E69="-","+",IF('Describe baseline'!E69="+","-",'Describe baseline'!E69))</f>
        <v>0</v>
      </c>
      <c r="E70" s="21" t="str">
        <f>IF(ISERROR(LEFT('Describe baseline'!F69,'OUTPUT-all'!J70-2)),"",LEFT('Describe baseline'!F69,'OUTPUT-all'!J70-2))</f>
        <v/>
      </c>
      <c r="F70" s="21" t="str">
        <f>IF(ISERROR(LEFT('Describe baseline'!G69,'OUTPUT-all'!K70-2)),"",LEFT('Describe baseline'!G69,'OUTPUT-all'!K70-2))</f>
        <v/>
      </c>
      <c r="G70" s="21" t="str">
        <f>IF(ISERROR(LEFT('Describe baseline'!H69,'OUTPUT-all'!L70-1)),"",LEFT('Describe baseline'!H69,'OUTPUT-all'!L70-1))</f>
        <v/>
      </c>
      <c r="H70" s="372" t="str">
        <f>IF(ISERROR(LEFT('Water supply'!N156,'OUTPUT-all'!M70-1)),"",LEFT('Water supply'!N156,'OUTPUT-all'!M70-1))</f>
        <v>High</v>
      </c>
      <c r="I70" s="101" t="str">
        <f>IF('Water supply'!D156="Enter number of licences (indirect benefits)",IF(D70="Neutral","Not relevant","Qualitative"),ROUND('Water supply'!K156,3-LEN(INT('Water supply'!K156))))</f>
        <v>Qualitative</v>
      </c>
      <c r="J70" s="154" t="e">
        <f>FIND("(",'Describe baseline'!F69)</f>
        <v>#VALUE!</v>
      </c>
      <c r="K70" s="154" t="e">
        <f>FIND("(",'Describe baseline'!G69)</f>
        <v>#VALUE!</v>
      </c>
      <c r="L70" s="154" t="e">
        <f>FIND(":",'Describe baseline'!H69)</f>
        <v>#VALUE!</v>
      </c>
      <c r="M70" s="154">
        <f>FIND(":",'Water supply'!N156)</f>
        <v>5</v>
      </c>
      <c r="N70" s="19" t="s">
        <v>174</v>
      </c>
      <c r="O70" s="149" t="str">
        <f>IF('Identify beneficiaries'!E51="Y",IF(OR($I70="Qualitative",$I70="Not relevant"),$I70,ROUND($I70*'Summary of area'!$E$44/'Identify beneficiaries'!$L51,3-LEN(INT($I70*'Summary of area'!$E$44/'Identify beneficiaries'!$L51)))),"")</f>
        <v>Qualitative</v>
      </c>
      <c r="P70" s="149" t="str">
        <f>IF('Identify beneficiaries'!F51="Y",IF(OR($I70="Qualitative",$I70="Not relevant"),$I70,ROUND($I70*'Summary of area'!$E$44/'Identify beneficiaries'!$L51,3-LEN(INT($I70*'Summary of area'!$E$44/'Identify beneficiaries'!$L51)))),"")</f>
        <v>Qualitative</v>
      </c>
      <c r="Q70" s="149" t="str">
        <f>IF('Identify beneficiaries'!G51="Y",IF(OR($I70="Qualitative",$I70="Not relevant"),$I70,ROUND($I70*'Summary of area'!$E$44/'Identify beneficiaries'!$L51,3-LEN(INT($I70*'Summary of area'!$E$44/'Identify beneficiaries'!$L51)))),"")</f>
        <v>Qualitative</v>
      </c>
      <c r="R70" s="149" t="str">
        <f>IF('Identify beneficiaries'!H51="Y",IF(OR($I70="Qualitative",$I70="Not relevant"),$I70,ROUND($I70*'Summary of area'!$E$44/'Identify beneficiaries'!$L51,3-LEN(INT($I70*'Summary of area'!$E$44/'Identify beneficiaries'!$L51)))),"")</f>
        <v>Qualitative</v>
      </c>
      <c r="S70" s="149" t="str">
        <f>IF('Identify beneficiaries'!I51="Y",IF(OR($I70="Qualitative",$I70="Not relevant"),$I70,ROUND($I70*'Summary of area'!$E$44/'Identify beneficiaries'!$L51,3-LEN(INT($I70*'Summary of area'!$E$44/'Identify beneficiaries'!$L51)))),"")</f>
        <v/>
      </c>
      <c r="T70" s="149" t="str">
        <f>IF('Identify beneficiaries'!J51="Y",IF(OR($I70="Qualitative",$I70="Not relevant"),$I70,ROUND($I70*'Summary of area'!$E$44/'Identify beneficiaries'!$L51,3-LEN(INT($I70*'Summary of area'!$E$44/'Identify beneficiaries'!$L51)))),"")</f>
        <v>Qualitative</v>
      </c>
      <c r="U70" s="149" t="str">
        <f>IF('Identify beneficiaries'!K51="Y",IF(OR($I70="Qualitative",$I70="Not relevant"),$I70,ROUND($I70*'Summary of area'!$E$44/'Identify beneficiaries'!$L51,3-LEN(INT($I70*'Summary of area'!$E$44/'Identify beneficiaries'!$L51)))),"")</f>
        <v>Qualitative</v>
      </c>
      <c r="V70" s="147" t="str">
        <f>IF(OR(I70="Qualitative",I70="Not relevant"),I70,ROUND(I70*'Summary of area'!$D$44,3-LEN(INT(I70*'Summary of area'!$D$44))))</f>
        <v>Qualitative</v>
      </c>
      <c r="X70" s="14" t="str">
        <f t="shared" si="2"/>
        <v/>
      </c>
      <c r="Y70" s="14" t="str">
        <f t="shared" si="3"/>
        <v/>
      </c>
    </row>
    <row r="71" spans="1:25" ht="13.5" thickBot="1">
      <c r="A71" s="617"/>
      <c r="B71" s="609"/>
      <c r="C71" s="58" t="s">
        <v>54</v>
      </c>
      <c r="D71" s="60"/>
      <c r="E71" s="60"/>
      <c r="F71" s="60"/>
      <c r="G71" s="60"/>
      <c r="H71" s="60"/>
      <c r="I71" s="98"/>
      <c r="J71" s="154" t="e">
        <f>FIND("(",'Describe baseline'!F70)</f>
        <v>#VALUE!</v>
      </c>
      <c r="K71" s="154" t="e">
        <f>FIND("(",'Describe baseline'!G70)</f>
        <v>#VALUE!</v>
      </c>
      <c r="L71" s="154" t="e">
        <f>FIND(":",'Describe baseline'!H70)</f>
        <v>#VALUE!</v>
      </c>
      <c r="M71" s="364"/>
      <c r="N71" s="98"/>
      <c r="O71" s="98"/>
      <c r="P71" s="98"/>
      <c r="Q71" s="98"/>
      <c r="R71" s="98"/>
      <c r="S71" s="98"/>
      <c r="T71" s="98"/>
      <c r="U71" s="98"/>
      <c r="V71" s="98"/>
      <c r="X71" s="14" t="str">
        <f t="shared" si="2"/>
        <v/>
      </c>
      <c r="Y71" s="14" t="str">
        <f t="shared" si="3"/>
        <v/>
      </c>
    </row>
    <row r="72" spans="1:25" ht="24.75" customHeight="1" thickBot="1">
      <c r="A72" s="686" t="s">
        <v>8</v>
      </c>
      <c r="B72" s="687"/>
      <c r="C72" s="4"/>
      <c r="D72" s="96"/>
      <c r="E72" s="96"/>
      <c r="F72" s="96"/>
      <c r="G72" s="96"/>
      <c r="H72" s="96"/>
      <c r="I72" s="103"/>
      <c r="J72" s="154" t="e">
        <f>FIND("(",'Describe baseline'!F71)</f>
        <v>#VALUE!</v>
      </c>
      <c r="K72" s="154" t="e">
        <f>FIND("(",'Describe baseline'!G71)</f>
        <v>#VALUE!</v>
      </c>
      <c r="L72" s="154" t="e">
        <f>FIND(":",'Describe baseline'!H71)</f>
        <v>#VALUE!</v>
      </c>
      <c r="M72" s="365"/>
      <c r="O72" s="147"/>
      <c r="P72" s="147"/>
      <c r="Q72" s="147"/>
      <c r="R72" s="147"/>
      <c r="S72" s="147"/>
      <c r="T72" s="147"/>
      <c r="U72" s="147"/>
      <c r="V72" s="293"/>
      <c r="X72" s="14" t="str">
        <f t="shared" si="2"/>
        <v/>
      </c>
      <c r="Y72" s="14" t="str">
        <f t="shared" si="3"/>
        <v/>
      </c>
    </row>
    <row r="73" spans="1:25" ht="15" customHeight="1" hidden="1" thickBot="1">
      <c r="A73" s="606" t="s">
        <v>9</v>
      </c>
      <c r="B73" s="608" t="s">
        <v>30</v>
      </c>
      <c r="C73" s="608" t="s">
        <v>52</v>
      </c>
      <c r="D73" s="663">
        <f>IF('Describe baseline'!E72="-","+",IF('Describe baseline'!E72="+","-",'Describe baseline'!E72))</f>
        <v>0</v>
      </c>
      <c r="E73" s="663" t="str">
        <f>IF(ISERROR(LEFT('Describe baseline'!F72,'OUTPUT-all'!J73-2)),"",LEFT('Describe baseline'!F72,'OUTPUT-all'!J73-2))</f>
        <v/>
      </c>
      <c r="F73" s="663" t="str">
        <f>IF(ISERROR(LEFT('Describe baseline'!G72,'OUTPUT-all'!K73-2)),"",LEFT('Describe baseline'!G72,'OUTPUT-all'!K73-2))</f>
        <v/>
      </c>
      <c r="G73" s="663" t="str">
        <f>IF(ISERROR(LEFT('Describe baseline'!H72,'OUTPUT-all'!L73-1)),"",LEFT('Describe baseline'!H72,'OUTPUT-all'!L73-1))</f>
        <v/>
      </c>
      <c r="H73" s="478"/>
      <c r="I73" s="658" t="str">
        <f>IF(D73="Neutral","Not relevant","Qualitative")</f>
        <v>Qualitative</v>
      </c>
      <c r="J73" s="154" t="e">
        <f>FIND("(",'Describe baseline'!F72)</f>
        <v>#VALUE!</v>
      </c>
      <c r="K73" s="154" t="e">
        <f>FIND("(",'Describe baseline'!G72)</f>
        <v>#VALUE!</v>
      </c>
      <c r="L73" s="154" t="e">
        <f>FIND(":",'Describe baseline'!H72)</f>
        <v>#VALUE!</v>
      </c>
      <c r="M73" s="154"/>
      <c r="N73" s="61" t="s">
        <v>175</v>
      </c>
      <c r="O73" s="147" t="str">
        <f>IF('Identify beneficiaries'!E54="Y",IF(OR($I73="Qualitative",$I73="Not relevant"),$I73,$I73*'Summary of area'!$C$22/'Identify beneficiaries'!$L54),"")</f>
        <v>Qualitative</v>
      </c>
      <c r="P73" s="147" t="str">
        <f>IF('Identify beneficiaries'!F54="Y",IF(OR($I73="Qualitative",$I73="Not relevant"),$I73,$I73*'Summary of area'!$C$22/'Identify beneficiaries'!$L54),"")</f>
        <v/>
      </c>
      <c r="Q73" s="147" t="str">
        <f>IF('Identify beneficiaries'!G54="Y",IF(OR($I73="Qualitative",$I73="Not relevant"),$I73,$I73*'Summary of area'!$C$22/'Identify beneficiaries'!$L54),"")</f>
        <v/>
      </c>
      <c r="R73" s="147" t="str">
        <f>IF('Identify beneficiaries'!H54="Y",IF(OR($I73="Qualitative",$I73="Not relevant"),$I73,$I73*'Summary of area'!$C$22/'Identify beneficiaries'!$L54),"")</f>
        <v/>
      </c>
      <c r="S73" s="147" t="str">
        <f>IF('Identify beneficiaries'!I54="Y",IF(OR($I73="Qualitative",$I73="Not relevant"),$I73,$I73*'Summary of area'!$C$22/'Identify beneficiaries'!$L54),"")</f>
        <v/>
      </c>
      <c r="T73" s="147" t="str">
        <f>IF('Identify beneficiaries'!J54="Y",IF(OR($I73="Qualitative",$I73="Not relevant"),$I73,$I73*'Summary of area'!$C$22/'Identify beneficiaries'!$L54),"")</f>
        <v/>
      </c>
      <c r="U73" s="147" t="str">
        <f>IF('Identify beneficiaries'!K54="Y",IF(OR($I73="Qualitative",$I73="Not relevant"),$I73,$I73*'Summary of area'!$C$22/'Identify beneficiaries'!$L54),"")</f>
        <v/>
      </c>
      <c r="V73" s="292" t="str">
        <f>IF(OR(I73="Qualitative",I73="Not relevant"),I73,ROUND(I73*'Summary of area'!$C$21,3-LEN(INT(I73*'Summary of area'!$C$21))))</f>
        <v>Qualitative</v>
      </c>
      <c r="X73" s="14" t="str">
        <f t="shared" si="2"/>
        <v/>
      </c>
      <c r="Y73" s="14" t="str">
        <f t="shared" si="3"/>
        <v/>
      </c>
    </row>
    <row r="74" spans="1:25" ht="13.5" hidden="1" thickBot="1">
      <c r="A74" s="612"/>
      <c r="B74" s="615"/>
      <c r="C74" s="615"/>
      <c r="D74" s="654">
        <f>IF('Describe baseline'!E73="-","+",IF('Describe baseline'!E73="+","-",'Describe baseline'!E73))</f>
        <v>0</v>
      </c>
      <c r="E74" s="666" t="str">
        <f>IF(ISERROR(LEFT('Describe baseline'!F73,'OUTPUT-all'!J74-2)),"",LEFT('Describe baseline'!F73,'OUTPUT-all'!J74-2))</f>
        <v/>
      </c>
      <c r="F74" s="654" t="str">
        <f>IF(ISERROR(LEFT('Describe baseline'!G73:G77,'OUTPUT-all'!K74-2)),"",LEFT('Describe baseline'!G73:G77,'OUTPUT-all'!K74-2))</f>
        <v/>
      </c>
      <c r="G74" s="654" t="str">
        <f>IF(ISERROR(LEFT('Describe baseline'!H73:H77,'OUTPUT-all'!L74-2)),"",LEFT('Describe baseline'!H73:H77,'OUTPUT-all'!L74-2))</f>
        <v/>
      </c>
      <c r="H74" s="476"/>
      <c r="I74" s="651" t="e">
        <f>IF(D74="-",ROUND(#REF!,2-LEN(INT(#REF!)))*-1,ROUND(#REF!,2-LEN(INT(#REF!))))</f>
        <v>#REF!</v>
      </c>
      <c r="J74" s="154" t="e">
        <f>FIND("(",'Describe baseline'!F73)</f>
        <v>#VALUE!</v>
      </c>
      <c r="K74" s="154" t="e">
        <f>FIND("(",'Describe baseline'!G73)</f>
        <v>#VALUE!</v>
      </c>
      <c r="L74" s="154" t="e">
        <f>FIND(":",'Describe baseline'!H73)</f>
        <v>#VALUE!</v>
      </c>
      <c r="M74" s="364"/>
      <c r="N74" s="148"/>
      <c r="O74" s="149"/>
      <c r="P74" s="149"/>
      <c r="Q74" s="149"/>
      <c r="R74" s="149"/>
      <c r="S74" s="149"/>
      <c r="T74" s="149"/>
      <c r="U74" s="149"/>
      <c r="V74" s="149"/>
      <c r="X74" s="14" t="e">
        <f t="shared" si="2"/>
        <v>#REF!</v>
      </c>
      <c r="Y74" s="14" t="e">
        <f t="shared" si="3"/>
        <v>#REF!</v>
      </c>
    </row>
    <row r="75" spans="1:25" ht="13.5" hidden="1" thickBot="1">
      <c r="A75" s="612"/>
      <c r="B75" s="615"/>
      <c r="C75" s="669"/>
      <c r="D75" s="655">
        <f>IF('Describe baseline'!E74="-","+",IF('Describe baseline'!E74="+","-",'Describe baseline'!E74))</f>
        <v>0</v>
      </c>
      <c r="E75" s="664" t="str">
        <f>IF(ISERROR(LEFT('Describe baseline'!F74,'OUTPUT-all'!J75-2)),"",LEFT('Describe baseline'!F74,'OUTPUT-all'!J75-2))</f>
        <v/>
      </c>
      <c r="F75" s="655" t="str">
        <f>IF(ISERROR(LEFT('Describe baseline'!G74:G78,'OUTPUT-all'!K75-2)),"",LEFT('Describe baseline'!G74:G78,'OUTPUT-all'!K75-2))</f>
        <v/>
      </c>
      <c r="G75" s="655" t="str">
        <f>IF(ISERROR(LEFT('Describe baseline'!H74:H78,'OUTPUT-all'!L75-2)),"",LEFT('Describe baseline'!H74:H78,'OUTPUT-all'!L75-2))</f>
        <v/>
      </c>
      <c r="H75" s="477"/>
      <c r="I75" s="652" t="e">
        <f>IF(D75="-",ROUND(#REF!,2-LEN(INT(#REF!)))*-1,ROUND(#REF!,2-LEN(INT(#REF!))))</f>
        <v>#REF!</v>
      </c>
      <c r="J75" s="154" t="e">
        <f>FIND("(",'Describe baseline'!F74)</f>
        <v>#VALUE!</v>
      </c>
      <c r="K75" s="154" t="e">
        <f>FIND("(",'Describe baseline'!G74)</f>
        <v>#VALUE!</v>
      </c>
      <c r="L75" s="154" t="e">
        <f>FIND(":",'Describe baseline'!H74)</f>
        <v>#VALUE!</v>
      </c>
      <c r="M75" s="364"/>
      <c r="N75" s="148"/>
      <c r="O75" s="149"/>
      <c r="P75" s="149"/>
      <c r="Q75" s="149"/>
      <c r="R75" s="149"/>
      <c r="S75" s="149"/>
      <c r="T75" s="149"/>
      <c r="U75" s="149"/>
      <c r="V75" s="149"/>
      <c r="X75" s="14" t="e">
        <f t="shared" si="2"/>
        <v>#REF!</v>
      </c>
      <c r="Y75" s="14" t="e">
        <f t="shared" si="3"/>
        <v>#REF!</v>
      </c>
    </row>
    <row r="76" spans="1:25" ht="13.5" hidden="1" thickBot="1">
      <c r="A76" s="612"/>
      <c r="B76" s="615"/>
      <c r="C76" s="55" t="s">
        <v>53</v>
      </c>
      <c r="D76" s="57"/>
      <c r="E76" s="57"/>
      <c r="F76" s="57"/>
      <c r="G76" s="57"/>
      <c r="H76" s="57"/>
      <c r="I76" s="97"/>
      <c r="J76" s="154" t="e">
        <f>FIND("(",'Describe baseline'!F75)</f>
        <v>#VALUE!</v>
      </c>
      <c r="K76" s="154" t="e">
        <f>FIND("(",'Describe baseline'!G75)</f>
        <v>#VALUE!</v>
      </c>
      <c r="L76" s="154" t="e">
        <f>FIND(":",'Describe baseline'!H75)</f>
        <v>#VALUE!</v>
      </c>
      <c r="M76" s="364"/>
      <c r="N76" s="97"/>
      <c r="O76" s="97"/>
      <c r="P76" s="97"/>
      <c r="Q76" s="97"/>
      <c r="R76" s="97"/>
      <c r="S76" s="97"/>
      <c r="T76" s="97"/>
      <c r="U76" s="97"/>
      <c r="V76" s="97"/>
      <c r="X76" s="14" t="str">
        <f t="shared" si="2"/>
        <v/>
      </c>
      <c r="Y76" s="14" t="str">
        <f t="shared" si="3"/>
        <v/>
      </c>
    </row>
    <row r="77" spans="1:25" ht="39" hidden="1" thickBot="1">
      <c r="A77" s="613"/>
      <c r="B77" s="616"/>
      <c r="C77" s="28" t="s">
        <v>54</v>
      </c>
      <c r="D77" s="29">
        <f>IF('Describe baseline'!E76="-","+",IF('Describe baseline'!E76="+","-",'Describe baseline'!E76))</f>
        <v>0</v>
      </c>
      <c r="E77" s="29" t="str">
        <f>IF(ISERROR(LEFT('Describe baseline'!F76,'OUTPUT-all'!J77-2)),"",LEFT('Describe baseline'!F76,'OUTPUT-all'!J77-2))</f>
        <v/>
      </c>
      <c r="F77" s="29" t="str">
        <f>IF(ISERROR(LEFT('Describe baseline'!G76,'OUTPUT-all'!K77-2)),"",LEFT('Describe baseline'!G76,'OUTPUT-all'!K77-2))</f>
        <v/>
      </c>
      <c r="G77" s="29" t="str">
        <f>IF(ISERROR(LEFT('Describe baseline'!H76,'OUTPUT-all'!L77-1)),"",LEFT('Describe baseline'!H76,'OUTPUT-all'!L77-1))</f>
        <v/>
      </c>
      <c r="H77" s="29"/>
      <c r="I77" s="99" t="str">
        <f>IF(D77="Neutral","Not relevant","Qualitative")</f>
        <v>Qualitative</v>
      </c>
      <c r="J77" s="154" t="e">
        <f>FIND("(",'Describe baseline'!F76)</f>
        <v>#VALUE!</v>
      </c>
      <c r="K77" s="154" t="e">
        <f>FIND("(",'Describe baseline'!G76)</f>
        <v>#VALUE!</v>
      </c>
      <c r="L77" s="154" t="e">
        <f>FIND(":",'Describe baseline'!H76)</f>
        <v>#VALUE!</v>
      </c>
      <c r="M77" s="364"/>
      <c r="N77" s="62" t="s">
        <v>176</v>
      </c>
      <c r="O77" s="150" t="str">
        <f>IF('Identify beneficiaries'!E56="Y",IF(OR($I77="Qualitative",$I77="Not relevant"),$I77,$I77*'Summary of area'!$C$22/'Identify beneficiaries'!$L56),"")</f>
        <v/>
      </c>
      <c r="P77" s="150" t="str">
        <f>IF('Identify beneficiaries'!F56="Y",IF(OR($I77="Qualitative",$I77="Not relevant"),$I77,$I77*'Summary of area'!$C$22/'Identify beneficiaries'!$L56),"")</f>
        <v/>
      </c>
      <c r="Q77" s="150" t="str">
        <f>IF('Identify beneficiaries'!G56="Y",IF(OR($I77="Qualitative",$I77="Not relevant"),$I77,$I77*'Summary of area'!$C$22/'Identify beneficiaries'!$L56),"")</f>
        <v/>
      </c>
      <c r="R77" s="150" t="str">
        <f>IF('Identify beneficiaries'!H56="Y",IF(OR($I77="Qualitative",$I77="Not relevant"),$I77,$I77*'Summary of area'!$C$22/'Identify beneficiaries'!$L56),"")</f>
        <v>Qualitative</v>
      </c>
      <c r="S77" s="150" t="str">
        <f>IF('Identify beneficiaries'!I56="Y",IF(OR($I77="Qualitative",$I77="Not relevant"),$I77,$I77*'Summary of area'!$C$22/'Identify beneficiaries'!$L56),"")</f>
        <v/>
      </c>
      <c r="T77" s="150" t="str">
        <f>IF('Identify beneficiaries'!J56="Y",IF(OR($I77="Qualitative",$I77="Not relevant"),$I77,$I77*'Summary of area'!$C$22/'Identify beneficiaries'!$L56),"")</f>
        <v>Qualitative</v>
      </c>
      <c r="U77" s="150" t="str">
        <f>IF('Identify beneficiaries'!K56="Y",IF(OR($I77="Qualitative",$I77="Not relevant"),$I77,$I77*'Summary of area'!$C$22/'Identify beneficiaries'!$L56),"")</f>
        <v/>
      </c>
      <c r="V77" s="150" t="str">
        <f>IF(OR(I77="Qualitative",I77="Not relevant"),I77,ROUND(I77*'Summary of area'!$C$21,3-LEN(INT(I77*'Summary of area'!$C$21))))</f>
        <v>Qualitative</v>
      </c>
      <c r="X77" s="14" t="str">
        <f t="shared" si="2"/>
        <v/>
      </c>
      <c r="Y77" s="14" t="str">
        <f t="shared" si="3"/>
        <v/>
      </c>
    </row>
    <row r="78" spans="1:25" ht="20.25" customHeight="1" hidden="1" thickBot="1">
      <c r="A78" s="606" t="s">
        <v>10</v>
      </c>
      <c r="B78" s="608" t="s">
        <v>66</v>
      </c>
      <c r="C78" s="26" t="s">
        <v>52</v>
      </c>
      <c r="D78" s="27">
        <f>IF('Describe baseline'!E77="-","+",IF('Describe baseline'!E77="+","-",'Describe baseline'!E77))</f>
        <v>0</v>
      </c>
      <c r="E78" s="27" t="str">
        <f>IF(ISERROR(LEFT('Describe baseline'!F77,'OUTPUT-all'!J78-2)),"",LEFT('Describe baseline'!F77,'OUTPUT-all'!J78-2))</f>
        <v/>
      </c>
      <c r="F78" s="27" t="str">
        <f>IF(ISERROR(LEFT('Describe baseline'!G77,'OUTPUT-all'!K78-2)),"",LEFT('Describe baseline'!G77,'OUTPUT-all'!K78-2))</f>
        <v/>
      </c>
      <c r="G78" s="27" t="str">
        <f>IF(ISERROR(LEFT('Describe baseline'!H77,'OUTPUT-all'!L78-1)),"",LEFT('Describe baseline'!H77,'OUTPUT-all'!L78-1))</f>
        <v/>
      </c>
      <c r="H78" s="27"/>
      <c r="I78" s="92" t="str">
        <f>IF(D78="Neutral","Not relevant","Qualitative")</f>
        <v>Qualitative</v>
      </c>
      <c r="J78" s="154" t="e">
        <f>FIND("(",'Describe baseline'!F77)</f>
        <v>#VALUE!</v>
      </c>
      <c r="K78" s="154" t="e">
        <f>FIND("(",'Describe baseline'!G77)</f>
        <v>#VALUE!</v>
      </c>
      <c r="L78" s="154" t="e">
        <f>FIND(":",'Describe baseline'!H77)</f>
        <v>#VALUE!</v>
      </c>
      <c r="M78" s="154"/>
      <c r="N78" s="61" t="s">
        <v>177</v>
      </c>
      <c r="O78" s="147" t="str">
        <f>IF('Identify beneficiaries'!E57="Y",IF(OR($I78="Qualitative",$I78="Not relevant"),$I78,$I78*'Summary of area'!$C$22/'Identify beneficiaries'!$L57),"")</f>
        <v>Qualitative</v>
      </c>
      <c r="P78" s="147" t="str">
        <f>IF('Identify beneficiaries'!F57="Y",IF(OR($I78="Qualitative",$I78="Not relevant"),$I78,$I78*'Summary of area'!$C$22/'Identify beneficiaries'!$L57),"")</f>
        <v/>
      </c>
      <c r="Q78" s="147" t="str">
        <f>IF('Identify beneficiaries'!G57="Y",IF(OR($I78="Qualitative",$I78="Not relevant"),$I78,$I78*'Summary of area'!$C$22/'Identify beneficiaries'!$L57),"")</f>
        <v/>
      </c>
      <c r="R78" s="147" t="str">
        <f>IF('Identify beneficiaries'!H57="Y",IF(OR($I78="Qualitative",$I78="Not relevant"),$I78,$I78*'Summary of area'!$C$22/'Identify beneficiaries'!$L57),"")</f>
        <v/>
      </c>
      <c r="S78" s="147" t="str">
        <f>IF('Identify beneficiaries'!I57="Y",IF(OR($I78="Qualitative",$I78="Not relevant"),$I78,$I78*'Summary of area'!$C$22/'Identify beneficiaries'!$L57),"")</f>
        <v/>
      </c>
      <c r="T78" s="147" t="str">
        <f>IF('Identify beneficiaries'!J57="Y",IF(OR($I78="Qualitative",$I78="Not relevant"),$I78,$I78*'Summary of area'!$C$22/'Identify beneficiaries'!$L57),"")</f>
        <v/>
      </c>
      <c r="U78" s="147" t="str">
        <f>IF('Identify beneficiaries'!K57="Y",IF(OR($I78="Qualitative",$I78="Not relevant"),$I78,$I78*'Summary of area'!$C$22/'Identify beneficiaries'!$L57),"")</f>
        <v/>
      </c>
      <c r="V78" s="147" t="str">
        <f>IF(OR(I78="Qualitative",I78="Not relevant"),I78,ROUND(I78*'Summary of area'!$C$21,3-LEN(INT(I78*'Summary of area'!$C$21))))</f>
        <v>Qualitative</v>
      </c>
      <c r="X78" s="14" t="str">
        <f t="shared" si="2"/>
        <v/>
      </c>
      <c r="Y78" s="14" t="str">
        <f t="shared" si="3"/>
        <v/>
      </c>
    </row>
    <row r="79" spans="1:25" ht="13.5" hidden="1" thickBot="1">
      <c r="A79" s="607"/>
      <c r="B79" s="597"/>
      <c r="C79" s="55" t="s">
        <v>53</v>
      </c>
      <c r="D79" s="57"/>
      <c r="E79" s="57"/>
      <c r="F79" s="57"/>
      <c r="G79" s="57"/>
      <c r="H79" s="57"/>
      <c r="I79" s="97"/>
      <c r="J79" s="154" t="e">
        <f>FIND("(",'Describe baseline'!F78)</f>
        <v>#VALUE!</v>
      </c>
      <c r="K79" s="154" t="e">
        <f>FIND("(",'Describe baseline'!G78)</f>
        <v>#VALUE!</v>
      </c>
      <c r="L79" s="154" t="e">
        <f>FIND(":",'Describe baseline'!H78)</f>
        <v>#VALUE!</v>
      </c>
      <c r="M79" s="364"/>
      <c r="N79" s="97"/>
      <c r="O79" s="97"/>
      <c r="P79" s="97"/>
      <c r="Q79" s="97"/>
      <c r="R79" s="97"/>
      <c r="S79" s="97"/>
      <c r="T79" s="97"/>
      <c r="U79" s="97"/>
      <c r="V79" s="97"/>
      <c r="X79" s="14" t="str">
        <f t="shared" si="2"/>
        <v/>
      </c>
      <c r="Y79" s="14" t="str">
        <f t="shared" si="3"/>
        <v/>
      </c>
    </row>
    <row r="80" spans="1:25" ht="18.75" customHeight="1" hidden="1" thickBot="1">
      <c r="A80" s="617"/>
      <c r="B80" s="609"/>
      <c r="C80" s="58" t="s">
        <v>54</v>
      </c>
      <c r="D80" s="60"/>
      <c r="E80" s="60"/>
      <c r="F80" s="60"/>
      <c r="G80" s="60"/>
      <c r="H80" s="60"/>
      <c r="I80" s="98"/>
      <c r="J80" s="154" t="e">
        <f>FIND("(",'Describe baseline'!F79)</f>
        <v>#VALUE!</v>
      </c>
      <c r="K80" s="154" t="e">
        <f>FIND("(",'Describe baseline'!G79)</f>
        <v>#VALUE!</v>
      </c>
      <c r="L80" s="154" t="e">
        <f>FIND(":",'Describe baseline'!H79)</f>
        <v>#VALUE!</v>
      </c>
      <c r="M80" s="364"/>
      <c r="N80" s="98"/>
      <c r="O80" s="98"/>
      <c r="P80" s="98"/>
      <c r="Q80" s="98"/>
      <c r="R80" s="98"/>
      <c r="S80" s="98"/>
      <c r="T80" s="98"/>
      <c r="U80" s="98"/>
      <c r="V80" s="98"/>
      <c r="X80" s="14" t="str">
        <f t="shared" si="2"/>
        <v/>
      </c>
      <c r="Y80" s="14" t="str">
        <f t="shared" si="3"/>
        <v/>
      </c>
    </row>
    <row r="81" spans="1:25" ht="26.25" hidden="1" thickBot="1">
      <c r="A81" s="688" t="s">
        <v>11</v>
      </c>
      <c r="B81" s="608" t="s">
        <v>31</v>
      </c>
      <c r="C81" s="26" t="s">
        <v>52</v>
      </c>
      <c r="D81" s="27">
        <f>IF('Describe baseline'!E80="-","+",IF('Describe baseline'!E80="+","-",'Describe baseline'!E80))</f>
        <v>0</v>
      </c>
      <c r="E81" s="27" t="str">
        <f>IF(ISERROR(LEFT('Describe baseline'!F80,'OUTPUT-all'!J81-2)),"",LEFT('Describe baseline'!F80,'OUTPUT-all'!J81-2))</f>
        <v/>
      </c>
      <c r="F81" s="27" t="str">
        <f>IF(ISERROR(LEFT('Describe baseline'!G80,'OUTPUT-all'!K81-2)),"",LEFT('Describe baseline'!G80,'OUTPUT-all'!K81-2))</f>
        <v/>
      </c>
      <c r="G81" s="27" t="str">
        <f>IF(ISERROR(LEFT('Describe baseline'!H80,'OUTPUT-all'!L81-1)),"",LEFT('Describe baseline'!H80,'OUTPUT-all'!L81-1))</f>
        <v/>
      </c>
      <c r="H81" s="27"/>
      <c r="I81" s="92" t="str">
        <f>IF(D81="Neutral","Not relevant","Qualitative")</f>
        <v>Qualitative</v>
      </c>
      <c r="J81" s="154" t="e">
        <f>FIND("(",'Describe baseline'!F80)</f>
        <v>#VALUE!</v>
      </c>
      <c r="K81" s="154" t="e">
        <f>FIND("(",'Describe baseline'!G80)</f>
        <v>#VALUE!</v>
      </c>
      <c r="L81" s="154" t="e">
        <f>FIND(":",'Describe baseline'!H80)</f>
        <v>#VALUE!</v>
      </c>
      <c r="M81" s="154"/>
      <c r="N81" s="61" t="s">
        <v>178</v>
      </c>
      <c r="O81" s="147" t="str">
        <f>IF('Identify beneficiaries'!E60="Y",IF(OR($I81="Qualitative",$I81="Not relevant"),$I81,$I81*'Summary of area'!$C$22/'Identify beneficiaries'!$L60),"")</f>
        <v>Qualitative</v>
      </c>
      <c r="P81" s="147" t="str">
        <f>IF('Identify beneficiaries'!F60="Y",IF(OR($I81="Qualitative",$I81="Not relevant"),$I81,$I81*'Summary of area'!$C$22/'Identify beneficiaries'!$L60),"")</f>
        <v>Qualitative</v>
      </c>
      <c r="Q81" s="147" t="str">
        <f>IF('Identify beneficiaries'!G60="Y",IF(OR($I81="Qualitative",$I81="Not relevant"),$I81,$I81*'Summary of area'!$C$22/'Identify beneficiaries'!$L60),"")</f>
        <v>Qualitative</v>
      </c>
      <c r="R81" s="147" t="str">
        <f>IF('Identify beneficiaries'!H60="Y",IF(OR($I81="Qualitative",$I81="Not relevant"),$I81,$I81*'Summary of area'!$C$22/'Identify beneficiaries'!$L60),"")</f>
        <v>Qualitative</v>
      </c>
      <c r="S81" s="147" t="str">
        <f>IF('Identify beneficiaries'!I60="Y",IF(OR($I81="Qualitative",$I81="Not relevant"),$I81,$I81*'Summary of area'!$C$22/'Identify beneficiaries'!$L60),"")</f>
        <v>Qualitative</v>
      </c>
      <c r="T81" s="147" t="str">
        <f>IF('Identify beneficiaries'!J60="Y",IF(OR($I81="Qualitative",$I81="Not relevant"),$I81,$I81*'Summary of area'!$C$22/'Identify beneficiaries'!$L60),"")</f>
        <v/>
      </c>
      <c r="U81" s="147" t="str">
        <f>IF('Identify beneficiaries'!K60="Y",IF(OR($I81="Qualitative",$I81="Not relevant"),$I81,$I81*'Summary of area'!$C$22/'Identify beneficiaries'!$L60),"")</f>
        <v/>
      </c>
      <c r="V81" s="147" t="str">
        <f>IF(OR(I81="Qualitative",I81="Not relevant"),I81,ROUND(I81*'Summary of area'!$C$21,3-LEN(INT(I81*'Summary of area'!$C$21))))</f>
        <v>Qualitative</v>
      </c>
      <c r="X81" s="14" t="str">
        <f t="shared" si="2"/>
        <v/>
      </c>
      <c r="Y81" s="14" t="str">
        <f t="shared" si="3"/>
        <v/>
      </c>
    </row>
    <row r="82" spans="1:25" ht="13.5" hidden="1" thickBot="1">
      <c r="A82" s="607"/>
      <c r="B82" s="597"/>
      <c r="C82" s="55" t="s">
        <v>53</v>
      </c>
      <c r="D82" s="57"/>
      <c r="E82" s="57"/>
      <c r="F82" s="57"/>
      <c r="G82" s="57"/>
      <c r="H82" s="57"/>
      <c r="I82" s="97"/>
      <c r="J82" s="154" t="e">
        <f>FIND("(",'Describe baseline'!F81)</f>
        <v>#VALUE!</v>
      </c>
      <c r="K82" s="154" t="e">
        <f>FIND("(",'Describe baseline'!G81)</f>
        <v>#VALUE!</v>
      </c>
      <c r="L82" s="154" t="e">
        <f>FIND(":",'Describe baseline'!H81)</f>
        <v>#VALUE!</v>
      </c>
      <c r="M82" s="364"/>
      <c r="N82" s="97"/>
      <c r="O82" s="97"/>
      <c r="P82" s="97"/>
      <c r="Q82" s="97"/>
      <c r="R82" s="97"/>
      <c r="S82" s="97"/>
      <c r="T82" s="97"/>
      <c r="U82" s="97"/>
      <c r="V82" s="97"/>
      <c r="X82" s="14" t="str">
        <f t="shared" si="2"/>
        <v/>
      </c>
      <c r="Y82" s="14" t="str">
        <f t="shared" si="3"/>
        <v/>
      </c>
    </row>
    <row r="83" spans="1:25" ht="13.5" hidden="1" thickBot="1">
      <c r="A83" s="617"/>
      <c r="B83" s="609"/>
      <c r="C83" s="58" t="s">
        <v>54</v>
      </c>
      <c r="D83" s="60"/>
      <c r="E83" s="60"/>
      <c r="F83" s="60"/>
      <c r="G83" s="60"/>
      <c r="H83" s="60"/>
      <c r="I83" s="98"/>
      <c r="J83" s="154" t="e">
        <f>FIND("(",'Describe baseline'!F82)</f>
        <v>#VALUE!</v>
      </c>
      <c r="K83" s="154" t="e">
        <f>FIND("(",'Describe baseline'!G82)</f>
        <v>#VALUE!</v>
      </c>
      <c r="L83" s="154" t="e">
        <f>FIND(":",'Describe baseline'!H82)</f>
        <v>#VALUE!</v>
      </c>
      <c r="M83" s="364"/>
      <c r="N83" s="98"/>
      <c r="O83" s="98"/>
      <c r="P83" s="98"/>
      <c r="Q83" s="98"/>
      <c r="R83" s="98"/>
      <c r="S83" s="98"/>
      <c r="T83" s="98"/>
      <c r="U83" s="98"/>
      <c r="V83" s="98"/>
      <c r="X83" s="14" t="str">
        <f t="shared" si="2"/>
        <v/>
      </c>
      <c r="Y83" s="14" t="str">
        <f t="shared" si="3"/>
        <v/>
      </c>
    </row>
    <row r="84" spans="1:25" ht="39" hidden="1" thickBot="1">
      <c r="A84" s="606" t="s">
        <v>12</v>
      </c>
      <c r="B84" s="608" t="s">
        <v>32</v>
      </c>
      <c r="C84" s="26" t="s">
        <v>52</v>
      </c>
      <c r="D84" s="27">
        <f>IF('Describe baseline'!E83="-","+",IF('Describe baseline'!E83="+","-",'Describe baseline'!E83))</f>
        <v>0</v>
      </c>
      <c r="E84" s="27" t="str">
        <f>IF(ISERROR(LEFT('Describe baseline'!F83,'OUTPUT-all'!J84-2)),"",LEFT('Describe baseline'!F83,'OUTPUT-all'!J84-2))</f>
        <v/>
      </c>
      <c r="F84" s="27" t="str">
        <f>IF(ISERROR(LEFT('Describe baseline'!G83,'OUTPUT-all'!K84-2)),"",LEFT('Describe baseline'!G83,'OUTPUT-all'!K84-2))</f>
        <v/>
      </c>
      <c r="G84" s="27" t="str">
        <f>IF(ISERROR(LEFT('Describe baseline'!H83,'OUTPUT-all'!L84-1)),"",LEFT('Describe baseline'!H83,'OUTPUT-all'!L84-1))</f>
        <v/>
      </c>
      <c r="H84" s="27"/>
      <c r="I84" s="92" t="str">
        <f>IF(D84="Neutral","Not relevant","Qualitative")</f>
        <v>Qualitative</v>
      </c>
      <c r="J84" s="154" t="e">
        <f>FIND("(",'Describe baseline'!F83)</f>
        <v>#VALUE!</v>
      </c>
      <c r="K84" s="154" t="e">
        <f>FIND("(",'Describe baseline'!G83)</f>
        <v>#VALUE!</v>
      </c>
      <c r="L84" s="154" t="e">
        <f>FIND(":",'Describe baseline'!H83)</f>
        <v>#VALUE!</v>
      </c>
      <c r="M84" s="154"/>
      <c r="N84" s="61" t="s">
        <v>179</v>
      </c>
      <c r="O84" s="147" t="str">
        <f>IF('Identify beneficiaries'!E63="Y",IF(OR($I84="Qualitative",$I84="Not relevant"),$I84,$I84*'Summary of area'!$C$22/'Identify beneficiaries'!$L63),"")</f>
        <v>Qualitative</v>
      </c>
      <c r="P84" s="147" t="str">
        <f>IF('Identify beneficiaries'!F63="Y",IF(OR($I84="Qualitative",$I84="Not relevant"),$I84,$I84*'Summary of area'!$C$22/'Identify beneficiaries'!$L63),"")</f>
        <v/>
      </c>
      <c r="Q84" s="147" t="str">
        <f>IF('Identify beneficiaries'!G63="Y",IF(OR($I84="Qualitative",$I84="Not relevant"),$I84,$I84*'Summary of area'!$C$22/'Identify beneficiaries'!$L63),"")</f>
        <v/>
      </c>
      <c r="R84" s="147" t="str">
        <f>IF('Identify beneficiaries'!H63="Y",IF(OR($I84="Qualitative",$I84="Not relevant"),$I84,$I84*'Summary of area'!$C$22/'Identify beneficiaries'!$L63),"")</f>
        <v/>
      </c>
      <c r="S84" s="147" t="str">
        <f>IF('Identify beneficiaries'!I63="Y",IF(OR($I84="Qualitative",$I84="Not relevant"),$I84,$I84*'Summary of area'!$C$22/'Identify beneficiaries'!$L63),"")</f>
        <v/>
      </c>
      <c r="T84" s="147" t="str">
        <f>IF('Identify beneficiaries'!J63="Y",IF(OR($I84="Qualitative",$I84="Not relevant"),$I84,$I84*'Summary of area'!$C$22/'Identify beneficiaries'!$L63),"")</f>
        <v>Qualitative</v>
      </c>
      <c r="U84" s="147" t="str">
        <f>IF('Identify beneficiaries'!K63="Y",IF(OR($I84="Qualitative",$I84="Not relevant"),$I84,$I84*'Summary of area'!$C$22/'Identify beneficiaries'!$L63),"")</f>
        <v/>
      </c>
      <c r="V84" s="147" t="str">
        <f>IF(OR(I84="Qualitative",I84="Not relevant"),I84,ROUND(I84*'Summary of area'!$C$21,3-LEN(INT(I84*'Summary of area'!$C$21))))</f>
        <v>Qualitative</v>
      </c>
      <c r="X84" s="14" t="str">
        <f t="shared" si="2"/>
        <v/>
      </c>
      <c r="Y84" s="14" t="str">
        <f t="shared" si="3"/>
        <v/>
      </c>
    </row>
    <row r="85" spans="1:25" ht="13.5" hidden="1" thickBot="1">
      <c r="A85" s="607"/>
      <c r="B85" s="597"/>
      <c r="C85" s="55" t="s">
        <v>53</v>
      </c>
      <c r="D85" s="57"/>
      <c r="E85" s="57"/>
      <c r="F85" s="57"/>
      <c r="G85" s="57"/>
      <c r="H85" s="57"/>
      <c r="I85" s="97"/>
      <c r="J85" s="154" t="e">
        <f>FIND("(",'Describe baseline'!F84)</f>
        <v>#VALUE!</v>
      </c>
      <c r="K85" s="154" t="e">
        <f>FIND("(",'Describe baseline'!G84)</f>
        <v>#VALUE!</v>
      </c>
      <c r="L85" s="154" t="e">
        <f>FIND(":",'Describe baseline'!H84)</f>
        <v>#VALUE!</v>
      </c>
      <c r="M85" s="364"/>
      <c r="N85" s="97"/>
      <c r="O85" s="97"/>
      <c r="P85" s="97"/>
      <c r="Q85" s="97"/>
      <c r="R85" s="97"/>
      <c r="S85" s="97"/>
      <c r="T85" s="97"/>
      <c r="U85" s="97"/>
      <c r="V85" s="97"/>
      <c r="X85" s="14" t="str">
        <f t="shared" si="2"/>
        <v/>
      </c>
      <c r="Y85" s="14" t="str">
        <f t="shared" si="3"/>
        <v/>
      </c>
    </row>
    <row r="86" spans="1:25" ht="13.5" hidden="1" thickBot="1">
      <c r="A86" s="617"/>
      <c r="B86" s="609"/>
      <c r="C86" s="58" t="s">
        <v>54</v>
      </c>
      <c r="D86" s="60"/>
      <c r="E86" s="60"/>
      <c r="F86" s="60"/>
      <c r="G86" s="60"/>
      <c r="H86" s="60"/>
      <c r="I86" s="98"/>
      <c r="J86" s="154" t="e">
        <f>FIND("(",'Describe baseline'!F85)</f>
        <v>#VALUE!</v>
      </c>
      <c r="K86" s="154" t="e">
        <f>FIND("(",'Describe baseline'!G85)</f>
        <v>#VALUE!</v>
      </c>
      <c r="L86" s="154" t="e">
        <f>FIND(":",'Describe baseline'!H85)</f>
        <v>#VALUE!</v>
      </c>
      <c r="M86" s="364"/>
      <c r="N86" s="98"/>
      <c r="O86" s="98"/>
      <c r="P86" s="98"/>
      <c r="Q86" s="98"/>
      <c r="R86" s="98"/>
      <c r="S86" s="98"/>
      <c r="T86" s="98"/>
      <c r="U86" s="98"/>
      <c r="V86" s="98"/>
      <c r="X86" s="14" t="str">
        <f t="shared" si="2"/>
        <v/>
      </c>
      <c r="Y86" s="14" t="str">
        <f t="shared" si="3"/>
        <v/>
      </c>
    </row>
    <row r="87" spans="1:25" ht="39" thickBot="1">
      <c r="A87" s="611" t="s">
        <v>13</v>
      </c>
      <c r="B87" s="614" t="s">
        <v>33</v>
      </c>
      <c r="C87" s="30" t="s">
        <v>52</v>
      </c>
      <c r="D87" s="31">
        <f>IF('Describe baseline'!E86="-","+",IF('Describe baseline'!E86="+","-",'Describe baseline'!E86))</f>
        <v>0</v>
      </c>
      <c r="E87" s="31" t="str">
        <f>IF(ISERROR(LEFT('Describe baseline'!F86,'OUTPUT-all'!J87-2)),"",LEFT('Describe baseline'!F86,'OUTPUT-all'!J87-2))</f>
        <v/>
      </c>
      <c r="F87" s="31" t="str">
        <f>IF(ISERROR(LEFT('Describe baseline'!G86,'OUTPUT-all'!K87-2)),"",LEFT('Describe baseline'!G86,'OUTPUT-all'!K87-2))</f>
        <v/>
      </c>
      <c r="G87" s="31" t="str">
        <f>IF(ISERROR(LEFT('Describe baseline'!H86,'OUTPUT-all'!L87-1)),"",LEFT('Describe baseline'!H86,'OUTPUT-all'!L87-1))</f>
        <v/>
      </c>
      <c r="H87" s="374" t="str">
        <f>IF(ISERROR(LEFT(Heritage!N232,'OUTPUT-all'!M87-1)),"",LEFT(Heritage!N232,'OUTPUT-all'!M87-1))</f>
        <v>High</v>
      </c>
      <c r="I87" s="100" t="str">
        <f>IF(Heritage!D232="Enter number of heritage assets",IF(D87="Neutral","Not relevant","Qualitative"),ROUND(Heritage!K232,3-LEN(INT(Heritage!K232))))</f>
        <v>Qualitative</v>
      </c>
      <c r="J87" s="154" t="e">
        <f>FIND("(",'Describe baseline'!F86)</f>
        <v>#VALUE!</v>
      </c>
      <c r="K87" s="154" t="e">
        <f>FIND("(",'Describe baseline'!G86)</f>
        <v>#VALUE!</v>
      </c>
      <c r="L87" s="154" t="e">
        <f>FIND(":",'Describe baseline'!H86)</f>
        <v>#VALUE!</v>
      </c>
      <c r="M87" s="154">
        <f>FIND(":",Heritage!N232)</f>
        <v>5</v>
      </c>
      <c r="N87" s="61" t="s">
        <v>179</v>
      </c>
      <c r="O87" s="147" t="str">
        <f>IF('Identify beneficiaries'!E66="Y",IF(OR($I87="Qualitative",$I87="Not relevant"),$I87,ROUND($I87*'Summary of area'!$E$46/'Identify beneficiaries'!$L66,3-LEN(INT($I87*'Summary of area'!$E$46/'Identify beneficiaries'!$L66)))),"")</f>
        <v>Qualitative</v>
      </c>
      <c r="P87" s="147" t="str">
        <f>IF('Identify beneficiaries'!F66="Y",IF(OR($I87="Qualitative",$I87="Not relevant"),$I87,ROUND($I87*'Summary of area'!$E$46/'Identify beneficiaries'!$L66,3-LEN(INT($I87*'Summary of area'!$E$46/'Identify beneficiaries'!$L66)))),"")</f>
        <v/>
      </c>
      <c r="Q87" s="147" t="str">
        <f>IF('Identify beneficiaries'!G66="Y",IF(OR($I87="Qualitative",$I87="Not relevant"),$I87,ROUND($I87*'Summary of area'!$E$46/'Identify beneficiaries'!$L66,3-LEN(INT($I87*'Summary of area'!$E$46/'Identify beneficiaries'!$L66)))),"")</f>
        <v/>
      </c>
      <c r="R87" s="147" t="str">
        <f>IF('Identify beneficiaries'!H66="Y",IF(OR($I87="Qualitative",$I87="Not relevant"),$I87,ROUND($I87*'Summary of area'!$E$46/'Identify beneficiaries'!$L66,3-LEN(INT($I87*'Summary of area'!$E$46/'Identify beneficiaries'!$L66)))),"")</f>
        <v/>
      </c>
      <c r="S87" s="147" t="str">
        <f>IF('Identify beneficiaries'!I66="Y",IF(OR($I87="Qualitative",$I87="Not relevant"),$I87,ROUND($I87*'Summary of area'!$E$46/'Identify beneficiaries'!$L66,3-LEN(INT($I87*'Summary of area'!$E$46/'Identify beneficiaries'!$L66)))),"")</f>
        <v/>
      </c>
      <c r="T87" s="147" t="str">
        <f>IF('Identify beneficiaries'!J66="Y",IF(OR($I87="Qualitative",$I87="Not relevant"),$I87,ROUND($I87*'Summary of area'!$E$46/'Identify beneficiaries'!$L66,3-LEN(INT($I87*'Summary of area'!$E$46/'Identify beneficiaries'!$L66)))),"")</f>
        <v>Qualitative</v>
      </c>
      <c r="U87" s="147" t="str">
        <f>IF('Identify beneficiaries'!K66="Y",IF(OR($I87="Qualitative",$I87="Not relevant"),$I87,ROUND($I87*'Summary of area'!$E$46/'Identify beneficiaries'!$L66,3-LEN(INT($I87*'Summary of area'!$E$46/'Identify beneficiaries'!$L66)))),"")</f>
        <v/>
      </c>
      <c r="V87" s="147" t="str">
        <f>IF(OR(I87="Qualitative",I87="Not relevant"),I87,ROUND(I87*'Summary of area'!$D$46,3-LEN(INT(I87*'Summary of area'!$D$46))))</f>
        <v>Qualitative</v>
      </c>
      <c r="X87" s="14" t="str">
        <f t="shared" si="2"/>
        <v/>
      </c>
      <c r="Y87" s="14" t="str">
        <f t="shared" si="3"/>
        <v/>
      </c>
    </row>
    <row r="88" spans="1:25" ht="13.5" thickBot="1">
      <c r="A88" s="607"/>
      <c r="B88" s="597"/>
      <c r="C88" s="55" t="s">
        <v>53</v>
      </c>
      <c r="D88" s="57"/>
      <c r="E88" s="57"/>
      <c r="F88" s="57"/>
      <c r="G88" s="57"/>
      <c r="H88" s="57"/>
      <c r="I88" s="97"/>
      <c r="J88" s="154" t="e">
        <f>FIND("(",'Describe baseline'!F87)</f>
        <v>#VALUE!</v>
      </c>
      <c r="K88" s="154" t="e">
        <f>FIND("(",'Describe baseline'!G87)</f>
        <v>#VALUE!</v>
      </c>
      <c r="L88" s="154" t="e">
        <f>FIND(":",'Describe baseline'!H87)</f>
        <v>#VALUE!</v>
      </c>
      <c r="M88" s="364"/>
      <c r="N88" s="97"/>
      <c r="O88" s="97"/>
      <c r="P88" s="97"/>
      <c r="Q88" s="97"/>
      <c r="R88" s="97"/>
      <c r="S88" s="97"/>
      <c r="T88" s="97"/>
      <c r="U88" s="97"/>
      <c r="V88" s="97"/>
      <c r="X88" s="14" t="str">
        <f t="shared" si="2"/>
        <v/>
      </c>
      <c r="Y88" s="14" t="str">
        <f t="shared" si="3"/>
        <v/>
      </c>
    </row>
    <row r="89" spans="1:25" ht="13.5" thickBot="1">
      <c r="A89" s="617"/>
      <c r="B89" s="609"/>
      <c r="C89" s="32" t="s">
        <v>54</v>
      </c>
      <c r="D89" s="33">
        <f>IF('Describe baseline'!E88="-","+",IF('Describe baseline'!E88="+","-",'Describe baseline'!E88))</f>
        <v>0</v>
      </c>
      <c r="E89" s="33" t="str">
        <f>IF(ISERROR(LEFT('Describe baseline'!F88,'OUTPUT-all'!J89-2)),"",LEFT('Describe baseline'!F88,'OUTPUT-all'!J89-2))</f>
        <v/>
      </c>
      <c r="F89" s="33" t="str">
        <f>IF(ISERROR(LEFT('Describe baseline'!G88,'OUTPUT-all'!K89-2)),"",LEFT('Describe baseline'!G88,'OUTPUT-all'!K89-2))</f>
        <v/>
      </c>
      <c r="G89" s="33" t="str">
        <f>IF(ISERROR(LEFT('Describe baseline'!H88,'OUTPUT-all'!L89-1)),"",LEFT('Describe baseline'!H88,'OUTPUT-all'!L89-1))</f>
        <v/>
      </c>
      <c r="H89" s="33"/>
      <c r="I89" s="102" t="str">
        <f>IF(D89="Neutral","Not relevant","Qualitative")</f>
        <v>Qualitative</v>
      </c>
      <c r="J89" s="154" t="e">
        <f>FIND("(",'Describe baseline'!F88)</f>
        <v>#VALUE!</v>
      </c>
      <c r="K89" s="154" t="e">
        <f>FIND("(",'Describe baseline'!G88)</f>
        <v>#VALUE!</v>
      </c>
      <c r="L89" s="154" t="e">
        <f>FIND(":",'Describe baseline'!H88)</f>
        <v>#VALUE!</v>
      </c>
      <c r="M89" s="364"/>
      <c r="N89" s="62" t="s">
        <v>172</v>
      </c>
      <c r="O89" s="150" t="str">
        <f>IF('Identify beneficiaries'!E68="Y",IF(OR($I89="Qualitative",$I89="Not relevant"),$I89,$I89*'Summary of area'!$C$22/'Identify beneficiaries'!$L68),"")</f>
        <v/>
      </c>
      <c r="P89" s="150" t="str">
        <f>IF('Identify beneficiaries'!F68="Y",IF(OR($I89="Qualitative",$I89="Not relevant"),$I89,$I89*'Summary of area'!$C$22/'Identify beneficiaries'!$L68),"")</f>
        <v/>
      </c>
      <c r="Q89" s="150" t="str">
        <f>IF('Identify beneficiaries'!G68="Y",IF(OR($I89="Qualitative",$I89="Not relevant"),$I89,$I89*'Summary of area'!$C$22/'Identify beneficiaries'!$L68),"")</f>
        <v/>
      </c>
      <c r="R89" s="150" t="str">
        <f>IF('Identify beneficiaries'!H68="Y",IF(OR($I89="Qualitative",$I89="Not relevant"),$I89,$I89*'Summary of area'!$C$22/'Identify beneficiaries'!$L68),"")</f>
        <v>Qualitative</v>
      </c>
      <c r="S89" s="150" t="str">
        <f>IF('Identify beneficiaries'!I68="Y",IF(OR($I89="Qualitative",$I89="Not relevant"),$I89,$I89*'Summary of area'!$C$22/'Identify beneficiaries'!$L68),"")</f>
        <v/>
      </c>
      <c r="T89" s="150" t="str">
        <f>IF('Identify beneficiaries'!J68="Y",IF(OR($I89="Qualitative",$I89="Not relevant"),$I89,$I89*'Summary of area'!$C$22/'Identify beneficiaries'!$L68),"")</f>
        <v>Qualitative</v>
      </c>
      <c r="U89" s="150" t="str">
        <f>IF('Identify beneficiaries'!K68="Y",IF(OR($I89="Qualitative",$I89="Not relevant"),$I89,$I89*'Summary of area'!$C$22/'Identify beneficiaries'!$L68),"")</f>
        <v/>
      </c>
      <c r="V89" s="150" t="str">
        <f>IF(OR(I89="Qualitative",I89="Not relevant"),I89,ROUND(I89*'Summary of area'!$C$21,3-LEN(INT(I89*'Summary of area'!$C$21))))</f>
        <v>Qualitative</v>
      </c>
      <c r="X89" s="14" t="str">
        <f t="shared" si="2"/>
        <v/>
      </c>
      <c r="Y89" s="14" t="str">
        <f t="shared" si="3"/>
        <v/>
      </c>
    </row>
    <row r="90" spans="1:25" ht="39" thickBot="1">
      <c r="A90" s="611" t="s">
        <v>14</v>
      </c>
      <c r="B90" s="614" t="s">
        <v>34</v>
      </c>
      <c r="C90" s="30" t="s">
        <v>52</v>
      </c>
      <c r="D90" s="31">
        <f>IF('Describe baseline'!E89="-","+",IF('Describe baseline'!E89="+","-",'Describe baseline'!E89))</f>
        <v>0</v>
      </c>
      <c r="E90" s="31" t="str">
        <f>IF(ISERROR(LEFT('Describe baseline'!F89,'OUTPUT-all'!J90-2)),"",LEFT('Describe baseline'!F89,'OUTPUT-all'!J90-2))</f>
        <v/>
      </c>
      <c r="F90" s="31" t="str">
        <f>IF(ISERROR(LEFT('Describe baseline'!G89,'OUTPUT-all'!K90-2)),"",LEFT('Describe baseline'!G89,'OUTPUT-all'!K90-2))</f>
        <v/>
      </c>
      <c r="G90" s="31" t="str">
        <f>IF(ISERROR(LEFT('Describe baseline'!H89,'OUTPUT-all'!L90-1)),"",LEFT('Describe baseline'!H89,'OUTPUT-all'!L90-1))</f>
        <v/>
      </c>
      <c r="H90" s="31"/>
      <c r="I90" s="100" t="str">
        <f>IF(D90="Neutral","Not relevant","Qualitative")</f>
        <v>Qualitative</v>
      </c>
      <c r="J90" s="154" t="e">
        <f>FIND("(",'Describe baseline'!F89)</f>
        <v>#VALUE!</v>
      </c>
      <c r="K90" s="154" t="e">
        <f>FIND("(",'Describe baseline'!G89)</f>
        <v>#VALUE!</v>
      </c>
      <c r="L90" s="154" t="e">
        <f>FIND(":",'Describe baseline'!H89)</f>
        <v>#VALUE!</v>
      </c>
      <c r="M90" s="154"/>
      <c r="N90" s="61" t="s">
        <v>180</v>
      </c>
      <c r="O90" s="147" t="str">
        <f>IF('Identify beneficiaries'!E69="Y",IF(OR($I90="Qualitative",$I90="Not relevant"),$I90,$I90*'Summary of area'!$C$22/'Identify beneficiaries'!$L69),"")</f>
        <v>Qualitative</v>
      </c>
      <c r="P90" s="147" t="str">
        <f>IF('Identify beneficiaries'!F69="Y",IF(OR($I90="Qualitative",$I90="Not relevant"),$I90,$I90*'Summary of area'!$C$22/'Identify beneficiaries'!$L69),"")</f>
        <v/>
      </c>
      <c r="Q90" s="147" t="str">
        <f>IF('Identify beneficiaries'!G69="Y",IF(OR($I90="Qualitative",$I90="Not relevant"),$I90,$I90*'Summary of area'!$C$22/'Identify beneficiaries'!$L69),"")</f>
        <v/>
      </c>
      <c r="R90" s="147" t="str">
        <f>IF('Identify beneficiaries'!H69="Y",IF(OR($I90="Qualitative",$I90="Not relevant"),$I90,$I90*'Summary of area'!$C$22/'Identify beneficiaries'!$L69),"")</f>
        <v/>
      </c>
      <c r="S90" s="147" t="str">
        <f>IF('Identify beneficiaries'!I69="Y",IF(OR($I90="Qualitative",$I90="Not relevant"),$I90,$I90*'Summary of area'!$C$22/'Identify beneficiaries'!$L69),"")</f>
        <v/>
      </c>
      <c r="T90" s="147" t="str">
        <f>IF('Identify beneficiaries'!J69="Y",IF(OR($I90="Qualitative",$I90="Not relevant"),$I90,$I90*'Summary of area'!$C$22/'Identify beneficiaries'!$L69),"")</f>
        <v>Qualitative</v>
      </c>
      <c r="U90" s="147" t="str">
        <f>IF('Identify beneficiaries'!K69="Y",IF(OR($I90="Qualitative",$I90="Not relevant"),$I90,$I90*'Summary of area'!$C$22/'Identify beneficiaries'!$L69),"")</f>
        <v/>
      </c>
      <c r="V90" s="147" t="str">
        <f>IF(OR(I90="Qualitative",I90="Not relevant"),I90,ROUND(I90*'Summary of area'!$C$21,3-LEN(INT(I90*'Summary of area'!$C$21))))</f>
        <v>Qualitative</v>
      </c>
      <c r="X90" s="14" t="str">
        <f t="shared" si="2"/>
        <v/>
      </c>
      <c r="Y90" s="14" t="str">
        <f t="shared" si="3"/>
        <v/>
      </c>
    </row>
    <row r="91" spans="1:25" ht="13.5" thickBot="1">
      <c r="A91" s="607"/>
      <c r="B91" s="597"/>
      <c r="C91" s="55" t="s">
        <v>53</v>
      </c>
      <c r="D91" s="57"/>
      <c r="E91" s="57"/>
      <c r="F91" s="57"/>
      <c r="G91" s="57"/>
      <c r="H91" s="57"/>
      <c r="I91" s="97"/>
      <c r="J91" s="154" t="e">
        <f>FIND("(",'Describe baseline'!F90)</f>
        <v>#VALUE!</v>
      </c>
      <c r="K91" s="154" t="e">
        <f>FIND("(",'Describe baseline'!G90)</f>
        <v>#VALUE!</v>
      </c>
      <c r="L91" s="154" t="e">
        <f>FIND(":",'Describe baseline'!H90)</f>
        <v>#VALUE!</v>
      </c>
      <c r="M91" s="364"/>
      <c r="N91" s="97"/>
      <c r="O91" s="97"/>
      <c r="P91" s="97"/>
      <c r="Q91" s="97"/>
      <c r="R91" s="97"/>
      <c r="S91" s="97"/>
      <c r="T91" s="97"/>
      <c r="U91" s="97"/>
      <c r="V91" s="97"/>
      <c r="X91" s="14" t="str">
        <f t="shared" si="2"/>
        <v/>
      </c>
      <c r="Y91" s="14" t="str">
        <f t="shared" si="3"/>
        <v/>
      </c>
    </row>
    <row r="92" spans="1:25" ht="13.5" thickBot="1">
      <c r="A92" s="617"/>
      <c r="B92" s="609"/>
      <c r="C92" s="58" t="s">
        <v>54</v>
      </c>
      <c r="D92" s="60"/>
      <c r="E92" s="60"/>
      <c r="F92" s="60"/>
      <c r="G92" s="60"/>
      <c r="H92" s="60"/>
      <c r="I92" s="98"/>
      <c r="J92" s="154" t="e">
        <f>FIND("(",'Describe baseline'!F91)</f>
        <v>#VALUE!</v>
      </c>
      <c r="K92" s="154" t="e">
        <f>FIND("(",'Describe baseline'!G91)</f>
        <v>#VALUE!</v>
      </c>
      <c r="L92" s="154" t="e">
        <f>FIND(":",'Describe baseline'!H91)</f>
        <v>#VALUE!</v>
      </c>
      <c r="M92" s="364"/>
      <c r="N92" s="98"/>
      <c r="O92" s="98"/>
      <c r="P92" s="98"/>
      <c r="Q92" s="98"/>
      <c r="R92" s="98"/>
      <c r="S92" s="98"/>
      <c r="T92" s="98"/>
      <c r="U92" s="98"/>
      <c r="V92" s="98"/>
      <c r="X92" s="14" t="str">
        <f t="shared" si="2"/>
        <v/>
      </c>
      <c r="Y92" s="14" t="str">
        <f t="shared" si="3"/>
        <v/>
      </c>
    </row>
    <row r="93" spans="1:25" ht="13.5" thickBot="1">
      <c r="A93" s="611" t="s">
        <v>16</v>
      </c>
      <c r="B93" s="614" t="s">
        <v>68</v>
      </c>
      <c r="C93" s="614" t="s">
        <v>52</v>
      </c>
      <c r="D93" s="653">
        <f>IF('Describe baseline'!E95="-","+",IF('Describe baseline'!E95="+","-",'Describe baseline'!E95))</f>
        <v>0</v>
      </c>
      <c r="E93" s="653" t="str">
        <f>IF(ISERROR(LEFT('Describe baseline'!F95,'OUTPUT-all'!J93-2)),"",LEFT('Describe baseline'!F95,'OUTPUT-all'!J93-2))</f>
        <v/>
      </c>
      <c r="F93" s="653" t="str">
        <f>IF(ISERROR(LEFT('Describe baseline'!G95,'OUTPUT-all'!K93-2)),"",LEFT('Describe baseline'!G95,'OUTPUT-all'!K93-2))</f>
        <v/>
      </c>
      <c r="G93" s="653" t="str">
        <f>IF(ISERROR(LEFT('Describe baseline'!H95,'OUTPUT-all'!L93-1)),"",LEFT('Describe baseline'!H95,'OUTPUT-all'!L93-1))</f>
        <v/>
      </c>
      <c r="H93" s="374" t="str">
        <f>IF(ISERROR(LEFT('Recreation and tourism'!N120,'OUTPUT-all'!M93-1)),"",LEFT('Recreation and tourism'!N120,'OUTPUT-all'!M93-1))</f>
        <v>High</v>
      </c>
      <c r="I93" s="650" t="str">
        <f>IF('Recreation and tourism'!D120="Enter number of recreational assets",IF(D93="Neutral","Not relevant","Qualitative"),ROUND('Recreation and tourism'!K120,3-LEN(INT('Recreation and tourism'!K120))))</f>
        <v>Qualitative</v>
      </c>
      <c r="J93" s="154" t="e">
        <f>FIND("(",'Describe baseline'!F95)</f>
        <v>#VALUE!</v>
      </c>
      <c r="K93" s="154" t="e">
        <f>FIND("(",'Describe baseline'!G95)</f>
        <v>#VALUE!</v>
      </c>
      <c r="L93" s="154" t="e">
        <f>FIND(":",'Describe baseline'!H95)</f>
        <v>#VALUE!</v>
      </c>
      <c r="M93" s="154">
        <f>FIND(":",'Recreation and tourism'!N120)</f>
        <v>5</v>
      </c>
      <c r="N93" s="61" t="s">
        <v>181</v>
      </c>
      <c r="O93" s="147" t="str">
        <f>IF('Identify beneficiaries'!E75="Y",IF(OR($I93="Qualitative",$I93="Not relevant"),$I93,ROUND($I93*'Summary of area'!$E$45/'Identify beneficiaries'!$L75,3-LEN(INT($I93*'Summary of area'!$E$45/'Identify beneficiaries'!$L75)))),"")</f>
        <v>Qualitative</v>
      </c>
      <c r="P93" s="147" t="str">
        <f>IF('Identify beneficiaries'!F75="Y",IF(OR($I93="Qualitative",$I93="Not relevant"),$I93,ROUND($I93*'Summary of area'!$E$45/'Identify beneficiaries'!$L75,3-LEN(INT($I93*'Summary of area'!$E$45/'Identify beneficiaries'!$L75)))),"")</f>
        <v/>
      </c>
      <c r="Q93" s="147" t="str">
        <f>IF('Identify beneficiaries'!G75="Y",IF(OR($I93="Qualitative",$I93="Not relevant"),$I93,ROUND($I93*'Summary of area'!$E$45/'Identify beneficiaries'!$L75,3-LEN(INT($I93*'Summary of area'!$E$45/'Identify beneficiaries'!$L75)))),"")</f>
        <v/>
      </c>
      <c r="R93" s="147" t="str">
        <f>IF('Identify beneficiaries'!H75="Y",IF(OR($I93="Qualitative",$I93="Not relevant"),$I93,ROUND($I93*'Summary of area'!$E$45/'Identify beneficiaries'!$L75,3-LEN(INT($I93*'Summary of area'!$E$45/'Identify beneficiaries'!$L75)))),"")</f>
        <v/>
      </c>
      <c r="S93" s="147" t="str">
        <f>IF('Identify beneficiaries'!I75="Y",IF(OR($I93="Qualitative",$I93="Not relevant"),$I93,ROUND($I93*'Summary of area'!$E$45/'Identify beneficiaries'!$L75,3-LEN(INT($I93*'Summary of area'!$E$45/'Identify beneficiaries'!$L75)))),"")</f>
        <v/>
      </c>
      <c r="T93" s="147" t="str">
        <f>IF('Identify beneficiaries'!J75="Y",IF(OR($I93="Qualitative",$I93="Not relevant"),$I93,ROUND($I93*'Summary of area'!$E$45/'Identify beneficiaries'!$L75,3-LEN(INT($I93*'Summary of area'!$E$45/'Identify beneficiaries'!$L75)))),"")</f>
        <v>Qualitative</v>
      </c>
      <c r="U93" s="147" t="str">
        <f>IF('Identify beneficiaries'!K75="Y",IF(OR($I93="Qualitative",$I93="Not relevant"),$I93,ROUND($I93*'Summary of area'!$E$45/'Identify beneficiaries'!$L75,3-LEN(INT($I93*'Summary of area'!$E$45/'Identify beneficiaries'!$L75)))),"")</f>
        <v/>
      </c>
      <c r="V93" s="147" t="str">
        <f>IF(OR(I93="Qualitative",I93="Not relevant"),I93,ROUND(I93*'Summary of area'!$D$45,3-LEN(INT(I93*'Summary of area'!$D$45))))</f>
        <v>Qualitative</v>
      </c>
      <c r="X93" s="14" t="str">
        <f t="shared" si="2"/>
        <v/>
      </c>
      <c r="Y93" s="14" t="str">
        <f t="shared" si="3"/>
        <v/>
      </c>
    </row>
    <row r="94" spans="1:25" ht="12.75" customHeight="1" hidden="1">
      <c r="A94" s="607"/>
      <c r="B94" s="597"/>
      <c r="C94" s="615"/>
      <c r="D94" s="654">
        <f>IF('Describe baseline'!E93="-","+",IF('Describe baseline'!E93="+","-",'Describe baseline'!E93))</f>
        <v>0</v>
      </c>
      <c r="E94" s="656" t="str">
        <f>IF(ISERROR(LEFT('Describe baseline'!F93,'OUTPUT-all'!J94-2)),"",LEFT('Describe baseline'!F93,'OUTPUT-all'!J94-2))</f>
        <v/>
      </c>
      <c r="F94" s="654" t="str">
        <f>IF(ISERROR(LEFT('Describe baseline'!G93:G97,'OUTPUT-all'!K94-2)),"",LEFT('Describe baseline'!G93:G97,'OUTPUT-all'!K94-2))</f>
        <v/>
      </c>
      <c r="G94" s="654" t="str">
        <f>IF(ISERROR(LEFT('Describe baseline'!H93:H97,'OUTPUT-all'!L94-2)),"",LEFT('Describe baseline'!H93:H97,'OUTPUT-all'!L94-2))</f>
        <v/>
      </c>
      <c r="H94" s="476"/>
      <c r="I94" s="651" t="e">
        <f>IF(D94="-",ROUND(#REF!,2-LEN(INT(#REF!)))*-1,ROUND(#REF!,2-LEN(INT(#REF!))))</f>
        <v>#REF!</v>
      </c>
      <c r="J94" s="154" t="e">
        <f>FIND("(",'Describe baseline'!F93)</f>
        <v>#VALUE!</v>
      </c>
      <c r="K94" s="154" t="e">
        <f>FIND("(",'Describe baseline'!G93)</f>
        <v>#VALUE!</v>
      </c>
      <c r="L94" s="154" t="e">
        <f>FIND(":",'Describe baseline'!H93)</f>
        <v>#VALUE!</v>
      </c>
      <c r="M94" s="364"/>
      <c r="N94" s="148"/>
      <c r="O94" s="149"/>
      <c r="P94" s="149"/>
      <c r="Q94" s="149"/>
      <c r="R94" s="149"/>
      <c r="S94" s="149"/>
      <c r="T94" s="149"/>
      <c r="U94" s="149"/>
      <c r="V94" s="149"/>
      <c r="X94" s="14" t="e">
        <f t="shared" si="2"/>
        <v>#REF!</v>
      </c>
      <c r="Y94" s="14" t="e">
        <f t="shared" si="3"/>
        <v>#REF!</v>
      </c>
    </row>
    <row r="95" spans="1:25" ht="12.75" customHeight="1" hidden="1">
      <c r="A95" s="607"/>
      <c r="B95" s="597"/>
      <c r="C95" s="615"/>
      <c r="D95" s="654">
        <f>IF('Describe baseline'!E94="-","+",IF('Describe baseline'!E94="+","-",'Describe baseline'!E94))</f>
        <v>0</v>
      </c>
      <c r="E95" s="656" t="str">
        <f>IF(ISERROR(LEFT('Describe baseline'!F94,'OUTPUT-all'!J95-2)),"",LEFT('Describe baseline'!F94,'OUTPUT-all'!J95-2))</f>
        <v/>
      </c>
      <c r="F95" s="654" t="str">
        <f>IF(ISERROR(LEFT('Describe baseline'!G94:G98,'OUTPUT-all'!K95-2)),"",LEFT('Describe baseline'!G94:G98,'OUTPUT-all'!K95-2))</f>
        <v/>
      </c>
      <c r="G95" s="654" t="str">
        <f>IF(ISERROR(LEFT('Describe baseline'!H94:H98,'OUTPUT-all'!L95-2)),"",LEFT('Describe baseline'!H94:H98,'OUTPUT-all'!L95-2))</f>
        <v/>
      </c>
      <c r="H95" s="476"/>
      <c r="I95" s="651" t="e">
        <f>IF(D95="-",ROUND(#REF!,2-LEN(INT(#REF!)))*-1,ROUND(#REF!,2-LEN(INT(#REF!))))</f>
        <v>#REF!</v>
      </c>
      <c r="J95" s="154" t="e">
        <f>FIND("(",'Describe baseline'!F94)</f>
        <v>#VALUE!</v>
      </c>
      <c r="K95" s="154" t="e">
        <f>FIND("(",'Describe baseline'!G94)</f>
        <v>#VALUE!</v>
      </c>
      <c r="L95" s="154" t="e">
        <f>FIND(":",'Describe baseline'!H94)</f>
        <v>#VALUE!</v>
      </c>
      <c r="M95" s="364"/>
      <c r="N95" s="148"/>
      <c r="O95" s="149"/>
      <c r="P95" s="149"/>
      <c r="Q95" s="149"/>
      <c r="R95" s="149"/>
      <c r="S95" s="149"/>
      <c r="T95" s="149"/>
      <c r="U95" s="149"/>
      <c r="V95" s="149"/>
      <c r="X95" s="14" t="e">
        <f t="shared" si="2"/>
        <v>#REF!</v>
      </c>
      <c r="Y95" s="14" t="e">
        <f t="shared" si="3"/>
        <v>#REF!</v>
      </c>
    </row>
    <row r="96" spans="1:25" ht="12.75" customHeight="1" hidden="1">
      <c r="A96" s="607"/>
      <c r="B96" s="597"/>
      <c r="C96" s="615"/>
      <c r="D96" s="654">
        <f>IF('Describe baseline'!E95="-","+",IF('Describe baseline'!E95="+","-",'Describe baseline'!E95))</f>
        <v>0</v>
      </c>
      <c r="E96" s="656" t="str">
        <f>IF(ISERROR(LEFT('Describe baseline'!F95,'OUTPUT-all'!J96-2)),"",LEFT('Describe baseline'!F95,'OUTPUT-all'!J96-2))</f>
        <v/>
      </c>
      <c r="F96" s="654" t="str">
        <f>IF(ISERROR(LEFT('Describe baseline'!G95:G99,'OUTPUT-all'!K96-2)),"",LEFT('Describe baseline'!G95:G99,'OUTPUT-all'!K96-2))</f>
        <v/>
      </c>
      <c r="G96" s="654" t="str">
        <f>IF(ISERROR(LEFT('Describe baseline'!H95:H99,'OUTPUT-all'!L96-2)),"",LEFT('Describe baseline'!H95:H99,'OUTPUT-all'!L96-2))</f>
        <v/>
      </c>
      <c r="H96" s="476"/>
      <c r="I96" s="651" t="e">
        <f>IF(D96="-",ROUND(#REF!,2-LEN(INT(#REF!)))*-1,ROUND(#REF!,2-LEN(INT(#REF!))))</f>
        <v>#REF!</v>
      </c>
      <c r="J96" s="154"/>
      <c r="K96" s="154"/>
      <c r="L96" s="154"/>
      <c r="M96" s="364"/>
      <c r="N96" s="148"/>
      <c r="O96" s="149"/>
      <c r="P96" s="149"/>
      <c r="Q96" s="149"/>
      <c r="R96" s="149"/>
      <c r="S96" s="149"/>
      <c r="T96" s="149"/>
      <c r="U96" s="149"/>
      <c r="V96" s="149"/>
      <c r="X96" s="14" t="e">
        <f t="shared" si="2"/>
        <v>#REF!</v>
      </c>
      <c r="Y96" s="14" t="e">
        <f t="shared" si="3"/>
        <v>#REF!</v>
      </c>
    </row>
    <row r="97" spans="1:25" ht="12.75" customHeight="1" hidden="1">
      <c r="A97" s="607"/>
      <c r="B97" s="597"/>
      <c r="C97" s="615"/>
      <c r="D97" s="654">
        <f>IF('Describe baseline'!E96="-","+",IF('Describe baseline'!E96="+","-",'Describe baseline'!E96))</f>
        <v>0</v>
      </c>
      <c r="E97" s="656" t="str">
        <f>IF(ISERROR(LEFT('Describe baseline'!F96,'OUTPUT-all'!J97-2)),"",LEFT('Describe baseline'!F96,'OUTPUT-all'!J97-2))</f>
        <v/>
      </c>
      <c r="F97" s="654" t="str">
        <f>IF(ISERROR(LEFT('Describe baseline'!G96:G100,'OUTPUT-all'!K97-2)),"",LEFT('Describe baseline'!G96:G100,'OUTPUT-all'!K97-2))</f>
        <v/>
      </c>
      <c r="G97" s="654" t="str">
        <f>IF(ISERROR(LEFT('Describe baseline'!H96:H100,'OUTPUT-all'!L97-2)),"",LEFT('Describe baseline'!H96:H100,'OUTPUT-all'!L97-2))</f>
        <v/>
      </c>
      <c r="H97" s="476"/>
      <c r="I97" s="651" t="e">
        <f>IF(D97="-",ROUND(#REF!,2-LEN(INT(#REF!)))*-1,ROUND(#REF!,2-LEN(INT(#REF!))))</f>
        <v>#REF!</v>
      </c>
      <c r="J97" s="154" t="e">
        <f>FIND("(",'Describe baseline'!F96)</f>
        <v>#VALUE!</v>
      </c>
      <c r="K97" s="154" t="e">
        <f>FIND("(",'Describe baseline'!G96)</f>
        <v>#VALUE!</v>
      </c>
      <c r="L97" s="154" t="e">
        <f>FIND(":",'Describe baseline'!H96)</f>
        <v>#VALUE!</v>
      </c>
      <c r="M97" s="364"/>
      <c r="N97" s="148"/>
      <c r="O97" s="149"/>
      <c r="P97" s="149"/>
      <c r="Q97" s="149"/>
      <c r="R97" s="149"/>
      <c r="S97" s="149"/>
      <c r="T97" s="149"/>
      <c r="U97" s="149"/>
      <c r="V97" s="149"/>
      <c r="X97" s="14" t="e">
        <f t="shared" si="2"/>
        <v>#REF!</v>
      </c>
      <c r="Y97" s="14" t="e">
        <f t="shared" si="3"/>
        <v>#REF!</v>
      </c>
    </row>
    <row r="98" spans="1:25" ht="12.75" customHeight="1" hidden="1">
      <c r="A98" s="607"/>
      <c r="B98" s="597"/>
      <c r="C98" s="615"/>
      <c r="D98" s="654">
        <f>IF('Describe baseline'!E97="-","+",IF('Describe baseline'!E97="+","-",'Describe baseline'!E97))</f>
        <v>0</v>
      </c>
      <c r="E98" s="656" t="str">
        <f>IF(ISERROR(LEFT('Describe baseline'!F97,'OUTPUT-all'!J98-2)),"",LEFT('Describe baseline'!F97,'OUTPUT-all'!J98-2))</f>
        <v/>
      </c>
      <c r="F98" s="654" t="str">
        <f>IF(ISERROR(LEFT('Describe baseline'!G97:G101,'OUTPUT-all'!K98-2)),"",LEFT('Describe baseline'!G97:G101,'OUTPUT-all'!K98-2))</f>
        <v/>
      </c>
      <c r="G98" s="654" t="str">
        <f>IF(ISERROR(LEFT('Describe baseline'!H97:H101,'OUTPUT-all'!L98-2)),"",LEFT('Describe baseline'!H97:H101,'OUTPUT-all'!L98-2))</f>
        <v/>
      </c>
      <c r="H98" s="476"/>
      <c r="I98" s="651" t="e">
        <f>IF(D98="-",ROUND(#REF!,2-LEN(INT(#REF!)))*-1,ROUND(#REF!,2-LEN(INT(#REF!))))</f>
        <v>#REF!</v>
      </c>
      <c r="J98" s="154" t="e">
        <f>FIND("(",'Describe baseline'!F97)</f>
        <v>#VALUE!</v>
      </c>
      <c r="K98" s="154" t="e">
        <f>FIND("(",'Describe baseline'!G97)</f>
        <v>#VALUE!</v>
      </c>
      <c r="L98" s="154" t="e">
        <f>FIND(":",'Describe baseline'!H97)</f>
        <v>#VALUE!</v>
      </c>
      <c r="M98" s="364"/>
      <c r="N98" s="148"/>
      <c r="O98" s="149"/>
      <c r="P98" s="149"/>
      <c r="Q98" s="149"/>
      <c r="R98" s="149"/>
      <c r="S98" s="149"/>
      <c r="T98" s="149"/>
      <c r="U98" s="149"/>
      <c r="V98" s="149"/>
      <c r="X98" s="14" t="e">
        <f t="shared" si="2"/>
        <v>#REF!</v>
      </c>
      <c r="Y98" s="14" t="e">
        <f t="shared" si="3"/>
        <v>#REF!</v>
      </c>
    </row>
    <row r="99" spans="1:25" ht="12.75" customHeight="1" hidden="1">
      <c r="A99" s="607"/>
      <c r="B99" s="597"/>
      <c r="C99" s="615"/>
      <c r="D99" s="654">
        <f>IF('Describe baseline'!E98="-","+",IF('Describe baseline'!E98="+","-",'Describe baseline'!E98))</f>
        <v>0</v>
      </c>
      <c r="E99" s="656" t="str">
        <f>IF(ISERROR(LEFT('Describe baseline'!F98,'OUTPUT-all'!J99-2)),"",LEFT('Describe baseline'!F98,'OUTPUT-all'!J99-2))</f>
        <v/>
      </c>
      <c r="F99" s="654" t="str">
        <f>IF(ISERROR(LEFT('Describe baseline'!G98:G102,'OUTPUT-all'!K99-2)),"",LEFT('Describe baseline'!G98:G102,'OUTPUT-all'!K99-2))</f>
        <v/>
      </c>
      <c r="G99" s="654" t="str">
        <f>IF(ISERROR(LEFT('Describe baseline'!H98:H102,'OUTPUT-all'!L99-2)),"",LEFT('Describe baseline'!H98:H102,'OUTPUT-all'!L99-2))</f>
        <v/>
      </c>
      <c r="H99" s="476"/>
      <c r="I99" s="651" t="e">
        <f>IF(D99="-",ROUND(#REF!,2-LEN(INT(#REF!)))*-1,ROUND(#REF!,2-LEN(INT(#REF!))))</f>
        <v>#REF!</v>
      </c>
      <c r="J99" s="154" t="e">
        <f>FIND("(",'Describe baseline'!F98)</f>
        <v>#VALUE!</v>
      </c>
      <c r="K99" s="154" t="e">
        <f>FIND("(",'Describe baseline'!G98)</f>
        <v>#VALUE!</v>
      </c>
      <c r="L99" s="154" t="e">
        <f>FIND(":",'Describe baseline'!H98)</f>
        <v>#VALUE!</v>
      </c>
      <c r="M99" s="364"/>
      <c r="N99" s="148"/>
      <c r="O99" s="149"/>
      <c r="P99" s="149"/>
      <c r="Q99" s="149"/>
      <c r="R99" s="149"/>
      <c r="S99" s="149"/>
      <c r="T99" s="149"/>
      <c r="U99" s="149"/>
      <c r="V99" s="149"/>
      <c r="X99" s="14" t="e">
        <f t="shared" si="2"/>
        <v>#REF!</v>
      </c>
      <c r="Y99" s="14" t="e">
        <f t="shared" si="3"/>
        <v>#REF!</v>
      </c>
    </row>
    <row r="100" spans="1:25" ht="12.75" customHeight="1" hidden="1">
      <c r="A100" s="607"/>
      <c r="B100" s="597"/>
      <c r="C100" s="615"/>
      <c r="D100" s="654">
        <f>IF('Describe baseline'!E99="-","+",IF('Describe baseline'!E99="+","-",'Describe baseline'!E99))</f>
        <v>0</v>
      </c>
      <c r="E100" s="656" t="str">
        <f>IF(ISERROR(LEFT('Describe baseline'!F99,'OUTPUT-all'!J100-2)),"",LEFT('Describe baseline'!F99,'OUTPUT-all'!J100-2))</f>
        <v/>
      </c>
      <c r="F100" s="654" t="str">
        <f>IF(ISERROR(LEFT('Describe baseline'!G99:G103,'OUTPUT-all'!K100-2)),"",LEFT('Describe baseline'!G99:G103,'OUTPUT-all'!K100-2))</f>
        <v/>
      </c>
      <c r="G100" s="654" t="str">
        <f>IF(ISERROR(LEFT('Describe baseline'!H99:H103,'OUTPUT-all'!L100-2)),"",LEFT('Describe baseline'!H99:H103,'OUTPUT-all'!L100-2))</f>
        <v/>
      </c>
      <c r="H100" s="476"/>
      <c r="I100" s="651" t="e">
        <f>IF(D100="-",ROUND(#REF!,2-LEN(INT(#REF!)))*-1,ROUND(#REF!,2-LEN(INT(#REF!))))</f>
        <v>#REF!</v>
      </c>
      <c r="J100" s="154" t="e">
        <f>FIND("(",'Describe baseline'!F99)</f>
        <v>#VALUE!</v>
      </c>
      <c r="K100" s="154" t="e">
        <f>FIND("(",'Describe baseline'!G99)</f>
        <v>#VALUE!</v>
      </c>
      <c r="L100" s="154" t="e">
        <f>FIND(":",'Describe baseline'!H99)</f>
        <v>#VALUE!</v>
      </c>
      <c r="M100" s="364"/>
      <c r="N100" s="148"/>
      <c r="O100" s="149"/>
      <c r="P100" s="149"/>
      <c r="Q100" s="149"/>
      <c r="R100" s="149"/>
      <c r="S100" s="149"/>
      <c r="T100" s="149"/>
      <c r="U100" s="149"/>
      <c r="V100" s="149"/>
      <c r="X100" s="14" t="e">
        <f t="shared" si="2"/>
        <v>#REF!</v>
      </c>
      <c r="Y100" s="14" t="e">
        <f t="shared" si="3"/>
        <v>#REF!</v>
      </c>
    </row>
    <row r="101" spans="1:25" ht="12.75" customHeight="1" hidden="1">
      <c r="A101" s="607"/>
      <c r="B101" s="597"/>
      <c r="C101" s="615"/>
      <c r="D101" s="654">
        <f>IF('Describe baseline'!E100="-","+",IF('Describe baseline'!E100="+","-",'Describe baseline'!E100))</f>
        <v>0</v>
      </c>
      <c r="E101" s="656" t="str">
        <f>IF(ISERROR(LEFT('Describe baseline'!F100,'OUTPUT-all'!J101-2)),"",LEFT('Describe baseline'!F100,'OUTPUT-all'!J101-2))</f>
        <v/>
      </c>
      <c r="F101" s="654" t="str">
        <f>IF(ISERROR(LEFT('Describe baseline'!G100:G104,'OUTPUT-all'!K101-2)),"",LEFT('Describe baseline'!G100:G104,'OUTPUT-all'!K101-2))</f>
        <v/>
      </c>
      <c r="G101" s="654" t="str">
        <f>IF(ISERROR(LEFT('Describe baseline'!H100:H104,'OUTPUT-all'!L101-2)),"",LEFT('Describe baseline'!H100:H104,'OUTPUT-all'!L101-2))</f>
        <v/>
      </c>
      <c r="H101" s="476"/>
      <c r="I101" s="651" t="e">
        <f>IF(D101="-",ROUND(#REF!,2-LEN(INT(#REF!)))*-1,ROUND(#REF!,2-LEN(INT(#REF!))))</f>
        <v>#REF!</v>
      </c>
      <c r="J101" s="154" t="e">
        <f>FIND("(",'Describe baseline'!F100)</f>
        <v>#VALUE!</v>
      </c>
      <c r="K101" s="154" t="e">
        <f>FIND("(",'Describe baseline'!G100)</f>
        <v>#VALUE!</v>
      </c>
      <c r="L101" s="154" t="e">
        <f>FIND(":",'Describe baseline'!H100)</f>
        <v>#VALUE!</v>
      </c>
      <c r="M101" s="364"/>
      <c r="N101" s="148"/>
      <c r="O101" s="149"/>
      <c r="P101" s="149"/>
      <c r="Q101" s="149"/>
      <c r="R101" s="149"/>
      <c r="S101" s="149"/>
      <c r="T101" s="149"/>
      <c r="U101" s="149"/>
      <c r="V101" s="149"/>
      <c r="X101" s="14" t="e">
        <f t="shared" si="2"/>
        <v>#REF!</v>
      </c>
      <c r="Y101" s="14" t="e">
        <f t="shared" si="3"/>
        <v>#REF!</v>
      </c>
    </row>
    <row r="102" spans="1:25" ht="12.75" customHeight="1" hidden="1">
      <c r="A102" s="607"/>
      <c r="B102" s="597"/>
      <c r="C102" s="615"/>
      <c r="D102" s="654">
        <f>IF('Describe baseline'!E101="-","+",IF('Describe baseline'!E101="+","-",'Describe baseline'!E101))</f>
        <v>0</v>
      </c>
      <c r="E102" s="656" t="str">
        <f>IF(ISERROR(LEFT('Describe baseline'!F101,'OUTPUT-all'!J102-2)),"",LEFT('Describe baseline'!F101,'OUTPUT-all'!J102-2))</f>
        <v/>
      </c>
      <c r="F102" s="654" t="str">
        <f>IF(ISERROR(LEFT('Describe baseline'!G101:G105,'OUTPUT-all'!K102-2)),"",LEFT('Describe baseline'!G101:G105,'OUTPUT-all'!K102-2))</f>
        <v/>
      </c>
      <c r="G102" s="654" t="str">
        <f>IF(ISERROR(LEFT('Describe baseline'!H101:H105,'OUTPUT-all'!L102-2)),"",LEFT('Describe baseline'!H101:H105,'OUTPUT-all'!L102-2))</f>
        <v/>
      </c>
      <c r="H102" s="476"/>
      <c r="I102" s="651" t="e">
        <f>IF(D102="-",ROUND(#REF!,2-LEN(INT(#REF!)))*-1,ROUND(#REF!,2-LEN(INT(#REF!))))</f>
        <v>#REF!</v>
      </c>
      <c r="J102" s="154" t="e">
        <f>FIND("(",'Describe baseline'!F101)</f>
        <v>#VALUE!</v>
      </c>
      <c r="K102" s="154" t="e">
        <f>FIND("(",'Describe baseline'!G101)</f>
        <v>#VALUE!</v>
      </c>
      <c r="L102" s="154" t="e">
        <f>FIND(":",'Describe baseline'!H101)</f>
        <v>#VALUE!</v>
      </c>
      <c r="M102" s="364"/>
      <c r="N102" s="148"/>
      <c r="O102" s="149"/>
      <c r="P102" s="149"/>
      <c r="Q102" s="149"/>
      <c r="R102" s="149"/>
      <c r="S102" s="149"/>
      <c r="T102" s="149"/>
      <c r="U102" s="149"/>
      <c r="V102" s="149"/>
      <c r="X102" s="14" t="e">
        <f t="shared" si="2"/>
        <v>#REF!</v>
      </c>
      <c r="Y102" s="14" t="e">
        <f t="shared" si="3"/>
        <v>#REF!</v>
      </c>
    </row>
    <row r="103" spans="1:25" ht="12.75" customHeight="1" hidden="1">
      <c r="A103" s="607"/>
      <c r="B103" s="597"/>
      <c r="C103" s="615"/>
      <c r="D103" s="654">
        <f>IF('Describe baseline'!E102="-","+",IF('Describe baseline'!E102="+","-",'Describe baseline'!E102))</f>
        <v>0</v>
      </c>
      <c r="E103" s="656" t="str">
        <f>IF(ISERROR(LEFT('Describe baseline'!F102,'OUTPUT-all'!J103-2)),"",LEFT('Describe baseline'!F102,'OUTPUT-all'!J103-2))</f>
        <v/>
      </c>
      <c r="F103" s="654" t="str">
        <f>IF(ISERROR(LEFT('Describe baseline'!G102:G106,'OUTPUT-all'!K103-2)),"",LEFT('Describe baseline'!G102:G106,'OUTPUT-all'!K103-2))</f>
        <v/>
      </c>
      <c r="G103" s="654" t="str">
        <f>IF(ISERROR(LEFT('Describe baseline'!H102:H106,'OUTPUT-all'!L103-2)),"",LEFT('Describe baseline'!H102:H106,'OUTPUT-all'!L103-2))</f>
        <v/>
      </c>
      <c r="H103" s="476"/>
      <c r="I103" s="651" t="e">
        <f>IF(D103="-",ROUND(#REF!,2-LEN(INT(#REF!)))*-1,ROUND(#REF!,2-LEN(INT(#REF!))))</f>
        <v>#REF!</v>
      </c>
      <c r="J103" s="154" t="e">
        <f>FIND("(",'Describe baseline'!F102)</f>
        <v>#VALUE!</v>
      </c>
      <c r="K103" s="154" t="e">
        <f>FIND("(",'Describe baseline'!G102)</f>
        <v>#VALUE!</v>
      </c>
      <c r="L103" s="154" t="e">
        <f>FIND(":",'Describe baseline'!H102)</f>
        <v>#VALUE!</v>
      </c>
      <c r="M103" s="364"/>
      <c r="N103" s="148"/>
      <c r="O103" s="149"/>
      <c r="P103" s="149"/>
      <c r="Q103" s="149"/>
      <c r="R103" s="149"/>
      <c r="S103" s="149"/>
      <c r="T103" s="149"/>
      <c r="U103" s="149"/>
      <c r="V103" s="149"/>
      <c r="X103" s="14" t="e">
        <f t="shared" si="2"/>
        <v>#REF!</v>
      </c>
      <c r="Y103" s="14" t="e">
        <f t="shared" si="3"/>
        <v>#REF!</v>
      </c>
    </row>
    <row r="104" spans="1:25" ht="12.75" customHeight="1" hidden="1">
      <c r="A104" s="607"/>
      <c r="B104" s="597"/>
      <c r="C104" s="615"/>
      <c r="D104" s="654">
        <f>IF('Describe baseline'!E103="-","+",IF('Describe baseline'!E103="+","-",'Describe baseline'!E103))</f>
        <v>0</v>
      </c>
      <c r="E104" s="656" t="str">
        <f>IF(ISERROR(LEFT('Describe baseline'!F103,'OUTPUT-all'!J104-2)),"",LEFT('Describe baseline'!F103,'OUTPUT-all'!J104-2))</f>
        <v/>
      </c>
      <c r="F104" s="654" t="str">
        <f>IF(ISERROR(LEFT('Describe baseline'!G103:G107,'OUTPUT-all'!K104-2)),"",LEFT('Describe baseline'!G103:G107,'OUTPUT-all'!K104-2))</f>
        <v/>
      </c>
      <c r="G104" s="654" t="str">
        <f>IF(ISERROR(LEFT('Describe baseline'!H103:H107,'OUTPUT-all'!L104-2)),"",LEFT('Describe baseline'!H103:H107,'OUTPUT-all'!L104-2))</f>
        <v/>
      </c>
      <c r="H104" s="476"/>
      <c r="I104" s="651" t="e">
        <f>IF(D104="-",ROUND(#REF!,2-LEN(INT(#REF!)))*-1,ROUND(#REF!,2-LEN(INT(#REF!))))</f>
        <v>#REF!</v>
      </c>
      <c r="J104" s="154" t="e">
        <f>FIND("(",'Describe baseline'!F103)</f>
        <v>#VALUE!</v>
      </c>
      <c r="K104" s="154" t="e">
        <f>FIND("(",'Describe baseline'!G103)</f>
        <v>#VALUE!</v>
      </c>
      <c r="L104" s="154" t="e">
        <f>FIND(":",'Describe baseline'!H103)</f>
        <v>#VALUE!</v>
      </c>
      <c r="M104" s="364"/>
      <c r="N104" s="148"/>
      <c r="O104" s="149"/>
      <c r="P104" s="149"/>
      <c r="Q104" s="149"/>
      <c r="R104" s="149"/>
      <c r="S104" s="149"/>
      <c r="T104" s="149"/>
      <c r="U104" s="149"/>
      <c r="V104" s="149"/>
      <c r="X104" s="14" t="e">
        <f t="shared" si="2"/>
        <v>#REF!</v>
      </c>
      <c r="Y104" s="14" t="e">
        <f t="shared" si="3"/>
        <v>#REF!</v>
      </c>
    </row>
    <row r="105" spans="1:25" ht="12.75" customHeight="1" hidden="1" thickBot="1">
      <c r="A105" s="607"/>
      <c r="B105" s="597"/>
      <c r="C105" s="669"/>
      <c r="D105" s="655">
        <f>IF('Describe baseline'!E104="-","+",IF('Describe baseline'!E104="+","-",'Describe baseline'!E104))</f>
        <v>0</v>
      </c>
      <c r="E105" s="657" t="str">
        <f>IF(ISERROR(LEFT('Describe baseline'!F104,'OUTPUT-all'!J105-2)),"",LEFT('Describe baseline'!F104,'OUTPUT-all'!J105-2))</f>
        <v/>
      </c>
      <c r="F105" s="655" t="str">
        <f>IF(ISERROR(LEFT('Describe baseline'!G104:G108,'OUTPUT-all'!K105-2)),"",LEFT('Describe baseline'!G104:G108,'OUTPUT-all'!K105-2))</f>
        <v/>
      </c>
      <c r="G105" s="655" t="str">
        <f>IF(ISERROR(LEFT('Describe baseline'!H104:H108,'OUTPUT-all'!L105-2)),"",LEFT('Describe baseline'!H104:H108,'OUTPUT-all'!L105-2))</f>
        <v/>
      </c>
      <c r="H105" s="477"/>
      <c r="I105" s="652" t="e">
        <f>IF(D105="-",ROUND(#REF!,2-LEN(INT(#REF!)))*-1,ROUND(#REF!,2-LEN(INT(#REF!))))</f>
        <v>#REF!</v>
      </c>
      <c r="J105" s="154" t="e">
        <f>FIND("(",'Describe baseline'!F104)</f>
        <v>#VALUE!</v>
      </c>
      <c r="K105" s="154" t="e">
        <f>FIND("(",'Describe baseline'!G104)</f>
        <v>#VALUE!</v>
      </c>
      <c r="L105" s="154" t="e">
        <f>FIND(":",'Describe baseline'!H104)</f>
        <v>#VALUE!</v>
      </c>
      <c r="M105" s="364"/>
      <c r="N105" s="148"/>
      <c r="O105" s="149"/>
      <c r="P105" s="149"/>
      <c r="Q105" s="149"/>
      <c r="R105" s="149"/>
      <c r="S105" s="149"/>
      <c r="T105" s="149"/>
      <c r="U105" s="149"/>
      <c r="V105" s="149"/>
      <c r="X105" s="14" t="e">
        <f t="shared" si="2"/>
        <v>#REF!</v>
      </c>
      <c r="Y105" s="14" t="e">
        <f t="shared" si="3"/>
        <v>#REF!</v>
      </c>
    </row>
    <row r="106" spans="1:25" ht="13.5" thickBot="1">
      <c r="A106" s="607"/>
      <c r="B106" s="597"/>
      <c r="C106" s="55" t="s">
        <v>53</v>
      </c>
      <c r="D106" s="57"/>
      <c r="E106" s="57"/>
      <c r="F106" s="57"/>
      <c r="G106" s="57"/>
      <c r="H106" s="57"/>
      <c r="I106" s="97"/>
      <c r="J106" s="154" t="e">
        <f>FIND("(",'Describe baseline'!F105)</f>
        <v>#VALUE!</v>
      </c>
      <c r="K106" s="154" t="e">
        <f>FIND("(",'Describe baseline'!G105)</f>
        <v>#VALUE!</v>
      </c>
      <c r="L106" s="154" t="e">
        <f>FIND(":",'Describe baseline'!H105)</f>
        <v>#VALUE!</v>
      </c>
      <c r="M106" s="364"/>
      <c r="N106" s="97"/>
      <c r="O106" s="97"/>
      <c r="P106" s="97"/>
      <c r="Q106" s="97"/>
      <c r="R106" s="97"/>
      <c r="S106" s="97"/>
      <c r="T106" s="97"/>
      <c r="U106" s="97"/>
      <c r="V106" s="97"/>
      <c r="X106" s="14" t="str">
        <f t="shared" si="2"/>
        <v/>
      </c>
      <c r="Y106" s="14" t="str">
        <f t="shared" si="3"/>
        <v/>
      </c>
    </row>
    <row r="107" spans="1:25" ht="26.25" thickBot="1">
      <c r="A107" s="617"/>
      <c r="B107" s="609"/>
      <c r="C107" s="32" t="s">
        <v>54</v>
      </c>
      <c r="D107" s="33">
        <f>IF('Describe baseline'!E109="-","+",IF('Describe baseline'!E109="+","-",'Describe baseline'!E109))</f>
        <v>0</v>
      </c>
      <c r="E107" s="33" t="str">
        <f>IF(ISERROR(LEFT('Describe baseline'!F109,'OUTPUT-all'!J107-2)),"",LEFT('Describe baseline'!F109,'OUTPUT-all'!J107-2))</f>
        <v/>
      </c>
      <c r="F107" s="33" t="str">
        <f>IF(ISERROR(LEFT('Describe baseline'!G109,'OUTPUT-all'!K107-2)),"",LEFT('Describe baseline'!G109,'OUTPUT-all'!K107-2))</f>
        <v/>
      </c>
      <c r="G107" s="33" t="str">
        <f>IF(ISERROR(LEFT('Describe baseline'!H109,'OUTPUT-all'!L107-1)),"",LEFT('Describe baseline'!H109,'OUTPUT-all'!L107-1))</f>
        <v/>
      </c>
      <c r="H107" s="33"/>
      <c r="I107" s="102" t="str">
        <f>IF(D107="Neutral","Not relevant","Qualitative")</f>
        <v>Qualitative</v>
      </c>
      <c r="J107" s="154" t="e">
        <f>FIND("(",'Describe baseline'!F109)</f>
        <v>#VALUE!</v>
      </c>
      <c r="K107" s="154" t="e">
        <f>FIND("(",'Describe baseline'!G109)</f>
        <v>#VALUE!</v>
      </c>
      <c r="L107" s="154" t="e">
        <f>FIND(":",'Describe baseline'!H109)</f>
        <v>#VALUE!</v>
      </c>
      <c r="M107" s="364"/>
      <c r="N107" s="62" t="s">
        <v>182</v>
      </c>
      <c r="O107" s="150" t="str">
        <f>IF('Identify beneficiaries'!E77="Y",IF(OR($I107="Qualitative",$I107="Not relevant"),$I107,$I107*'Summary of area'!$C$22/'Identify beneficiaries'!$L77),"")</f>
        <v/>
      </c>
      <c r="P107" s="150" t="str">
        <f>IF('Identify beneficiaries'!F77="Y",IF(OR($I107="Qualitative",$I107="Not relevant"),$I107,$I107*'Summary of area'!$C$22/'Identify beneficiaries'!$L77),"")</f>
        <v/>
      </c>
      <c r="Q107" s="150" t="str">
        <f>IF('Identify beneficiaries'!G77="Y",IF(OR($I107="Qualitative",$I107="Not relevant"),$I107,$I107*'Summary of area'!$C$22/'Identify beneficiaries'!$L77),"")</f>
        <v/>
      </c>
      <c r="R107" s="150" t="str">
        <f>IF('Identify beneficiaries'!H77="Y",IF(OR($I107="Qualitative",$I107="Not relevant"),$I107,$I107*'Summary of area'!$C$22/'Identify beneficiaries'!$L77),"")</f>
        <v/>
      </c>
      <c r="S107" s="150" t="str">
        <f>IF('Identify beneficiaries'!I77="Y",IF(OR($I107="Qualitative",$I107="Not relevant"),$I107,$I107*'Summary of area'!$C$22/'Identify beneficiaries'!$L77),"")</f>
        <v/>
      </c>
      <c r="T107" s="150" t="str">
        <f>IF('Identify beneficiaries'!J77="Y",IF(OR($I107="Qualitative",$I107="Not relevant"),$I107,$I107*'Summary of area'!$C$22/'Identify beneficiaries'!$L77),"")</f>
        <v>Qualitative</v>
      </c>
      <c r="U107" s="150" t="str">
        <f>IF('Identify beneficiaries'!K77="Y",IF(OR($I107="Qualitative",$I107="Not relevant"),$I107,$I107*'Summary of area'!$C$22/'Identify beneficiaries'!$L77),"")</f>
        <v/>
      </c>
      <c r="V107" s="150" t="str">
        <f>IF(OR(I107="Qualitative",I107="Not relevant"),I107,ROUND(I107*'Summary of area'!$C$21,3-LEN(INT(I107*'Summary of area'!$C$21))))</f>
        <v>Qualitative</v>
      </c>
      <c r="X107" s="14" t="str">
        <f t="shared" si="2"/>
        <v/>
      </c>
      <c r="Y107" s="14" t="str">
        <f t="shared" si="3"/>
        <v/>
      </c>
    </row>
    <row r="108" spans="1:25" ht="13.5" thickBot="1">
      <c r="A108" s="611" t="s">
        <v>35</v>
      </c>
      <c r="B108" s="614" t="s">
        <v>36</v>
      </c>
      <c r="C108" s="30" t="s">
        <v>52</v>
      </c>
      <c r="D108" s="31">
        <f>IF('Describe baseline'!E110="-","+",IF('Describe baseline'!E110="+","-",'Describe baseline'!E110))</f>
        <v>0</v>
      </c>
      <c r="E108" s="31" t="str">
        <f>IF(ISERROR(LEFT('Describe baseline'!F110,'OUTPUT-all'!J108-2)),"",LEFT('Describe baseline'!F110,'OUTPUT-all'!J108-2))</f>
        <v/>
      </c>
      <c r="F108" s="31" t="str">
        <f>IF(ISERROR(LEFT('Describe baseline'!G110,'OUTPUT-all'!K108-2)),"",LEFT('Describe baseline'!G110,'OUTPUT-all'!K108-2))</f>
        <v/>
      </c>
      <c r="G108" s="31" t="str">
        <f>IF(ISERROR(LEFT('Describe baseline'!H110,'OUTPUT-all'!L108-1)),"",LEFT('Describe baseline'!H110,'OUTPUT-all'!L108-1))</f>
        <v/>
      </c>
      <c r="H108" s="374" t="str">
        <f>IF(ISERROR(LEFT('Summary of area'!F28,'OUTPUT-all'!M108-1)),"",LEFT('Summary of area'!F28,'OUTPUT-all'!M108-1))</f>
        <v>High</v>
      </c>
      <c r="I108" s="139">
        <f>'Summary of area'!C28</f>
        <v>0</v>
      </c>
      <c r="J108" s="154" t="e">
        <f>FIND("(",'Describe baseline'!F110)</f>
        <v>#VALUE!</v>
      </c>
      <c r="K108" s="154" t="e">
        <f>FIND("(",'Describe baseline'!G110)</f>
        <v>#VALUE!</v>
      </c>
      <c r="L108" s="154" t="e">
        <f>FIND(":",'Describe baseline'!H110)</f>
        <v>#VALUE!</v>
      </c>
      <c r="M108" s="154">
        <f>FIND(":",'Summary of area'!F28)</f>
        <v>5</v>
      </c>
      <c r="N108" s="61" t="s">
        <v>183</v>
      </c>
      <c r="O108" s="147"/>
      <c r="P108" s="147"/>
      <c r="Q108" s="147"/>
      <c r="R108" s="147"/>
      <c r="S108" s="147"/>
      <c r="T108" s="147"/>
      <c r="U108" s="147"/>
      <c r="V108" s="147"/>
      <c r="X108" s="14" t="str">
        <f aca="true" t="shared" si="4" ref="X108:X113">IF(I108="Qualitative",E108,"")</f>
        <v/>
      </c>
      <c r="Y108" s="14" t="str">
        <f aca="true" t="shared" si="5" ref="Y108:Y113">IF(I108="Qualitative",F108,"")</f>
        <v/>
      </c>
    </row>
    <row r="109" spans="1:25" ht="13.5" thickBot="1">
      <c r="A109" s="607"/>
      <c r="B109" s="597"/>
      <c r="C109" s="55" t="s">
        <v>53</v>
      </c>
      <c r="D109" s="57"/>
      <c r="E109" s="57"/>
      <c r="F109" s="57"/>
      <c r="G109" s="57"/>
      <c r="H109" s="57"/>
      <c r="I109" s="97"/>
      <c r="J109" s="154" t="e">
        <f>FIND("(",'Describe baseline'!F111)</f>
        <v>#VALUE!</v>
      </c>
      <c r="K109" s="154" t="e">
        <f>FIND("(",'Describe baseline'!G111)</f>
        <v>#VALUE!</v>
      </c>
      <c r="L109" s="154" t="e">
        <f>FIND(":",'Describe baseline'!H111)</f>
        <v>#VALUE!</v>
      </c>
      <c r="M109" s="364"/>
      <c r="N109" s="97"/>
      <c r="O109" s="97"/>
      <c r="P109" s="97"/>
      <c r="Q109" s="97"/>
      <c r="R109" s="97"/>
      <c r="S109" s="97"/>
      <c r="T109" s="97"/>
      <c r="U109" s="97"/>
      <c r="V109" s="97"/>
      <c r="X109" s="14" t="str">
        <f t="shared" si="4"/>
        <v/>
      </c>
      <c r="Y109" s="14" t="str">
        <f t="shared" si="5"/>
        <v/>
      </c>
    </row>
    <row r="110" spans="1:25" ht="13.5" thickBot="1">
      <c r="A110" s="617"/>
      <c r="B110" s="609"/>
      <c r="C110" s="58" t="s">
        <v>54</v>
      </c>
      <c r="D110" s="60"/>
      <c r="E110" s="60"/>
      <c r="F110" s="60"/>
      <c r="G110" s="60"/>
      <c r="H110" s="60"/>
      <c r="I110" s="98"/>
      <c r="J110" s="154" t="e">
        <f>FIND("(",'Describe baseline'!F112)</f>
        <v>#VALUE!</v>
      </c>
      <c r="K110" s="154" t="e">
        <f>FIND("(",'Describe baseline'!G112)</f>
        <v>#VALUE!</v>
      </c>
      <c r="L110" s="154" t="e">
        <f>FIND(":",'Describe baseline'!H112)</f>
        <v>#VALUE!</v>
      </c>
      <c r="M110" s="364"/>
      <c r="N110" s="98"/>
      <c r="O110" s="98"/>
      <c r="P110" s="98"/>
      <c r="Q110" s="98"/>
      <c r="R110" s="98"/>
      <c r="S110" s="98"/>
      <c r="T110" s="98"/>
      <c r="U110" s="98"/>
      <c r="V110" s="98"/>
      <c r="X110" s="14" t="str">
        <f t="shared" si="4"/>
        <v/>
      </c>
      <c r="Y110" s="14" t="str">
        <f t="shared" si="5"/>
        <v/>
      </c>
    </row>
    <row r="111" spans="1:25" ht="13.5" thickBot="1">
      <c r="A111" s="611" t="s">
        <v>37</v>
      </c>
      <c r="B111" s="614" t="s">
        <v>38</v>
      </c>
      <c r="C111" s="65" t="s">
        <v>52</v>
      </c>
      <c r="D111" s="66"/>
      <c r="E111" s="66"/>
      <c r="F111" s="66"/>
      <c r="G111" s="66"/>
      <c r="H111" s="66"/>
      <c r="I111" s="104"/>
      <c r="J111" s="154" t="e">
        <f>FIND("(",'Describe baseline'!F113)</f>
        <v>#VALUE!</v>
      </c>
      <c r="K111" s="154" t="e">
        <f>FIND("(",'Describe baseline'!G113)</f>
        <v>#VALUE!</v>
      </c>
      <c r="L111" s="154" t="e">
        <f>FIND(":",'Describe baseline'!H113)</f>
        <v>#VALUE!</v>
      </c>
      <c r="M111" s="154"/>
      <c r="N111" s="104"/>
      <c r="O111" s="104"/>
      <c r="P111" s="104"/>
      <c r="Q111" s="104"/>
      <c r="R111" s="104"/>
      <c r="S111" s="104"/>
      <c r="T111" s="104"/>
      <c r="U111" s="104"/>
      <c r="V111" s="104"/>
      <c r="X111" s="14" t="str">
        <f t="shared" si="4"/>
        <v/>
      </c>
      <c r="Y111" s="14" t="str">
        <f t="shared" si="5"/>
        <v/>
      </c>
    </row>
    <row r="112" spans="1:25" ht="39" thickBot="1">
      <c r="A112" s="680"/>
      <c r="B112" s="682"/>
      <c r="C112" s="20" t="s">
        <v>53</v>
      </c>
      <c r="D112" s="21">
        <f>IF('Describe baseline'!E114="-","+",IF('Describe baseline'!E114="+","-",'Describe baseline'!E114))</f>
        <v>0</v>
      </c>
      <c r="E112" s="21" t="str">
        <f>IF(ISERROR(LEFT('Describe baseline'!F114,'OUTPUT-all'!J112-2)),"",LEFT('Describe baseline'!F114,'OUTPUT-all'!J112-2))</f>
        <v/>
      </c>
      <c r="F112" s="21" t="str">
        <f>IF(ISERROR(LEFT('Describe baseline'!G114,'OUTPUT-all'!K112-2)),"",LEFT('Describe baseline'!G114,'OUTPUT-all'!K112-2))</f>
        <v/>
      </c>
      <c r="G112" s="21" t="str">
        <f>IF(ISERROR(LEFT('Describe baseline'!H114,'OUTPUT-all'!L112-1)),"",LEFT('Describe baseline'!H114,'OUTPUT-all'!L112-1))</f>
        <v/>
      </c>
      <c r="H112" s="374" t="str">
        <f>IF(ISERROR(LEFT(Jobs!F9,'OUTPUT-all'!M112-1)),"",LEFT(Jobs!F9,'OUTPUT-all'!M112-1))</f>
        <v>High</v>
      </c>
      <c r="I112" s="101">
        <f>IF(Jobs!C9="Enter leakage",IF(D112="Neutral","Not relevant","Qualitative"),ROUND(Jobs!D9,3-LEN(INT(Jobs!D9))))</f>
        <v>0</v>
      </c>
      <c r="J112" s="154" t="e">
        <f>FIND("(",'Describe baseline'!F114)</f>
        <v>#VALUE!</v>
      </c>
      <c r="K112" s="154" t="e">
        <f>FIND("(",'Describe baseline'!G114)</f>
        <v>#VALUE!</v>
      </c>
      <c r="L112" s="154" t="e">
        <f>FIND(":",'Describe baseline'!H114)</f>
        <v>#VALUE!</v>
      </c>
      <c r="M112" s="154">
        <f>FIND(":",Jobs!F9)</f>
        <v>5</v>
      </c>
      <c r="N112" s="19" t="s">
        <v>184</v>
      </c>
      <c r="O112" s="149" t="str">
        <f>IF('Identify beneficiaries'!E82="Y",IF(OR($I112="Qualitative",$I112="Not relevant"),$I112,$I112/'Identify beneficiaries'!$L82),"")</f>
        <v/>
      </c>
      <c r="P112" s="149">
        <f>IF('Identify beneficiaries'!F82="Y",IF(OR($I112="Qualitative",$I112="Not relevant"),$I112,$I112/'Identify beneficiaries'!$L82),"")</f>
        <v>0</v>
      </c>
      <c r="Q112" s="149" t="str">
        <f>IF('Identify beneficiaries'!G82="Y",IF(OR($I112="Qualitative",$I112="Not relevant"),$I112,$I112/'Identify beneficiaries'!$L82),"")</f>
        <v/>
      </c>
      <c r="R112" s="149">
        <f>IF('Identify beneficiaries'!H82="Y",IF(OR($I112="Qualitative",$I112="Not relevant"),$I112,$I112/'Identify beneficiaries'!$L82),"")</f>
        <v>0</v>
      </c>
      <c r="S112" s="149" t="str">
        <f>IF('Identify beneficiaries'!I82="Y",IF(OR($I112="Qualitative",$I112="Not relevant"),$I112,$I112/'Identify beneficiaries'!$L82),"")</f>
        <v/>
      </c>
      <c r="T112" s="149" t="str">
        <f>IF('Identify beneficiaries'!J82="Y",IF(OR($I112="Qualitative",$I112="Not relevant"),$I112,$I112/'Identify beneficiaries'!$L82),"")</f>
        <v/>
      </c>
      <c r="U112" s="149">
        <f>IF('Identify beneficiaries'!K82="Y",IF(OR($I112="Qualitative",$I112="Not relevant"),$I112,$I112/'Identify beneficiaries'!$L82),"")</f>
        <v>0</v>
      </c>
      <c r="V112" s="149" t="str">
        <f>IF('Identify beneficiaries'!L82="Y",IF(OR($I112="Qualitative",$I112="Not relevant"),$I112,$I112/'Identify beneficiaries'!$L82),"")</f>
        <v/>
      </c>
      <c r="X112" s="14" t="str">
        <f t="shared" si="4"/>
        <v/>
      </c>
      <c r="Y112" s="14" t="str">
        <f t="shared" si="5"/>
        <v/>
      </c>
    </row>
    <row r="113" spans="1:25" ht="39" thickBot="1">
      <c r="A113" s="681"/>
      <c r="B113" s="683"/>
      <c r="C113" s="32" t="s">
        <v>54</v>
      </c>
      <c r="D113" s="33">
        <f>IF('Describe baseline'!E115="-","+",IF('Describe baseline'!E115="+","-",'Describe baseline'!E115))</f>
        <v>0</v>
      </c>
      <c r="E113" s="33" t="str">
        <f>IF(ISERROR(LEFT('Describe baseline'!F115,'OUTPUT-all'!J113-2)),"",LEFT('Describe baseline'!F115,'OUTPUT-all'!J113-2))</f>
        <v/>
      </c>
      <c r="F113" s="33" t="str">
        <f>IF(ISERROR(LEFT('Describe baseline'!G115,'OUTPUT-all'!K113-2)),"",LEFT('Describe baseline'!G115,'OUTPUT-all'!K113-2))</f>
        <v/>
      </c>
      <c r="G113" s="33" t="str">
        <f>IF(ISERROR(LEFT('Describe baseline'!H115,'OUTPUT-all'!L113-1)),"",LEFT('Describe baseline'!H115,'OUTPUT-all'!L113-1))</f>
        <v/>
      </c>
      <c r="H113" s="374" t="str">
        <f>IF(ISERROR(LEFT(Jobs!F15,'OUTPUT-all'!M113-1)),"",LEFT(Jobs!F15,'OUTPUT-all'!M113-1))</f>
        <v>High</v>
      </c>
      <c r="I113" s="155">
        <f>IF(Jobs!C15="Enter leakage",IF(D113="Neutral","Not relevant","Qualitative"),IF(D113="-",ROUND(Jobs!D15,0)*-1,ROUND(Jobs!D15,0)))</f>
        <v>0</v>
      </c>
      <c r="J113" s="154" t="e">
        <f>FIND("(",'Describe baseline'!F115)</f>
        <v>#VALUE!</v>
      </c>
      <c r="K113" s="154" t="e">
        <f>FIND("(",'Describe baseline'!G115)</f>
        <v>#VALUE!</v>
      </c>
      <c r="L113" s="154" t="e">
        <f>FIND(":",'Describe baseline'!H115)</f>
        <v>#VALUE!</v>
      </c>
      <c r="M113" s="154">
        <f>FIND(":",Jobs!F15)</f>
        <v>5</v>
      </c>
      <c r="N113" s="62" t="s">
        <v>185</v>
      </c>
      <c r="O113" s="150"/>
      <c r="P113" s="150"/>
      <c r="Q113" s="150"/>
      <c r="R113" s="150"/>
      <c r="S113" s="150"/>
      <c r="T113" s="150"/>
      <c r="U113" s="150"/>
      <c r="V113" s="150"/>
      <c r="X113" s="14" t="str">
        <f t="shared" si="4"/>
        <v/>
      </c>
      <c r="Y113" s="14" t="str">
        <f t="shared" si="5"/>
        <v/>
      </c>
    </row>
    <row r="115" spans="4:22" ht="15">
      <c r="D115" s="14" t="s">
        <v>217</v>
      </c>
      <c r="I115" s="14"/>
      <c r="J115" s="14"/>
      <c r="K115" s="14"/>
      <c r="L115" s="14"/>
      <c r="M115" s="14"/>
      <c r="V115" s="14"/>
    </row>
    <row r="116" spans="4:22" ht="114.75">
      <c r="D116" s="145" t="s">
        <v>223</v>
      </c>
      <c r="E116" s="140" t="s">
        <v>219</v>
      </c>
      <c r="F116" s="140" t="s">
        <v>580</v>
      </c>
      <c r="G116" s="272" t="s">
        <v>808</v>
      </c>
      <c r="H116" s="373" t="s">
        <v>814</v>
      </c>
      <c r="I116" s="14"/>
      <c r="J116" s="14"/>
      <c r="K116" s="14"/>
      <c r="L116" s="14"/>
      <c r="M116" s="14"/>
      <c r="V116" s="14"/>
    </row>
    <row r="117" spans="4:22" ht="114.75">
      <c r="D117" s="145" t="s">
        <v>224</v>
      </c>
      <c r="E117" s="140" t="s">
        <v>220</v>
      </c>
      <c r="F117" s="140" t="s">
        <v>222</v>
      </c>
      <c r="G117" s="272" t="s">
        <v>807</v>
      </c>
      <c r="H117" s="373" t="s">
        <v>813</v>
      </c>
      <c r="I117" s="14"/>
      <c r="J117" s="14"/>
      <c r="K117" s="14"/>
      <c r="L117" s="14"/>
      <c r="M117" s="14"/>
      <c r="V117" s="14"/>
    </row>
    <row r="118" spans="4:22" ht="127.5">
      <c r="D118" s="145" t="s">
        <v>225</v>
      </c>
      <c r="E118" s="140" t="s">
        <v>221</v>
      </c>
      <c r="F118" s="140" t="s">
        <v>247</v>
      </c>
      <c r="G118" s="272" t="s">
        <v>806</v>
      </c>
      <c r="H118" s="370" t="s">
        <v>812</v>
      </c>
      <c r="I118" s="14"/>
      <c r="J118" s="14"/>
      <c r="K118" s="14"/>
      <c r="L118" s="14"/>
      <c r="M118" s="14"/>
      <c r="V118" s="14"/>
    </row>
    <row r="119" spans="4:22" ht="89.25">
      <c r="D119" s="145" t="s">
        <v>226</v>
      </c>
      <c r="F119" s="144" t="s">
        <v>218</v>
      </c>
      <c r="G119" s="144"/>
      <c r="H119" s="373"/>
      <c r="I119" s="14"/>
      <c r="J119" s="14"/>
      <c r="K119" s="14"/>
      <c r="L119" s="14"/>
      <c r="M119" s="14"/>
      <c r="V119" s="14"/>
    </row>
  </sheetData>
  <sheetProtection sheet="1" objects="1" scenarios="1"/>
  <mergeCells count="106">
    <mergeCell ref="A4:B4"/>
    <mergeCell ref="A5:A11"/>
    <mergeCell ref="B5:B11"/>
    <mergeCell ref="C5:C9"/>
    <mergeCell ref="D5:D9"/>
    <mergeCell ref="F5:F9"/>
    <mergeCell ref="G5:G9"/>
    <mergeCell ref="B12:B14"/>
    <mergeCell ref="B15:B17"/>
    <mergeCell ref="B18:B25"/>
    <mergeCell ref="C18:C23"/>
    <mergeCell ref="D18:D23"/>
    <mergeCell ref="E18:E23"/>
    <mergeCell ref="F18:F23"/>
    <mergeCell ref="E5:E9"/>
    <mergeCell ref="G18:G23"/>
    <mergeCell ref="A45:A47"/>
    <mergeCell ref="B45:B47"/>
    <mergeCell ref="A48:A50"/>
    <mergeCell ref="B48:B50"/>
    <mergeCell ref="A51:B51"/>
    <mergeCell ref="A52:A55"/>
    <mergeCell ref="B52:B55"/>
    <mergeCell ref="F26:F27"/>
    <mergeCell ref="G26:G27"/>
    <mergeCell ref="G37:G41"/>
    <mergeCell ref="B30:B36"/>
    <mergeCell ref="C30:C34"/>
    <mergeCell ref="D30:D34"/>
    <mergeCell ref="E30:E34"/>
    <mergeCell ref="F30:F34"/>
    <mergeCell ref="G30:G34"/>
    <mergeCell ref="C37:C41"/>
    <mergeCell ref="D37:D41"/>
    <mergeCell ref="E37:E41"/>
    <mergeCell ref="F37:F41"/>
    <mergeCell ref="B26:B29"/>
    <mergeCell ref="C26:C27"/>
    <mergeCell ref="D26:D27"/>
    <mergeCell ref="E26:E27"/>
    <mergeCell ref="C65:C66"/>
    <mergeCell ref="D65:D66"/>
    <mergeCell ref="E65:E66"/>
    <mergeCell ref="F65:F66"/>
    <mergeCell ref="G65:G66"/>
    <mergeCell ref="A62:A64"/>
    <mergeCell ref="B62:B64"/>
    <mergeCell ref="A65:A68"/>
    <mergeCell ref="B65:B68"/>
    <mergeCell ref="I52:I53"/>
    <mergeCell ref="A56:A58"/>
    <mergeCell ref="B56:B58"/>
    <mergeCell ref="A59:A61"/>
    <mergeCell ref="B59:B61"/>
    <mergeCell ref="I1:N1"/>
    <mergeCell ref="O3:R3"/>
    <mergeCell ref="H5:H9"/>
    <mergeCell ref="I5:I9"/>
    <mergeCell ref="A12:A44"/>
    <mergeCell ref="I18:I23"/>
    <mergeCell ref="I26:I27"/>
    <mergeCell ref="I30:I34"/>
    <mergeCell ref="B37:B44"/>
    <mergeCell ref="C42:C43"/>
    <mergeCell ref="D42:D43"/>
    <mergeCell ref="E42:E43"/>
    <mergeCell ref="F42:F43"/>
    <mergeCell ref="G42:G43"/>
    <mergeCell ref="C52:C53"/>
    <mergeCell ref="D52:D53"/>
    <mergeCell ref="E52:E53"/>
    <mergeCell ref="F52:F53"/>
    <mergeCell ref="G52:G53"/>
    <mergeCell ref="B87:B89"/>
    <mergeCell ref="A90:A92"/>
    <mergeCell ref="B90:B92"/>
    <mergeCell ref="A93:A107"/>
    <mergeCell ref="B93:B107"/>
    <mergeCell ref="A69:A71"/>
    <mergeCell ref="B69:B71"/>
    <mergeCell ref="A72:B72"/>
    <mergeCell ref="A73:A77"/>
    <mergeCell ref="B73:B77"/>
    <mergeCell ref="A84:A86"/>
    <mergeCell ref="B84:B86"/>
    <mergeCell ref="A87:A89"/>
    <mergeCell ref="C73:C75"/>
    <mergeCell ref="D73:D75"/>
    <mergeCell ref="E73:E75"/>
    <mergeCell ref="F73:F75"/>
    <mergeCell ref="G73:G75"/>
    <mergeCell ref="I73:I75"/>
    <mergeCell ref="A78:A80"/>
    <mergeCell ref="B78:B80"/>
    <mergeCell ref="A81:A83"/>
    <mergeCell ref="B81:B83"/>
    <mergeCell ref="I93:I105"/>
    <mergeCell ref="A108:A110"/>
    <mergeCell ref="B108:B110"/>
    <mergeCell ref="A111:A113"/>
    <mergeCell ref="B111:B113"/>
    <mergeCell ref="C93:C105"/>
    <mergeCell ref="D93:D105"/>
    <mergeCell ref="E93:E105"/>
    <mergeCell ref="F93:F105"/>
    <mergeCell ref="G93:G105"/>
  </mergeCells>
  <conditionalFormatting sqref="O1:U2 O114:U1048576 O62:V63 O107:V108 O89:V90 O84:V84 O81:V81 O77:V78 O112:V113 V5:V9 O72:V75 O4:U4 O3 S3:U3 V12 O19:V48 O51:V56 O59:V60 O87:V87 O93:V105 O65:V70 V14:V18">
    <cfRule type="cellIs" priority="5" dxfId="2" operator="lessThan">
      <formula>-0.1</formula>
    </cfRule>
    <cfRule type="cellIs" priority="6" dxfId="8" operator="greaterThan">
      <formula>0.1</formula>
    </cfRule>
  </conditionalFormatting>
  <conditionalFormatting sqref="O1:U2 O114:U1048576 O4:U4 O3 S3:U3 O19:V113 V5:V18">
    <cfRule type="cellIs" priority="4" dxfId="7" operator="greaterThan">
      <formula>1000000000</formula>
    </cfRule>
  </conditionalFormatting>
  <conditionalFormatting sqref="O12:U12 O5:U9 O14:U18">
    <cfRule type="cellIs" priority="2" dxfId="2" operator="lessThan">
      <formula>-0.1</formula>
    </cfRule>
    <cfRule type="cellIs" priority="3" dxfId="8" operator="greaterThan">
      <formula>0.1</formula>
    </cfRule>
  </conditionalFormatting>
  <conditionalFormatting sqref="O5:U18">
    <cfRule type="cellIs" priority="1" dxfId="7" operator="greaterThan">
      <formula>1000000000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70"/>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E26"/>
  <sheetViews>
    <sheetView workbookViewId="0" topLeftCell="A1">
      <selection activeCell="D26" sqref="D26"/>
    </sheetView>
  </sheetViews>
  <sheetFormatPr defaultColWidth="9.140625" defaultRowHeight="15"/>
  <cols>
    <col min="1" max="1" width="17.7109375" style="93" customWidth="1"/>
    <col min="2" max="2" width="17.8515625" style="93" bestFit="1" customWidth="1"/>
    <col min="3" max="3" width="18.421875" style="93" bestFit="1" customWidth="1"/>
    <col min="4" max="4" width="17.57421875" style="93" bestFit="1" customWidth="1"/>
    <col min="5" max="5" width="18.140625" style="93" bestFit="1" customWidth="1"/>
    <col min="6" max="16384" width="9.140625" style="93" customWidth="1"/>
  </cols>
  <sheetData>
    <row r="1" spans="1:5" ht="15">
      <c r="A1" s="691" t="s">
        <v>555</v>
      </c>
      <c r="B1" s="691"/>
      <c r="C1" s="691"/>
      <c r="D1" s="691"/>
      <c r="E1" s="691"/>
    </row>
    <row r="2" spans="1:5" s="91" customFormat="1" ht="15">
      <c r="A2" s="259"/>
      <c r="B2" s="690" t="s">
        <v>58</v>
      </c>
      <c r="C2" s="690"/>
      <c r="D2" s="690"/>
      <c r="E2" s="258"/>
    </row>
    <row r="3" spans="1:5" s="91" customFormat="1" ht="15">
      <c r="A3" s="253" t="s">
        <v>556</v>
      </c>
      <c r="B3" s="258" t="s">
        <v>268</v>
      </c>
      <c r="C3" s="258" t="s">
        <v>235</v>
      </c>
      <c r="D3" s="258" t="s">
        <v>269</v>
      </c>
      <c r="E3" s="258" t="s">
        <v>242</v>
      </c>
    </row>
    <row r="4" spans="1:5" ht="15">
      <c r="A4" s="251" t="s">
        <v>218</v>
      </c>
      <c r="B4" s="257">
        <f>COUNTIFS('OUTPUT-all'!$F$5:$F$113,'Summary by significance'!$A4,'OUTPUT-all'!$E$5:$E$113,B$3)</f>
        <v>0</v>
      </c>
      <c r="C4" s="257">
        <f>COUNTIFS('OUTPUT-all'!$F$5:$F$113,'Summary by significance'!$A4,'OUTPUT-all'!$E$5:$E$113,C$3)</f>
        <v>0</v>
      </c>
      <c r="D4" s="257">
        <f>COUNTIFS('OUTPUT-all'!$F$5:$F$113,'Summary by significance'!$A4,'OUTPUT-all'!$E$5:$E$113,D$3)</f>
        <v>0</v>
      </c>
      <c r="E4" s="257">
        <f>COUNTIF('OUTPUT-all'!$F$5:$F$113,'Summary by significance'!$A4)</f>
        <v>0</v>
      </c>
    </row>
    <row r="5" spans="1:5" ht="15">
      <c r="A5" s="251" t="s">
        <v>267</v>
      </c>
      <c r="B5" s="257">
        <f>COUNTIFS('OUTPUT-all'!$F$5:$F$113,'Summary by significance'!$A5,'OUTPUT-all'!$E$5:$E$113,B$3)</f>
        <v>0</v>
      </c>
      <c r="C5" s="257">
        <f>COUNTIFS('OUTPUT-all'!$F$5:$F$113,'Summary by significance'!$A5,'OUTPUT-all'!$E$5:$E$113,C$3)</f>
        <v>0</v>
      </c>
      <c r="D5" s="257">
        <f>COUNTIFS('OUTPUT-all'!$F$5:$F$113,'Summary by significance'!$A5,'OUTPUT-all'!$E$5:$E$113,D$3)</f>
        <v>0</v>
      </c>
      <c r="E5" s="257">
        <f>COUNTIF('OUTPUT-all'!$F$5:$F$113,'Summary by significance'!$A5)</f>
        <v>0</v>
      </c>
    </row>
    <row r="6" spans="1:5" ht="15">
      <c r="A6" s="251" t="s">
        <v>59</v>
      </c>
      <c r="B6" s="257">
        <f>COUNTIFS('OUTPUT-all'!$F$5:$F$113,'Summary by significance'!$A6,'OUTPUT-all'!$E$5:$E$113,B$3)</f>
        <v>0</v>
      </c>
      <c r="C6" s="257">
        <f>COUNTIFS('OUTPUT-all'!$F$5:$F$113,'Summary by significance'!$A6,'OUTPUT-all'!$E$5:$E$113,C$3)</f>
        <v>0</v>
      </c>
      <c r="D6" s="257">
        <f>COUNTIFS('OUTPUT-all'!$F$5:$F$113,'Summary by significance'!$A6,'OUTPUT-all'!$E$5:$E$113,D$3)</f>
        <v>0</v>
      </c>
      <c r="E6" s="257">
        <f>COUNTIF('OUTPUT-all'!$F$5:$F$113,'Summary by significance'!$A6)</f>
        <v>0</v>
      </c>
    </row>
    <row r="7" spans="1:5" ht="15">
      <c r="A7" s="251" t="s">
        <v>266</v>
      </c>
      <c r="B7" s="257">
        <f>COUNTIFS('OUTPUT-all'!$F$5:$F$113,'Summary by significance'!$A7,'OUTPUT-all'!$E$5:$E$113,B$3)</f>
        <v>0</v>
      </c>
      <c r="C7" s="257">
        <f>COUNTIFS('OUTPUT-all'!$F$5:$F$113,'Summary by significance'!$A7,'OUTPUT-all'!$E$5:$E$113,C$3)</f>
        <v>0</v>
      </c>
      <c r="D7" s="257">
        <f>COUNTIFS('OUTPUT-all'!$F$5:$F$113,'Summary by significance'!$A7,'OUTPUT-all'!$E$5:$E$113,D$3)</f>
        <v>0</v>
      </c>
      <c r="E7" s="257">
        <f>COUNTIF('OUTPUT-all'!$F$5:$F$113,'Summary by significance'!$A7)</f>
        <v>0</v>
      </c>
    </row>
    <row r="8" spans="1:5" ht="15">
      <c r="A8" s="251" t="s">
        <v>242</v>
      </c>
      <c r="B8" s="257">
        <f>COUNTIF('OUTPUT-all'!$E$5:$E$113,'Summary by significance'!B3)</f>
        <v>0</v>
      </c>
      <c r="C8" s="257">
        <f>COUNTIF('OUTPUT-all'!$E$5:$E$113,'Summary by significance'!C3)</f>
        <v>0</v>
      </c>
      <c r="D8" s="257">
        <f>COUNTIF('OUTPUT-all'!$E$5:$E$113,'Summary by significance'!D3)</f>
        <v>0</v>
      </c>
      <c r="E8" s="257">
        <f>SUM(E4:E7)</f>
        <v>0</v>
      </c>
    </row>
    <row r="10" spans="1:5" ht="15">
      <c r="A10" s="691" t="s">
        <v>557</v>
      </c>
      <c r="B10" s="691"/>
      <c r="C10" s="691"/>
      <c r="D10" s="691"/>
      <c r="E10" s="691"/>
    </row>
    <row r="11" spans="1:5" ht="15">
      <c r="A11" s="259"/>
      <c r="B11" s="690" t="s">
        <v>58</v>
      </c>
      <c r="C11" s="690"/>
      <c r="D11" s="690"/>
      <c r="E11" s="258"/>
    </row>
    <row r="12" spans="1:5" ht="15">
      <c r="A12" s="253" t="s">
        <v>556</v>
      </c>
      <c r="B12" s="258" t="s">
        <v>268</v>
      </c>
      <c r="C12" s="258" t="s">
        <v>235</v>
      </c>
      <c r="D12" s="258" t="s">
        <v>269</v>
      </c>
      <c r="E12" s="258" t="s">
        <v>242</v>
      </c>
    </row>
    <row r="13" spans="1:5" ht="15">
      <c r="A13" s="251" t="s">
        <v>218</v>
      </c>
      <c r="B13" s="256">
        <f>IF(ISERROR(B4/B$8),0,B4/B$8)</f>
        <v>0</v>
      </c>
      <c r="C13" s="256">
        <f>IF(ISERROR(C4/C$8),0,C4/C$8)</f>
        <v>0</v>
      </c>
      <c r="D13" s="256">
        <f aca="true" t="shared" si="0" ref="D13:E13">IF(ISERROR(D4/D$8),0,D4/D$8)</f>
        <v>0</v>
      </c>
      <c r="E13" s="260">
        <f t="shared" si="0"/>
        <v>0</v>
      </c>
    </row>
    <row r="14" spans="1:5" ht="15">
      <c r="A14" s="251" t="s">
        <v>267</v>
      </c>
      <c r="B14" s="256">
        <f aca="true" t="shared" si="1" ref="B14:E16">IF(ISERROR(B5/B$8),0,B5/B$8)</f>
        <v>0</v>
      </c>
      <c r="C14" s="256">
        <f t="shared" si="1"/>
        <v>0</v>
      </c>
      <c r="D14" s="256">
        <f t="shared" si="1"/>
        <v>0</v>
      </c>
      <c r="E14" s="260">
        <f t="shared" si="1"/>
        <v>0</v>
      </c>
    </row>
    <row r="15" spans="1:5" ht="15">
      <c r="A15" s="251" t="s">
        <v>59</v>
      </c>
      <c r="B15" s="256">
        <f t="shared" si="1"/>
        <v>0</v>
      </c>
      <c r="C15" s="256">
        <f t="shared" si="1"/>
        <v>0</v>
      </c>
      <c r="D15" s="256">
        <f t="shared" si="1"/>
        <v>0</v>
      </c>
      <c r="E15" s="260">
        <f t="shared" si="1"/>
        <v>0</v>
      </c>
    </row>
    <row r="16" spans="1:5" ht="15">
      <c r="A16" s="251" t="s">
        <v>266</v>
      </c>
      <c r="B16" s="256">
        <f t="shared" si="1"/>
        <v>0</v>
      </c>
      <c r="C16" s="256">
        <f t="shared" si="1"/>
        <v>0</v>
      </c>
      <c r="D16" s="256">
        <f t="shared" si="1"/>
        <v>0</v>
      </c>
      <c r="E16" s="260">
        <f t="shared" si="1"/>
        <v>0</v>
      </c>
    </row>
    <row r="17" spans="1:5" ht="15">
      <c r="A17" s="251" t="s">
        <v>242</v>
      </c>
      <c r="B17" s="256">
        <f aca="true" t="shared" si="2" ref="B17:E17">SUM(B13:B16)</f>
        <v>0</v>
      </c>
      <c r="C17" s="256">
        <f t="shared" si="2"/>
        <v>0</v>
      </c>
      <c r="D17" s="256">
        <f t="shared" si="2"/>
        <v>0</v>
      </c>
      <c r="E17" s="260">
        <f t="shared" si="2"/>
        <v>0</v>
      </c>
    </row>
    <row r="19" spans="1:5" ht="15">
      <c r="A19" s="691" t="s">
        <v>558</v>
      </c>
      <c r="B19" s="691"/>
      <c r="C19" s="691"/>
      <c r="D19" s="691"/>
      <c r="E19" s="691"/>
    </row>
    <row r="20" spans="1:5" ht="15">
      <c r="A20" s="259"/>
      <c r="B20" s="690" t="s">
        <v>58</v>
      </c>
      <c r="C20" s="690"/>
      <c r="D20" s="690"/>
      <c r="E20" s="258"/>
    </row>
    <row r="21" spans="1:5" ht="15">
      <c r="A21" s="253" t="s">
        <v>556</v>
      </c>
      <c r="B21" s="258" t="s">
        <v>268</v>
      </c>
      <c r="C21" s="258" t="s">
        <v>235</v>
      </c>
      <c r="D21" s="258" t="s">
        <v>269</v>
      </c>
      <c r="E21" s="258" t="s">
        <v>242</v>
      </c>
    </row>
    <row r="22" spans="1:5" ht="15">
      <c r="A22" s="251" t="s">
        <v>218</v>
      </c>
      <c r="B22" s="256">
        <f>IF(ISERROR(B4/$E4),0,B4/$E4)</f>
        <v>0</v>
      </c>
      <c r="C22" s="256">
        <f aca="true" t="shared" si="3" ref="C22:D22">IF(ISERROR(C4/$E4),0,C4/$E4)</f>
        <v>0</v>
      </c>
      <c r="D22" s="256">
        <f t="shared" si="3"/>
        <v>0</v>
      </c>
      <c r="E22" s="256">
        <f>SUM(B22:D22)</f>
        <v>0</v>
      </c>
    </row>
    <row r="23" spans="1:5" ht="15">
      <c r="A23" s="251" t="s">
        <v>267</v>
      </c>
      <c r="B23" s="256">
        <f aca="true" t="shared" si="4" ref="B23:D26">IF(ISERROR(B5/$E5),0,B5/$E5)</f>
        <v>0</v>
      </c>
      <c r="C23" s="256">
        <f t="shared" si="4"/>
        <v>0</v>
      </c>
      <c r="D23" s="256">
        <f t="shared" si="4"/>
        <v>0</v>
      </c>
      <c r="E23" s="256">
        <f aca="true" t="shared" si="5" ref="E23:E26">SUM(B23:D23)</f>
        <v>0</v>
      </c>
    </row>
    <row r="24" spans="1:5" ht="15">
      <c r="A24" s="251" t="s">
        <v>59</v>
      </c>
      <c r="B24" s="256">
        <f t="shared" si="4"/>
        <v>0</v>
      </c>
      <c r="C24" s="256">
        <f t="shared" si="4"/>
        <v>0</v>
      </c>
      <c r="D24" s="256">
        <f t="shared" si="4"/>
        <v>0</v>
      </c>
      <c r="E24" s="256">
        <f t="shared" si="5"/>
        <v>0</v>
      </c>
    </row>
    <row r="25" spans="1:5" ht="15">
      <c r="A25" s="251" t="s">
        <v>266</v>
      </c>
      <c r="B25" s="256">
        <f t="shared" si="4"/>
        <v>0</v>
      </c>
      <c r="C25" s="256">
        <f t="shared" si="4"/>
        <v>0</v>
      </c>
      <c r="D25" s="256">
        <f t="shared" si="4"/>
        <v>0</v>
      </c>
      <c r="E25" s="256">
        <f t="shared" si="5"/>
        <v>0</v>
      </c>
    </row>
    <row r="26" spans="1:5" ht="15">
      <c r="A26" s="253" t="s">
        <v>242</v>
      </c>
      <c r="B26" s="260">
        <f t="shared" si="4"/>
        <v>0</v>
      </c>
      <c r="C26" s="260">
        <f t="shared" si="4"/>
        <v>0</v>
      </c>
      <c r="D26" s="260">
        <f t="shared" si="4"/>
        <v>0</v>
      </c>
      <c r="E26" s="260">
        <f t="shared" si="5"/>
        <v>0</v>
      </c>
    </row>
  </sheetData>
  <sheetProtection sheet="1" objects="1" scenarios="1"/>
  <mergeCells count="6">
    <mergeCell ref="B20:D20"/>
    <mergeCell ref="A1:E1"/>
    <mergeCell ref="B2:D2"/>
    <mergeCell ref="A10:E10"/>
    <mergeCell ref="B11:D11"/>
    <mergeCell ref="A19:E19"/>
  </mergeCells>
  <printOptions/>
  <pageMargins left="0.7" right="0.7" top="0.75" bottom="0.75" header="0.3" footer="0.3"/>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E24"/>
  <sheetViews>
    <sheetView workbookViewId="0" topLeftCell="A1">
      <selection activeCell="B12" sqref="B12"/>
    </sheetView>
  </sheetViews>
  <sheetFormatPr defaultColWidth="9.140625" defaultRowHeight="15"/>
  <cols>
    <col min="1" max="1" width="17.7109375" style="93" customWidth="1"/>
    <col min="2" max="2" width="17.8515625" style="93" bestFit="1" customWidth="1"/>
    <col min="3" max="3" width="18.421875" style="93" bestFit="1" customWidth="1"/>
    <col min="4" max="4" width="17.57421875" style="93" bestFit="1" customWidth="1"/>
    <col min="5" max="5" width="18.140625" style="93" bestFit="1" customWidth="1"/>
    <col min="6" max="16384" width="9.140625" style="93" customWidth="1"/>
  </cols>
  <sheetData>
    <row r="1" spans="1:5" ht="15">
      <c r="A1" s="692" t="s">
        <v>553</v>
      </c>
      <c r="B1" s="693"/>
      <c r="C1" s="693"/>
      <c r="D1" s="693"/>
      <c r="E1" s="694"/>
    </row>
    <row r="2" spans="1:5" ht="15">
      <c r="A2" s="253" t="s">
        <v>144</v>
      </c>
      <c r="B2" s="253" t="s">
        <v>246</v>
      </c>
      <c r="C2" s="253" t="s">
        <v>245</v>
      </c>
      <c r="D2" s="253" t="s">
        <v>552</v>
      </c>
      <c r="E2" s="253" t="s">
        <v>551</v>
      </c>
    </row>
    <row r="3" spans="1:5" ht="15">
      <c r="A3" s="252" t="s">
        <v>186</v>
      </c>
      <c r="B3" s="255">
        <f>ROUND(SUMIF('OUTPUT-all'!O:O,"&gt;0",'OUTPUT-all'!O:O),3-LEN(INT(SUMIF('OUTPUT-all'!O:O,"&gt;0",'OUTPUT-all'!O:O))))</f>
        <v>0</v>
      </c>
      <c r="C3" s="255">
        <f>ROUND(SUMIF('OUTPUT-all'!O:O,"&lt;0",'OUTPUT-all'!O:O),3-LEN(INT(SUMIF('OUTPUT-all'!O:O,"&lt;0",'OUTPUT-all'!O:O))))</f>
        <v>0</v>
      </c>
      <c r="D3" s="256">
        <f>IF(ISERROR(B3/$B$11),0,B3/$B$11)</f>
        <v>0</v>
      </c>
      <c r="E3" s="256">
        <f>IF(ISERROR(C3/$C$11),0,C3/$C$11)</f>
        <v>0</v>
      </c>
    </row>
    <row r="4" spans="1:5" ht="15">
      <c r="A4" s="252" t="s">
        <v>187</v>
      </c>
      <c r="B4" s="255">
        <f>ROUND(SUMIF('OUTPUT-all'!P:P,"&gt;0",'OUTPUT-all'!P:P),3-LEN(INT(SUMIF('OUTPUT-all'!P:P,"&gt;0",'OUTPUT-all'!P:P))))</f>
        <v>0</v>
      </c>
      <c r="C4" s="255">
        <f>ROUND(SUMIF('OUTPUT-all'!P:P,"&lt;0",'OUTPUT-all'!P:P),3-LEN(INT(SUMIF('OUTPUT-all'!P:P,"&lt;0",'OUTPUT-all'!P:P))))</f>
        <v>0</v>
      </c>
      <c r="D4" s="256">
        <f aca="true" t="shared" si="0" ref="D4:D10">IF(ISERROR(B4/$B$11),0,B4/$B$11)</f>
        <v>0</v>
      </c>
      <c r="E4" s="256">
        <f aca="true" t="shared" si="1" ref="E4:E10">IF(ISERROR(C4/$C$11),0,C4/$C$11)</f>
        <v>0</v>
      </c>
    </row>
    <row r="5" spans="1:5" ht="30">
      <c r="A5" s="252" t="s">
        <v>227</v>
      </c>
      <c r="B5" s="255">
        <f>ROUND(SUMIF('OUTPUT-all'!Q:Q,"&gt;0",'OUTPUT-all'!Q:Q),3-LEN(INT(SUMIF('OUTPUT-all'!Q:Q,"&gt;0",'OUTPUT-all'!Q:Q))))</f>
        <v>0</v>
      </c>
      <c r="C5" s="255">
        <f>ROUND(SUMIF('OUTPUT-all'!Q:Q,"&lt;0",'OUTPUT-all'!Q:Q),3-LEN(INT(SUMIF('OUTPUT-all'!Q:Q,"&lt;0",'OUTPUT-all'!Q:Q))))</f>
        <v>0</v>
      </c>
      <c r="D5" s="256">
        <f t="shared" si="0"/>
        <v>0</v>
      </c>
      <c r="E5" s="256">
        <f t="shared" si="1"/>
        <v>0</v>
      </c>
    </row>
    <row r="6" spans="1:5" ht="15">
      <c r="A6" s="252" t="s">
        <v>188</v>
      </c>
      <c r="B6" s="255">
        <f>ROUND(SUMIF('OUTPUT-all'!R:R,"&gt;0",'OUTPUT-all'!R:R),3-LEN(INT(SUMIF('OUTPUT-all'!R:R,"&gt;0",'OUTPUT-all'!R:R))))</f>
        <v>0</v>
      </c>
      <c r="C6" s="255">
        <f>ROUND(SUMIF('OUTPUT-all'!R:R,"&lt;0",'OUTPUT-all'!R:R),3-LEN(INT(SUMIF('OUTPUT-all'!R:R,"&lt;0",'OUTPUT-all'!R:R))))</f>
        <v>0</v>
      </c>
      <c r="D6" s="256">
        <f t="shared" si="0"/>
        <v>0</v>
      </c>
      <c r="E6" s="256">
        <f t="shared" si="1"/>
        <v>0</v>
      </c>
    </row>
    <row r="7" spans="1:5" ht="15">
      <c r="A7" s="252" t="s">
        <v>189</v>
      </c>
      <c r="B7" s="255">
        <f>ROUND(SUMIF('OUTPUT-all'!S:S,"&gt;0",'OUTPUT-all'!S:S),3-LEN(INT(SUMIF('OUTPUT-all'!S:S,"&gt;0",'OUTPUT-all'!S:S))))</f>
        <v>0</v>
      </c>
      <c r="C7" s="255">
        <f>ROUND(SUMIF('OUTPUT-all'!S:S,"&lt;0",'OUTPUT-all'!S:S),3-LEN(INT(SUMIF('OUTPUT-all'!S:S,"&lt;0",'OUTPUT-all'!S:S))))</f>
        <v>0</v>
      </c>
      <c r="D7" s="256">
        <f t="shared" si="0"/>
        <v>0</v>
      </c>
      <c r="E7" s="256">
        <f t="shared" si="1"/>
        <v>0</v>
      </c>
    </row>
    <row r="8" spans="1:5" ht="15">
      <c r="A8" s="252" t="s">
        <v>172</v>
      </c>
      <c r="B8" s="255">
        <f>ROUND(SUMIF('OUTPUT-all'!T:T,"&gt;0",'OUTPUT-all'!T:T),3-LEN(INT(SUMIF('OUTPUT-all'!T:T,"&gt;0",'OUTPUT-all'!T:T))))</f>
        <v>0</v>
      </c>
      <c r="C8" s="255">
        <f>ROUND(SUMIF('OUTPUT-all'!T:T,"&lt;0",'OUTPUT-all'!T:T),3-LEN(INT(SUMIF('OUTPUT-all'!T:T,"&lt;0",'OUTPUT-all'!T:T))))</f>
        <v>0</v>
      </c>
      <c r="D8" s="256">
        <f t="shared" si="0"/>
        <v>0</v>
      </c>
      <c r="E8" s="256">
        <f t="shared" si="1"/>
        <v>0</v>
      </c>
    </row>
    <row r="9" spans="1:5" ht="15">
      <c r="A9" s="252" t="s">
        <v>191</v>
      </c>
      <c r="B9" s="255">
        <f>ROUND(SUMIF('OUTPUT-all'!U:U,"&gt;0",'OUTPUT-all'!U:U),3-LEN(INT(SUMIF('OUTPUT-all'!U:U,"&gt;0",'OUTPUT-all'!U:U))))</f>
        <v>0</v>
      </c>
      <c r="C9" s="255">
        <f>ROUND(SUMIF('OUTPUT-all'!U:U,"&lt;0",'OUTPUT-all'!U:U),3-LEN(INT(SUMIF('OUTPUT-all'!U:U,"&lt;0",'OUTPUT-all'!U:U))))</f>
        <v>0</v>
      </c>
      <c r="D9" s="256">
        <f t="shared" si="0"/>
        <v>0</v>
      </c>
      <c r="E9" s="256">
        <f t="shared" si="1"/>
        <v>0</v>
      </c>
    </row>
    <row r="10" spans="1:5" ht="30">
      <c r="A10" s="252" t="s">
        <v>631</v>
      </c>
      <c r="B10" s="255">
        <f>ROUND(SUMIF('OUTPUT-all'!V:V,"&gt;0",'OUTPUT-all'!V:V),3-LEN(INT(SUMIF('OUTPUT-all'!V:V,"&gt;0",'OUTPUT-all'!V:V))))</f>
        <v>0</v>
      </c>
      <c r="C10" s="255">
        <f>ROUND(SUMIF('OUTPUT-all'!V:V,"&lt;0",'OUTPUT-all'!V:V),3-LEN(INT(SUMIF('OUTPUT-all'!V:V,"&lt;0",'OUTPUT-all'!V:V))))</f>
        <v>0</v>
      </c>
      <c r="D10" s="256">
        <f t="shared" si="0"/>
        <v>0</v>
      </c>
      <c r="E10" s="256">
        <f t="shared" si="1"/>
        <v>0</v>
      </c>
    </row>
    <row r="11" spans="1:5" ht="15">
      <c r="A11" s="254" t="s">
        <v>554</v>
      </c>
      <c r="B11" s="255">
        <f>ROUND(SUM(B3:B10),3-LEN(INT(SUM(B3:B10))))</f>
        <v>0</v>
      </c>
      <c r="C11" s="255">
        <f>ROUND(SUM(C3:C10),3-LEN(INT(SUM(C3:C10))))</f>
        <v>0</v>
      </c>
      <c r="D11" s="256">
        <f>ROUND(SUM(D3:D9),3-LEN(INT(SUM(D3:D9))))</f>
        <v>0</v>
      </c>
      <c r="E11" s="256">
        <f>ROUND(SUM(E3:E9),3-LEN(INT(SUM(E3:E9))))</f>
        <v>0</v>
      </c>
    </row>
    <row r="12" spans="1:5" ht="45">
      <c r="A12" s="254" t="s">
        <v>627</v>
      </c>
      <c r="B12" s="255">
        <f>ROUND(SUM(B3:B9),3-LEN(INT(SUM(B3:B9))))</f>
        <v>0</v>
      </c>
      <c r="C12" s="255">
        <f>ROUND(SUM(C3:C9),3-LEN(INT(SUM(C3:C9))))</f>
        <v>0</v>
      </c>
      <c r="D12" s="256">
        <f>ROUND(SUM(D3:D9),3-LEN(INT(SUM(D3:D9))))</f>
        <v>0</v>
      </c>
      <c r="E12" s="256">
        <f>ROUND(SUM(E3:E9),3-LEN(INT(SUM(E3:E9))))</f>
        <v>0</v>
      </c>
    </row>
    <row r="13" ht="15">
      <c r="A13" s="253" t="s">
        <v>633</v>
      </c>
    </row>
    <row r="14" spans="1:5" ht="15">
      <c r="A14" s="91"/>
      <c r="B14" s="294" t="s">
        <v>268</v>
      </c>
      <c r="C14" s="294" t="s">
        <v>235</v>
      </c>
      <c r="D14" s="294" t="s">
        <v>269</v>
      </c>
      <c r="E14" s="294" t="s">
        <v>242</v>
      </c>
    </row>
    <row r="15" spans="1:5" ht="15">
      <c r="A15" s="251" t="s">
        <v>266</v>
      </c>
      <c r="B15" s="257">
        <f>COUNTIFS('OUTPUT-all'!$Y$5:$Y$113,$A15,'OUTPUT-all'!$X$5:$X$113,B$14)</f>
        <v>0</v>
      </c>
      <c r="C15" s="257">
        <f>COUNTIFS('OUTPUT-all'!$Y$5:$Y$113,$A15,'OUTPUT-all'!$X$5:$X$113,C$14)</f>
        <v>0</v>
      </c>
      <c r="D15" s="257">
        <f>COUNTIFS('OUTPUT-all'!$Y$5:$Y$113,$A15,'OUTPUT-all'!$X$5:$X$113,D$14)</f>
        <v>0</v>
      </c>
      <c r="E15" s="257">
        <f>SUM(B15:D15)</f>
        <v>0</v>
      </c>
    </row>
    <row r="16" spans="1:5" ht="15">
      <c r="A16" s="251" t="s">
        <v>59</v>
      </c>
      <c r="B16" s="257">
        <f>COUNTIFS('OUTPUT-all'!$Y$5:$Y$113,$A16,'OUTPUT-all'!$X$5:$X$113,B$14)</f>
        <v>0</v>
      </c>
      <c r="C16" s="257">
        <f>COUNTIFS('OUTPUT-all'!$Y$5:$Y$113,$A16,'OUTPUT-all'!$X$5:$X$113,C$14)</f>
        <v>0</v>
      </c>
      <c r="D16" s="257">
        <f>COUNTIFS('OUTPUT-all'!$Y$5:$Y$113,$A16,'OUTPUT-all'!$X$5:$X$113,D$14)</f>
        <v>0</v>
      </c>
      <c r="E16" s="257">
        <f aca="true" t="shared" si="2" ref="E16:E18">SUM(B16:D16)</f>
        <v>0</v>
      </c>
    </row>
    <row r="17" spans="1:5" ht="15">
      <c r="A17" s="251" t="s">
        <v>267</v>
      </c>
      <c r="B17" s="257">
        <f>COUNTIFS('OUTPUT-all'!$Y$5:$Y$113,$A17,'OUTPUT-all'!$X$5:$X$113,B$14)</f>
        <v>0</v>
      </c>
      <c r="C17" s="257">
        <f>COUNTIFS('OUTPUT-all'!$Y$5:$Y$113,$A17,'OUTPUT-all'!$X$5:$X$113,C$14)</f>
        <v>0</v>
      </c>
      <c r="D17" s="257">
        <f>COUNTIFS('OUTPUT-all'!$Y$5:$Y$113,$A17,'OUTPUT-all'!$X$5:$X$113,D$14)</f>
        <v>0</v>
      </c>
      <c r="E17" s="257">
        <f t="shared" si="2"/>
        <v>0</v>
      </c>
    </row>
    <row r="18" spans="1:5" ht="15">
      <c r="A18" s="251" t="s">
        <v>218</v>
      </c>
      <c r="B18" s="257">
        <f>COUNTIFS('OUTPUT-all'!$Y$5:$Y$113,$A18,'OUTPUT-all'!$X$5:$X$113,B$14)</f>
        <v>0</v>
      </c>
      <c r="C18" s="257">
        <f>COUNTIFS('OUTPUT-all'!$Y$5:$Y$113,$A18,'OUTPUT-all'!$X$5:$X$113,C$14)</f>
        <v>0</v>
      </c>
      <c r="D18" s="257">
        <f>COUNTIFS('OUTPUT-all'!$Y$5:$Y$113,$A18,'OUTPUT-all'!$X$5:$X$113,D$14)</f>
        <v>0</v>
      </c>
      <c r="E18" s="257">
        <f t="shared" si="2"/>
        <v>0</v>
      </c>
    </row>
    <row r="19" spans="1:5" ht="15">
      <c r="A19" s="253" t="s">
        <v>634</v>
      </c>
      <c r="B19" s="257">
        <f>SUM(B15:B18)</f>
        <v>0</v>
      </c>
      <c r="C19" s="257">
        <f aca="true" t="shared" si="3" ref="C19:D19">SUM(C15:C18)</f>
        <v>0</v>
      </c>
      <c r="D19" s="257">
        <f t="shared" si="3"/>
        <v>0</v>
      </c>
      <c r="E19" s="257">
        <f>SUM(E15:E18)</f>
        <v>0</v>
      </c>
    </row>
    <row r="20" ht="15">
      <c r="E20" s="295"/>
    </row>
    <row r="21" ht="15">
      <c r="A21" s="344" t="s">
        <v>783</v>
      </c>
    </row>
    <row r="22" ht="15">
      <c r="A22" s="344" t="s">
        <v>784</v>
      </c>
    </row>
    <row r="24" spans="1:4" ht="45.75" customHeight="1">
      <c r="A24" s="645" t="str">
        <f>"Benefits for "&amp;'Summary of area'!C3&amp;" only.  It is not appropriate to add benefits from IDBs as this is likely to significantly under-estimate cumulative benefits"</f>
        <v>Benefits for  only.  It is not appropriate to add benefits from IDBs as this is likely to significantly under-estimate cumulative benefits</v>
      </c>
      <c r="B24" s="646"/>
      <c r="C24" s="646"/>
      <c r="D24" s="646"/>
    </row>
  </sheetData>
  <sheetProtection sheet="1" objects="1" scenarios="1"/>
  <mergeCells count="2">
    <mergeCell ref="A1:E1"/>
    <mergeCell ref="A24:D24"/>
  </mergeCells>
  <conditionalFormatting sqref="A3:A8 A11:A12">
    <cfRule type="cellIs" priority="5" dxfId="0" operator="equal">
      <formula>"Y"</formula>
    </cfRule>
  </conditionalFormatting>
  <conditionalFormatting sqref="A9:A10">
    <cfRule type="cellIs" priority="4" dxfId="0" operator="equal">
      <formula>"Y"</formula>
    </cfRule>
  </conditionalFormatting>
  <conditionalFormatting sqref="A24">
    <cfRule type="cellIs" priority="2" dxfId="2" operator="lessThan">
      <formula>-0.1</formula>
    </cfRule>
    <cfRule type="cellIs" priority="3" dxfId="8" operator="greaterThan">
      <formula>0.1</formula>
    </cfRule>
  </conditionalFormatting>
  <conditionalFormatting sqref="A24">
    <cfRule type="cellIs" priority="1" dxfId="7" operator="greaterThan">
      <formula>1000000000</formula>
    </cfRule>
  </conditionalFormatting>
  <printOptions/>
  <pageMargins left="0.7" right="0.7" top="0.75" bottom="0.75" header="0.3" footer="0.3"/>
  <pageSetup fitToHeight="1"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teresa.fenn</dc:creator>
  <cp:keywords/>
  <dc:description/>
  <cp:lastModifiedBy>pweller</cp:lastModifiedBy>
  <cp:lastPrinted>2012-11-14T15:41:20Z</cp:lastPrinted>
  <dcterms:created xsi:type="dcterms:W3CDTF">2012-09-21T08:57:21Z</dcterms:created>
  <dcterms:modified xsi:type="dcterms:W3CDTF">2021-01-05T17:10:06Z</dcterms:modified>
  <cp:category/>
  <cp:version/>
  <cp:contentType/>
  <cp:contentStatus/>
</cp:coreProperties>
</file>